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80" yWindow="210" windowWidth="12120" windowHeight="762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比较法-住宅" sheetId="21" state="hidden" r:id="rId23"/>
    <sheet name="收益法-办公" sheetId="84" r:id="rId24"/>
    <sheet name="收益法-商业" sheetId="15" r:id="rId25"/>
    <sheet name="收益法 (元)" sheetId="67" state="hidden" r:id="rId26"/>
    <sheet name="收益法-车库" sheetId="78" r:id="rId27"/>
    <sheet name="收益法-仓储" sheetId="86" r:id="rId28"/>
    <sheet name="收益法（汇总）" sheetId="70"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地下仓储" sheetId="80" state="hidden" r:id="rId48"/>
    <sheet name="已售清单" sheetId="77" r:id="rId49"/>
    <sheet name="抵押物清单" sheetId="79" state="hidden" r:id="rId50"/>
    <sheet name="土地案例" sheetId="81" r:id="rId51"/>
    <sheet name="Sheet3" sheetId="82" r:id="rId52"/>
    <sheet name="Sheet4" sheetId="83" r:id="rId53"/>
    <sheet name="Sheet2" sheetId="85"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'收益法-办公'!$A$1:$AK$69</definedName>
    <definedName name="_xlnm.Print_Area" localSheetId="27">'收益法-仓储'!$A$1:$AK$69</definedName>
    <definedName name="_xlnm.Print_Area" localSheetId="26">'收益法-车库'!$A$1:$AK$69</definedName>
    <definedName name="_xlnm.Print_Area" localSheetId="47">'收益法-地下仓储'!$A$1:$AK$69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 i="85" l="1"/>
  <c r="Z5" i="77"/>
  <c r="H1" i="85" l="1"/>
  <c r="D2" i="85"/>
  <c r="D1" i="85"/>
  <c r="Q72" i="86"/>
  <c r="Q59" i="86"/>
  <c r="K59" i="86"/>
  <c r="P61" i="86" s="1"/>
  <c r="F59" i="86"/>
  <c r="Q58" i="86"/>
  <c r="Q51" i="86"/>
  <c r="J50" i="86"/>
  <c r="M47" i="86"/>
  <c r="D46" i="86"/>
  <c r="F33" i="86"/>
  <c r="F61" i="86" s="1"/>
  <c r="F31" i="86"/>
  <c r="F23" i="86"/>
  <c r="D24" i="86" s="1"/>
  <c r="D22" i="86"/>
  <c r="F21" i="86"/>
  <c r="F20" i="86"/>
  <c r="M19" i="86"/>
  <c r="F18" i="86"/>
  <c r="M17" i="86"/>
  <c r="F17" i="86"/>
  <c r="F15" i="86"/>
  <c r="D23" i="86" l="1"/>
  <c r="P74" i="86"/>
  <c r="B2" i="85"/>
  <c r="U7" i="1" s="1"/>
  <c r="L52" i="84"/>
  <c r="Q72" i="84" s="1"/>
  <c r="K59" i="84"/>
  <c r="F59" i="84"/>
  <c r="Q51" i="84"/>
  <c r="J50" i="84"/>
  <c r="M47" i="84"/>
  <c r="D46" i="84"/>
  <c r="F33" i="84"/>
  <c r="F61" i="84" s="1"/>
  <c r="F31" i="84"/>
  <c r="F23" i="84"/>
  <c r="F21" i="84"/>
  <c r="F20" i="84"/>
  <c r="M19" i="84"/>
  <c r="F18" i="84"/>
  <c r="M17" i="84"/>
  <c r="F17" i="84"/>
  <c r="F15" i="84"/>
  <c r="Q59" i="84" l="1"/>
  <c r="P74" i="84"/>
  <c r="P61" i="84"/>
  <c r="D23" i="84"/>
  <c r="D22" i="84"/>
  <c r="D24" i="84"/>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O14" i="3" s="1"/>
  <c r="G22" i="6" s="1"/>
  <c r="K14" i="3"/>
  <c r="F20" i="6" s="1"/>
  <c r="Y5" i="77"/>
  <c r="AC2" i="77"/>
  <c r="AL13" i="3" s="1"/>
  <c r="AA2" i="77"/>
  <c r="K13" i="3" s="1"/>
  <c r="L250" i="77"/>
  <c r="L248" i="77"/>
  <c r="AB5" i="77" s="1"/>
  <c r="M14" i="3" s="1"/>
  <c r="G21" i="6" s="1"/>
  <c r="Q14" i="3" l="1"/>
  <c r="F19" i="6" s="1"/>
  <c r="P244" i="77"/>
  <c r="AD5" i="77" s="1"/>
  <c r="AN14" i="3" s="1"/>
  <c r="O244" i="77"/>
  <c r="AC5" i="77" s="1"/>
  <c r="AL14" i="3" s="1"/>
  <c r="V233" i="77"/>
  <c r="AD2" i="77" s="1"/>
  <c r="AN13" i="3" s="1"/>
  <c r="I136" i="77"/>
  <c r="U233" i="77" s="1"/>
  <c r="AB2" i="77" s="1"/>
  <c r="M13" i="3" s="1"/>
  <c r="O219" i="77"/>
  <c r="Q219" i="77" s="1"/>
  <c r="M233" i="77"/>
  <c r="O223" i="77"/>
  <c r="Q224" i="77" s="1"/>
  <c r="R224" i="77" s="1"/>
  <c r="Q211" i="77"/>
  <c r="O215" i="77"/>
  <c r="Q215" i="77" s="1"/>
  <c r="R211" i="77"/>
  <c r="O211" i="77"/>
  <c r="Q207" i="77"/>
  <c r="O207" i="77"/>
  <c r="O203" i="77"/>
  <c r="Q203" i="77" s="1"/>
  <c r="Q192" i="77"/>
  <c r="R192" i="77" s="1"/>
  <c r="Q194" i="77"/>
  <c r="R194" i="77" s="1"/>
  <c r="Q196" i="77"/>
  <c r="R196" i="77" s="1"/>
  <c r="Q198" i="77"/>
  <c r="R198" i="77" s="1"/>
  <c r="Q190" i="77"/>
  <c r="O190" i="77"/>
  <c r="Q191" i="77" s="1"/>
  <c r="R191" i="77" s="1"/>
  <c r="Q183" i="77"/>
  <c r="R183" i="77" s="1"/>
  <c r="Q180" i="77"/>
  <c r="O180" i="77"/>
  <c r="Q176" i="77"/>
  <c r="V172" i="77" s="1"/>
  <c r="O172" i="77"/>
  <c r="R180" i="77" l="1"/>
  <c r="Q204" i="77"/>
  <c r="R204" i="77" s="1"/>
  <c r="R207" i="77"/>
  <c r="V215" i="77"/>
  <c r="Q216" i="77"/>
  <c r="R216" i="77" s="1"/>
  <c r="R219" i="77"/>
  <c r="U219" i="77" s="1"/>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V190" i="77"/>
  <c r="R203" i="77"/>
  <c r="U203" i="77" s="1"/>
  <c r="R215" i="77"/>
  <c r="U215" i="77" s="1"/>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29" i="77"/>
  <c r="Q131" i="77"/>
  <c r="Q133" i="77"/>
  <c r="Q127" i="77"/>
  <c r="O127" i="77"/>
  <c r="Q128" i="77" s="1"/>
  <c r="R128" i="77" s="1"/>
  <c r="R133" i="77"/>
  <c r="R131" i="77"/>
  <c r="R129" i="77"/>
  <c r="O113" i="77"/>
  <c r="Q114" i="77" s="1"/>
  <c r="R114" i="77" s="1"/>
  <c r="O100" i="77"/>
  <c r="Q102" i="77" s="1"/>
  <c r="R102" i="77" s="1"/>
  <c r="O86" i="77"/>
  <c r="Q79" i="77"/>
  <c r="R79" i="77" s="1"/>
  <c r="Q81" i="77"/>
  <c r="R81" i="77" s="1"/>
  <c r="Q77" i="77"/>
  <c r="O77" i="77"/>
  <c r="Q78" i="77" s="1"/>
  <c r="R78" i="77" s="1"/>
  <c r="Q66" i="77"/>
  <c r="R66" i="77" s="1"/>
  <c r="Q70" i="77"/>
  <c r="R70" i="77" s="1"/>
  <c r="Q65" i="77"/>
  <c r="O65" i="77"/>
  <c r="Q57" i="77"/>
  <c r="R57" i="77" s="1"/>
  <c r="Q61" i="77"/>
  <c r="R61" i="77" s="1"/>
  <c r="O55" i="77"/>
  <c r="Q47" i="77"/>
  <c r="R47" i="77" s="1"/>
  <c r="Q51" i="77"/>
  <c r="R51" i="77" s="1"/>
  <c r="O45" i="77"/>
  <c r="R33" i="77"/>
  <c r="Q34" i="77"/>
  <c r="Q36" i="77"/>
  <c r="R36" i="77" s="1"/>
  <c r="Q38" i="77"/>
  <c r="R38" i="77" s="1"/>
  <c r="Q40" i="77"/>
  <c r="R40" i="77" s="1"/>
  <c r="Q33" i="77"/>
  <c r="O33" i="77"/>
  <c r="Q35" i="77" s="1"/>
  <c r="R35" i="77" s="1"/>
  <c r="Q25" i="77"/>
  <c r="Q29" i="77"/>
  <c r="R29" i="77" s="1"/>
  <c r="O21" i="77"/>
  <c r="Q14" i="77"/>
  <c r="R14" i="77" s="1"/>
  <c r="Q16" i="77"/>
  <c r="R16" i="77" s="1"/>
  <c r="Q12" i="77"/>
  <c r="O12" i="77"/>
  <c r="Q13" i="77" s="1"/>
  <c r="R13" i="77" s="1"/>
  <c r="O2" i="77"/>
  <c r="N2" i="77"/>
  <c r="Q3" i="77" l="1"/>
  <c r="R3" i="77" s="1"/>
  <c r="Q5" i="77"/>
  <c r="R5" i="77" s="1"/>
  <c r="Q7" i="77"/>
  <c r="Q2" i="77"/>
  <c r="Q6" i="77"/>
  <c r="R6" i="77" s="1"/>
  <c r="V12" i="77"/>
  <c r="R12" i="77"/>
  <c r="R65"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R34" i="77"/>
  <c r="U33" i="77" s="1"/>
  <c r="Q46" i="77"/>
  <c r="Q48" i="77"/>
  <c r="R48" i="77" s="1"/>
  <c r="Q50" i="77"/>
  <c r="R50" i="77" s="1"/>
  <c r="Q45" i="77"/>
  <c r="Q49" i="77"/>
  <c r="R49" i="77" s="1"/>
  <c r="Q56" i="77"/>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Q62" i="77"/>
  <c r="R62" i="77" s="1"/>
  <c r="V223" i="77" l="1"/>
  <c r="Q169" i="77"/>
  <c r="R169" i="77" s="1"/>
  <c r="R156" i="77"/>
  <c r="V156" i="77"/>
  <c r="R157" i="77"/>
  <c r="U156" i="77" s="1"/>
  <c r="Q143" i="77"/>
  <c r="R143" i="77" s="1"/>
  <c r="R138" i="77"/>
  <c r="V127" i="77"/>
  <c r="V77" i="77"/>
  <c r="R56" i="77"/>
  <c r="U55" i="77" s="1"/>
  <c r="V55" i="77"/>
  <c r="R45" i="77"/>
  <c r="Q52" i="77"/>
  <c r="R52" i="77" s="1"/>
  <c r="Q42" i="77"/>
  <c r="R42" i="77" s="1"/>
  <c r="R21" i="77"/>
  <c r="Q30" i="77"/>
  <c r="R30" i="77" s="1"/>
  <c r="R86" i="77"/>
  <c r="U86" i="77" s="1"/>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V2" i="77"/>
  <c r="R7" i="77"/>
  <c r="U2" i="77" s="1"/>
  <c r="D92" i="77"/>
  <c r="D83" i="77"/>
  <c r="D77" i="77"/>
  <c r="D71" i="77"/>
  <c r="D63" i="77"/>
  <c r="D54" i="77"/>
  <c r="D40" i="77"/>
  <c r="D38" i="77"/>
  <c r="D33" i="77"/>
  <c r="D31" i="77"/>
  <c r="D26" i="77"/>
  <c r="D20" i="77"/>
  <c r="D13" i="77"/>
  <c r="U100" i="77" l="1"/>
  <c r="Y2" i="77" s="1"/>
  <c r="V100" i="77"/>
  <c r="V86" i="77"/>
  <c r="Z2" i="77" s="1"/>
  <c r="S13" i="3" s="1"/>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D24" i="78"/>
  <c r="P61" i="78"/>
  <c r="D22" i="78"/>
  <c r="D9" i="77"/>
  <c r="D3" i="4" l="1"/>
  <c r="N6" i="71" l="1"/>
  <c r="AH5" i="71"/>
  <c r="AG5" i="71"/>
  <c r="AE5" i="71"/>
  <c r="AF5" i="71"/>
  <c r="AD5" i="71"/>
  <c r="Q6" i="71"/>
  <c r="AB6" i="71" s="1"/>
  <c r="P6" i="71"/>
  <c r="AA6" i="71" s="1"/>
  <c r="O6" i="71"/>
  <c r="Y6" i="71" s="1"/>
  <c r="Z6" i="71" s="1"/>
  <c r="N5" i="71"/>
  <c r="Q5" i="71"/>
  <c r="AB5" i="71" s="1"/>
  <c r="P5" i="71"/>
  <c r="AA5" i="71" s="1"/>
  <c r="O5" i="71"/>
  <c r="Y5" i="71" s="1"/>
  <c r="Z5" i="71" s="1"/>
  <c r="M19" i="43"/>
  <c r="J53" i="67"/>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5" i="71"/>
  <c r="T15" i="71" s="1"/>
  <c r="C9" i="71"/>
  <c r="D9" i="71" s="1"/>
  <c r="D10" i="71"/>
  <c r="D1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D83" i="21"/>
  <c r="F21" i="21"/>
  <c r="AA21" i="21" s="1"/>
  <c r="D81" i="21"/>
  <c r="G20" i="20"/>
  <c r="B86" i="43"/>
  <c r="C22" i="20"/>
  <c r="B75" i="43" s="1"/>
  <c r="B66" i="43"/>
  <c r="C25" i="40"/>
  <c r="C29" i="39"/>
  <c r="S18" i="36"/>
  <c r="U18" i="36"/>
  <c r="S21" i="34"/>
  <c r="H25" i="40"/>
  <c r="U25" i="40" s="1"/>
  <c r="J25" i="40"/>
  <c r="W25" i="40" s="1"/>
  <c r="H29" i="39"/>
  <c r="U29" i="39" s="1"/>
  <c r="J29" i="39"/>
  <c r="W29" i="39" s="1"/>
  <c r="J18" i="36"/>
  <c r="W18" i="36" s="1"/>
  <c r="H18" i="35"/>
  <c r="U18" i="35" s="1"/>
  <c r="G68" i="35"/>
  <c r="J18" i="35"/>
  <c r="F77" i="37"/>
  <c r="H21" i="37"/>
  <c r="F21" i="37"/>
  <c r="S21" i="37" s="1"/>
  <c r="H21" i="34"/>
  <c r="U21" i="34" s="1"/>
  <c r="H21" i="33"/>
  <c r="F21" i="33"/>
  <c r="E83" i="21"/>
  <c r="F83" i="21" s="1"/>
  <c r="G83" i="21" s="1"/>
  <c r="H1" i="69"/>
  <c r="AC25" i="40"/>
  <c r="AB25" i="40"/>
  <c r="AC18" i="36"/>
  <c r="AB21" i="37"/>
  <c r="U21" i="37"/>
  <c r="AB21" i="34"/>
  <c r="AA21" i="33"/>
  <c r="S21" i="33"/>
  <c r="AB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F9" i="1" s="1"/>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B5" i="3" s="1"/>
  <c r="BC542" i="3"/>
  <c r="BD542" i="3"/>
  <c r="BD5" i="3" s="1"/>
  <c r="BE542" i="3"/>
  <c r="BF542" i="3"/>
  <c r="BG542" i="3"/>
  <c r="BH542" i="3"/>
  <c r="BH5" i="3" s="1"/>
  <c r="BI542" i="3"/>
  <c r="BJ542" i="3"/>
  <c r="BK542" i="3"/>
  <c r="BM542" i="3"/>
  <c r="BN542" i="3"/>
  <c r="BO542" i="3"/>
  <c r="BO5"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AZ545" i="3" s="1"/>
  <c r="BO545" i="3"/>
  <c r="BP545" i="3"/>
  <c r="BR545" i="3"/>
  <c r="BS545" i="3"/>
  <c r="BT545" i="3"/>
  <c r="H546" i="3"/>
  <c r="G546" i="3" s="1"/>
  <c r="AC546" i="3"/>
  <c r="BB546" i="3"/>
  <c r="BA546" i="3" s="1"/>
  <c r="BC546" i="3"/>
  <c r="BD546" i="3"/>
  <c r="BE546" i="3"/>
  <c r="BF546" i="3"/>
  <c r="BG546" i="3"/>
  <c r="BH546" i="3"/>
  <c r="BI546" i="3"/>
  <c r="BJ546" i="3"/>
  <c r="BK546" i="3"/>
  <c r="BM546" i="3"/>
  <c r="BL546" i="3" s="1"/>
  <c r="BN546" i="3"/>
  <c r="BO546" i="3"/>
  <c r="BP546" i="3"/>
  <c r="BQ546" i="3"/>
  <c r="BR546" i="3"/>
  <c r="BS546" i="3"/>
  <c r="BT546" i="3"/>
  <c r="H547" i="3"/>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A568" i="3" s="1"/>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A572" i="3" s="1"/>
  <c r="AZ572" i="3" s="1"/>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D87" i="35"/>
  <c r="E87" i="35" s="1"/>
  <c r="F87" i="35"/>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B104" i="39"/>
  <c r="D97" i="39"/>
  <c r="D95" i="39"/>
  <c r="E95" i="39" s="1"/>
  <c r="F95" i="39" s="1"/>
  <c r="G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c r="Q11" i="34"/>
  <c r="Z11" i="34"/>
  <c r="Q10" i="34"/>
  <c r="Z10" i="34"/>
  <c r="F10" i="34"/>
  <c r="AA10" i="34"/>
  <c r="Q9" i="34"/>
  <c r="Z9" i="34"/>
  <c r="J9" i="34"/>
  <c r="AC9" i="34"/>
  <c r="H9" i="34"/>
  <c r="F9" i="34"/>
  <c r="AA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c r="C18" i="20"/>
  <c r="B71" i="43"/>
  <c r="C17" i="20"/>
  <c r="B59" i="43" s="1"/>
  <c r="C16" i="20"/>
  <c r="C17" i="39" s="1"/>
  <c r="C15" i="20"/>
  <c r="B70" i="43" s="1"/>
  <c r="E54" i="21"/>
  <c r="F54" i="21" s="1"/>
  <c r="I54" i="21"/>
  <c r="J54" i="21" s="1"/>
  <c r="G54" i="21"/>
  <c r="H54" i="21" s="1"/>
  <c r="D125" i="21"/>
  <c r="E125" i="21"/>
  <c r="F125" i="21" s="1"/>
  <c r="G125" i="21" s="1"/>
  <c r="D123" i="21"/>
  <c r="E123" i="21" s="1"/>
  <c r="F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F77" i="21" s="1"/>
  <c r="G77" i="21" s="1"/>
  <c r="B130" i="21"/>
  <c r="B128" i="21"/>
  <c r="J45" i="21"/>
  <c r="W45" i="21" s="1"/>
  <c r="B126" i="21"/>
  <c r="B98" i="21"/>
  <c r="H31" i="21"/>
  <c r="AB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H36" i="21"/>
  <c r="U36" i="21" s="1"/>
  <c r="F35" i="21"/>
  <c r="AA35" i="21"/>
  <c r="J10" i="21"/>
  <c r="AC10" i="21" s="1"/>
  <c r="H26" i="21"/>
  <c r="AB26"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AA31" i="36"/>
  <c r="AC31" i="36"/>
  <c r="W31" i="36"/>
  <c r="U31" i="36"/>
  <c r="J33" i="36"/>
  <c r="W33" i="36" s="1"/>
  <c r="H22" i="35"/>
  <c r="AB22" i="35" s="1"/>
  <c r="AC27" i="35"/>
  <c r="W28" i="35"/>
  <c r="U31" i="35"/>
  <c r="S34" i="35"/>
  <c r="W34" i="35"/>
  <c r="W22" i="35"/>
  <c r="S31" i="35"/>
  <c r="U34" i="35"/>
  <c r="F36" i="34"/>
  <c r="J35" i="34"/>
  <c r="W35" i="34" s="1"/>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F17" i="39"/>
  <c r="AA17" i="39" s="1"/>
  <c r="J23" i="40"/>
  <c r="AC23" i="40"/>
  <c r="F21" i="40"/>
  <c r="AA21" i="40"/>
  <c r="J21" i="40"/>
  <c r="W21" i="40"/>
  <c r="H42" i="39"/>
  <c r="AB42" i="39" s="1"/>
  <c r="J34" i="39"/>
  <c r="AC34" i="39" s="1"/>
  <c r="J31" i="39"/>
  <c r="W31" i="39" s="1"/>
  <c r="H27" i="39"/>
  <c r="U27" i="39" s="1"/>
  <c r="J19" i="39"/>
  <c r="AC19" i="39" s="1"/>
  <c r="J17" i="39"/>
  <c r="AC17" i="39" s="1"/>
  <c r="F27" i="39"/>
  <c r="S27" i="39" s="1"/>
  <c r="S40" i="21"/>
  <c r="C25"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AC23" i="34" s="1"/>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c r="J11" i="33"/>
  <c r="W11" i="33" s="1"/>
  <c r="S28" i="34"/>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AC12" i="40"/>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AA14" i="40" s="1"/>
  <c r="J14" i="37"/>
  <c r="AC14" i="37" s="1"/>
  <c r="J27" i="37"/>
  <c r="AC27" i="37" s="1"/>
  <c r="AA44" i="33"/>
  <c r="U31" i="34"/>
  <c r="U46" i="33"/>
  <c r="AA14" i="33"/>
  <c r="J36" i="37"/>
  <c r="AC36" i="37"/>
  <c r="AB11" i="35"/>
  <c r="J10" i="36"/>
  <c r="AC10" i="36" s="1"/>
  <c r="AB26" i="33"/>
  <c r="AA14" i="37"/>
  <c r="AC13" i="36"/>
  <c r="W13" i="36"/>
  <c r="W11" i="35"/>
  <c r="AB46" i="34"/>
  <c r="AC30" i="34"/>
  <c r="AA14" i="34"/>
  <c r="S45" i="33"/>
  <c r="AB45" i="33"/>
  <c r="AB31" i="33"/>
  <c r="U31" i="33"/>
  <c r="W29" i="33"/>
  <c r="U13" i="33"/>
  <c r="AC28" i="21"/>
  <c r="S44" i="34"/>
  <c r="BA586" i="3"/>
  <c r="AZ586" i="3" s="1"/>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68" i="3"/>
  <c r="G564" i="3"/>
  <c r="G560" i="3"/>
  <c r="G550" i="3"/>
  <c r="BL580" i="3"/>
  <c r="BL576" i="3"/>
  <c r="BL572" i="3"/>
  <c r="BL564" i="3"/>
  <c r="BL560" i="3"/>
  <c r="BL554" i="3"/>
  <c r="BL542" i="3"/>
  <c r="BL538" i="3"/>
  <c r="BL534" i="3"/>
  <c r="BL530" i="3"/>
  <c r="BL526" i="3"/>
  <c r="BL522" i="3"/>
  <c r="BL516" i="3"/>
  <c r="BL512" i="3"/>
  <c r="BL506" i="3"/>
  <c r="BL502" i="3"/>
  <c r="BL498" i="3"/>
  <c r="BL494" i="3"/>
  <c r="BL582" i="3"/>
  <c r="BL578" i="3"/>
  <c r="BL574" i="3"/>
  <c r="BL566" i="3"/>
  <c r="BL562" i="3"/>
  <c r="BL556" i="3"/>
  <c r="BL544" i="3"/>
  <c r="BL540" i="3"/>
  <c r="BL536" i="3"/>
  <c r="G533" i="3"/>
  <c r="BL532" i="3"/>
  <c r="G529" i="3"/>
  <c r="BL528" i="3"/>
  <c r="G525" i="3"/>
  <c r="BL524" i="3"/>
  <c r="BL518" i="3"/>
  <c r="BL514" i="3"/>
  <c r="AZ514" i="3" s="1"/>
  <c r="BL510" i="3"/>
  <c r="BL504" i="3"/>
  <c r="BL500" i="3"/>
  <c r="BL496" i="3"/>
  <c r="G493" i="3"/>
  <c r="BA584" i="3"/>
  <c r="BA580" i="3"/>
  <c r="AZ580" i="3"/>
  <c r="BA578" i="3"/>
  <c r="AZ578" i="3"/>
  <c r="BA576" i="3"/>
  <c r="AZ576" i="3"/>
  <c r="BA574" i="3"/>
  <c r="AZ574" i="3"/>
  <c r="BA564" i="3"/>
  <c r="AZ564" i="3"/>
  <c r="BA562" i="3"/>
  <c r="AZ562" i="3"/>
  <c r="BA560" i="3"/>
  <c r="BA558" i="3"/>
  <c r="AZ558" i="3" s="1"/>
  <c r="BA556" i="3"/>
  <c r="AZ556" i="3" s="1"/>
  <c r="BA554" i="3"/>
  <c r="AZ554" i="3" s="1"/>
  <c r="BA552" i="3"/>
  <c r="AZ552" i="3" s="1"/>
  <c r="BA548"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69" i="3"/>
  <c r="AZ569" i="3" s="1"/>
  <c r="BA565" i="3"/>
  <c r="AZ565" i="3" s="1"/>
  <c r="BA563" i="3"/>
  <c r="BA561" i="3"/>
  <c r="BA559" i="3"/>
  <c r="BA555" i="3"/>
  <c r="BA549" i="3"/>
  <c r="AZ549" i="3" s="1"/>
  <c r="BA545"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1" i="3"/>
  <c r="G567" i="3"/>
  <c r="G565" i="3"/>
  <c r="G563" i="3"/>
  <c r="G561" i="3"/>
  <c r="BL558" i="3"/>
  <c r="AC557" i="3"/>
  <c r="G557" i="3"/>
  <c r="BQ557" i="3"/>
  <c r="BL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3" i="3"/>
  <c r="G541" i="3"/>
  <c r="G539" i="3"/>
  <c r="G537" i="3"/>
  <c r="BQ555" i="3"/>
  <c r="BQ553" i="3"/>
  <c r="BL553" i="3"/>
  <c r="BQ551" i="3"/>
  <c r="BL551" i="3" s="1"/>
  <c r="BQ549" i="3"/>
  <c r="BQ547" i="3"/>
  <c r="BL547" i="3"/>
  <c r="BQ545" i="3"/>
  <c r="BQ543" i="3"/>
  <c r="BL543" i="3"/>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AB43" i="33"/>
  <c r="H17" i="37"/>
  <c r="U1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S22" i="31" s="1"/>
  <c r="R22" i="31" s="1"/>
  <c r="B21" i="31" s="1"/>
  <c r="AC32" i="36"/>
  <c r="U35" i="35"/>
  <c r="AA12" i="35"/>
  <c r="AB28" i="37"/>
  <c r="U33" i="37"/>
  <c r="U39" i="37"/>
  <c r="W26" i="37"/>
  <c r="AC8" i="37"/>
  <c r="U26" i="37"/>
  <c r="W47" i="34"/>
  <c r="AB13" i="34"/>
  <c r="W37" i="34"/>
  <c r="AC36" i="34"/>
  <c r="AA13" i="33"/>
  <c r="AC31" i="33"/>
  <c r="AC45" i="33"/>
  <c r="W44" i="33"/>
  <c r="U11" i="33"/>
  <c r="U26" i="21"/>
  <c r="U12" i="21"/>
  <c r="F43" i="33"/>
  <c r="AA43" i="33"/>
  <c r="W15" i="34"/>
  <c r="AC15" i="34"/>
  <c r="W16" i="35"/>
  <c r="H19" i="34"/>
  <c r="AB19" i="34" s="1"/>
  <c r="F36" i="35"/>
  <c r="S36" i="35" s="1"/>
  <c r="J9" i="37"/>
  <c r="W9" i="37" s="1"/>
  <c r="H9" i="37"/>
  <c r="AB9" i="37" s="1"/>
  <c r="F9" i="37"/>
  <c r="S9" i="37" s="1"/>
  <c r="J12" i="37"/>
  <c r="W12" i="37" s="1"/>
  <c r="H12" i="37"/>
  <c r="AB12" i="37" s="1"/>
  <c r="F12" i="37"/>
  <c r="S12" i="37" s="1"/>
  <c r="E71" i="37"/>
  <c r="F15" i="37"/>
  <c r="AA15" i="37"/>
  <c r="F31" i="37"/>
  <c r="S31" i="37" s="1"/>
  <c r="F12" i="39"/>
  <c r="S12" i="39" s="1"/>
  <c r="J42" i="39"/>
  <c r="AC42" i="39" s="1"/>
  <c r="H21" i="40"/>
  <c r="AB21" i="40"/>
  <c r="H31" i="37"/>
  <c r="U31" i="37" s="1"/>
  <c r="F71" i="37"/>
  <c r="G71" i="37" s="1"/>
  <c r="J15" i="37"/>
  <c r="W15" i="37" s="1"/>
  <c r="U12" i="37"/>
  <c r="AT6" i="3"/>
  <c r="H5" i="3"/>
  <c r="AA25" i="21"/>
  <c r="C12" i="43"/>
  <c r="H19" i="40"/>
  <c r="U19" i="40"/>
  <c r="F19" i="40"/>
  <c r="S19" i="40"/>
  <c r="AC13" i="40"/>
  <c r="W43" i="39"/>
  <c r="AB45" i="39"/>
  <c r="U44" i="39"/>
  <c r="H37" i="39"/>
  <c r="AB37" i="39" s="1"/>
  <c r="AC37" i="39"/>
  <c r="W37" i="39"/>
  <c r="H25" i="39"/>
  <c r="AB25" i="39" s="1"/>
  <c r="F25" i="39"/>
  <c r="AA25" i="39" s="1"/>
  <c r="F15" i="39"/>
  <c r="AA15" i="39" s="1"/>
  <c r="H15" i="39"/>
  <c r="U15" i="39" s="1"/>
  <c r="J15" i="39"/>
  <c r="W15" i="39" s="1"/>
  <c r="H41" i="39"/>
  <c r="AB41" i="39" s="1"/>
  <c r="AB34" i="39"/>
  <c r="W9" i="39"/>
  <c r="W8" i="39"/>
  <c r="J19" i="40"/>
  <c r="AC19" i="40"/>
  <c r="J50" i="40"/>
  <c r="H103" i="9"/>
  <c r="D8" i="53" s="1"/>
  <c r="B16" i="53"/>
  <c r="B33" i="72" s="1"/>
  <c r="C7" i="37"/>
  <c r="C7" i="34"/>
  <c r="C59" i="34" s="1"/>
  <c r="D59" i="34" s="1"/>
  <c r="E59" i="34" s="1"/>
  <c r="F59" i="34" s="1"/>
  <c r="G59" i="34" s="1"/>
  <c r="H59" i="34" s="1"/>
  <c r="I59" i="34" s="1"/>
  <c r="J59" i="34" s="1"/>
  <c r="C7" i="36"/>
  <c r="W35" i="40"/>
  <c r="A4" i="52"/>
  <c r="B41" i="72" s="1"/>
  <c r="J11" i="39"/>
  <c r="W11" i="39" s="1"/>
  <c r="G4" i="4"/>
  <c r="I4" i="4"/>
  <c r="K5" i="4"/>
  <c r="B47" i="48" s="1"/>
  <c r="N2" i="43"/>
  <c r="F59" i="43"/>
  <c r="H62" i="43" s="1"/>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AZ506" i="3"/>
  <c r="G548" i="3"/>
  <c r="G538" i="3"/>
  <c r="G520" i="3"/>
  <c r="G502" i="3"/>
  <c r="BP5" i="3"/>
  <c r="AZ343" i="3"/>
  <c r="BI5" i="3"/>
  <c r="G17" i="3"/>
  <c r="BA17" i="3"/>
  <c r="BT5" i="3"/>
  <c r="AZ350" i="3"/>
  <c r="AZ352" i="3"/>
  <c r="AZ360" i="3"/>
  <c r="AZ368" i="3"/>
  <c r="BA15" i="3"/>
  <c r="AZ15" i="3"/>
  <c r="BR5" i="3"/>
  <c r="G28" i="6" s="1"/>
  <c r="AZ384" i="3"/>
  <c r="AZ388" i="3"/>
  <c r="AZ392" i="3"/>
  <c r="AZ396" i="3"/>
  <c r="AZ394" i="3"/>
  <c r="G509" i="3"/>
  <c r="BL493" i="3"/>
  <c r="AZ491" i="3"/>
  <c r="AZ376" i="3"/>
  <c r="AZ382" i="3"/>
  <c r="U36" i="40"/>
  <c r="N4" i="43"/>
  <c r="F36" i="43"/>
  <c r="F81" i="43"/>
  <c r="H83" i="43" s="1"/>
  <c r="H113" i="43"/>
  <c r="F48" i="43"/>
  <c r="H52" i="43" s="1"/>
  <c r="N7" i="43"/>
  <c r="F70" i="43"/>
  <c r="H73" i="43" s="1"/>
  <c r="M6" i="43"/>
  <c r="M11" i="43"/>
  <c r="E17" i="43"/>
  <c r="F39" i="43"/>
  <c r="I17" i="43"/>
  <c r="F35" i="43"/>
  <c r="J17" i="43"/>
  <c r="F6" i="1"/>
  <c r="G6" i="1" s="1"/>
  <c r="S14" i="35"/>
  <c r="U43" i="21"/>
  <c r="AC35" i="21"/>
  <c r="G8" i="1"/>
  <c r="G9" i="1"/>
  <c r="G10" i="1"/>
  <c r="F48" i="9"/>
  <c r="O52" i="9" s="1"/>
  <c r="W37" i="37"/>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C33" i="40"/>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D93" i="9"/>
  <c r="W26" i="33"/>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AC13" i="34"/>
  <c r="W28" i="37"/>
  <c r="F12" i="33"/>
  <c r="S12" i="33"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A34" i="33"/>
  <c r="B41" i="1"/>
  <c r="F53" i="9"/>
  <c r="J100" i="43"/>
  <c r="S35" i="40"/>
  <c r="U35" i="40"/>
  <c r="AC36" i="40"/>
  <c r="AA32" i="40"/>
  <c r="S23" i="40"/>
  <c r="AC15" i="40"/>
  <c r="S30" i="40"/>
  <c r="AA19" i="40"/>
  <c r="S28" i="40"/>
  <c r="U21" i="40"/>
  <c r="AB19" i="40"/>
  <c r="U37" i="39"/>
  <c r="W39" i="39"/>
  <c r="S43" i="39"/>
  <c r="U35" i="39"/>
  <c r="AB27" i="39"/>
  <c r="S25" i="39"/>
  <c r="F21" i="39"/>
  <c r="S21" i="39" s="1"/>
  <c r="W19" i="39"/>
  <c r="U19" i="39"/>
  <c r="S17" i="39"/>
  <c r="S15" i="39"/>
  <c r="AA12" i="39"/>
  <c r="S9" i="39"/>
  <c r="U14" i="39"/>
  <c r="AC13" i="39"/>
  <c r="S23" i="36"/>
  <c r="U13" i="36"/>
  <c r="AC27" i="36"/>
  <c r="AB27" i="36"/>
  <c r="U26" i="36"/>
  <c r="S33" i="36"/>
  <c r="AA26" i="36"/>
  <c r="AA34" i="36"/>
  <c r="S29" i="36"/>
  <c r="AC26" i="36"/>
  <c r="AA22" i="36"/>
  <c r="AB14" i="36"/>
  <c r="U22" i="36"/>
  <c r="S16" i="36"/>
  <c r="S24" i="36"/>
  <c r="U23" i="36"/>
  <c r="U16" i="36"/>
  <c r="S14" i="36"/>
  <c r="U10" i="36"/>
  <c r="AA25" i="35"/>
  <c r="W24" i="35"/>
  <c r="U29" i="35"/>
  <c r="U28" i="35"/>
  <c r="AB27" i="35"/>
  <c r="U32" i="35"/>
  <c r="AA33" i="35"/>
  <c r="AC30" i="35"/>
  <c r="S32" i="35"/>
  <c r="AA36" i="35"/>
  <c r="W32" i="35"/>
  <c r="S28" i="35"/>
  <c r="AB16" i="35"/>
  <c r="U22" i="35"/>
  <c r="AC20" i="35"/>
  <c r="S22" i="35"/>
  <c r="U14" i="35"/>
  <c r="AC10" i="35"/>
  <c r="AA10" i="35"/>
  <c r="AB10" i="35"/>
  <c r="AA11" i="35"/>
  <c r="S8" i="35"/>
  <c r="AC9" i="35"/>
  <c r="AC12" i="35"/>
  <c r="F9" i="35"/>
  <c r="S9" i="35" s="1"/>
  <c r="F26" i="35"/>
  <c r="AA26" i="35" s="1"/>
  <c r="J26" i="35"/>
  <c r="W26" i="35" s="1"/>
  <c r="H26" i="35"/>
  <c r="S25" i="37"/>
  <c r="W27" i="37"/>
  <c r="S26" i="37"/>
  <c r="AC9" i="37"/>
  <c r="AC29" i="37"/>
  <c r="U29" i="37"/>
  <c r="AB31" i="37"/>
  <c r="W30" i="37"/>
  <c r="S36" i="37"/>
  <c r="U32" i="37"/>
  <c r="AC35" i="37"/>
  <c r="W39" i="37"/>
  <c r="S30" i="37"/>
  <c r="S37" i="37"/>
  <c r="AC15" i="37"/>
  <c r="J17" i="37"/>
  <c r="W17" i="37"/>
  <c r="F17" i="37"/>
  <c r="AA17" i="37" s="1"/>
  <c r="AB17" i="37"/>
  <c r="F19" i="37"/>
  <c r="AA19" i="37" s="1"/>
  <c r="F79" i="37"/>
  <c r="F23" i="37"/>
  <c r="S23" i="37" s="1"/>
  <c r="U23" i="37"/>
  <c r="AC13" i="37"/>
  <c r="AA13" i="37"/>
  <c r="AA9" i="37"/>
  <c r="H10" i="37"/>
  <c r="H60" i="37"/>
  <c r="F11" i="37"/>
  <c r="S11" i="37" s="1"/>
  <c r="S27" i="34"/>
  <c r="AB8" i="34"/>
  <c r="U44" i="34"/>
  <c r="U43" i="34"/>
  <c r="AC39" i="34"/>
  <c r="W41" i="34"/>
  <c r="AC42" i="34"/>
  <c r="AB35" i="34"/>
  <c r="U39" i="34"/>
  <c r="AB41" i="34"/>
  <c r="W34" i="34"/>
  <c r="U28" i="34"/>
  <c r="S17" i="34"/>
  <c r="AA29" i="34"/>
  <c r="S23" i="34"/>
  <c r="S10" i="34"/>
  <c r="S13" i="34"/>
  <c r="H67" i="34"/>
  <c r="H10" i="34"/>
  <c r="F11" i="34"/>
  <c r="S11" i="34" s="1"/>
  <c r="F70" i="34"/>
  <c r="G70" i="34" s="1"/>
  <c r="H70" i="34" s="1"/>
  <c r="I70" i="34" s="1"/>
  <c r="J70" i="34" s="1"/>
  <c r="K70" i="34" s="1"/>
  <c r="L70" i="34" s="1"/>
  <c r="M70" i="34" s="1"/>
  <c r="AA35" i="33"/>
  <c r="S32" i="33"/>
  <c r="AA29" i="33"/>
  <c r="AB29" i="33"/>
  <c r="W38" i="33"/>
  <c r="H41" i="33"/>
  <c r="AB41" i="33" s="1"/>
  <c r="S42" i="33"/>
  <c r="F36" i="33"/>
  <c r="G111" i="33"/>
  <c r="H111" i="33" s="1"/>
  <c r="I111" i="33" s="1"/>
  <c r="J111" i="33" s="1"/>
  <c r="K111" i="33" s="1"/>
  <c r="L111" i="33" s="1"/>
  <c r="M111" i="33" s="1"/>
  <c r="J35" i="33"/>
  <c r="W35" i="33" s="1"/>
  <c r="S37" i="33"/>
  <c r="AA37" i="33"/>
  <c r="J32" i="33"/>
  <c r="AC32" i="33" s="1"/>
  <c r="S46" i="33"/>
  <c r="W43" i="33"/>
  <c r="S43" i="33"/>
  <c r="F91" i="33"/>
  <c r="G91" i="33" s="1"/>
  <c r="H91" i="33" s="1"/>
  <c r="I91" i="33" s="1"/>
  <c r="J91" i="33" s="1"/>
  <c r="K91" i="33" s="1"/>
  <c r="L91" i="33" s="1"/>
  <c r="M91" i="33" s="1"/>
  <c r="H27" i="33"/>
  <c r="H25" i="33"/>
  <c r="F25" i="33"/>
  <c r="S25" i="33" s="1"/>
  <c r="J23" i="33"/>
  <c r="H23" i="33"/>
  <c r="F19" i="33"/>
  <c r="S19" i="33"/>
  <c r="J17" i="33"/>
  <c r="W17" i="33" s="1"/>
  <c r="S15" i="33"/>
  <c r="U9" i="33"/>
  <c r="J10" i="33"/>
  <c r="AC10" i="33" s="1"/>
  <c r="H10" i="33"/>
  <c r="AA10" i="33"/>
  <c r="AC11" i="33"/>
  <c r="AB14" i="33"/>
  <c r="W43" i="21"/>
  <c r="W36" i="21"/>
  <c r="AB39" i="21"/>
  <c r="S39" i="21"/>
  <c r="AA38" i="21"/>
  <c r="AA36" i="21"/>
  <c r="J15" i="21"/>
  <c r="W15" i="21" s="1"/>
  <c r="E85" i="21"/>
  <c r="F23" i="21" s="1"/>
  <c r="S23" i="21" s="1"/>
  <c r="AB8" i="21"/>
  <c r="S8" i="21"/>
  <c r="M3" i="43"/>
  <c r="N10" i="43"/>
  <c r="M1" i="43"/>
  <c r="M8" i="43"/>
  <c r="N8" i="43"/>
  <c r="N9" i="43"/>
  <c r="D120" i="9"/>
  <c r="D121" i="9" s="1"/>
  <c r="D7" i="52" s="1"/>
  <c r="C18" i="9"/>
  <c r="D18" i="9" s="1"/>
  <c r="F34" i="67"/>
  <c r="F62" i="67" s="1"/>
  <c r="M20" i="67"/>
  <c r="F34" i="15"/>
  <c r="F62" i="15" s="1"/>
  <c r="G13" i="3"/>
  <c r="BL17" i="3"/>
  <c r="AZ17" i="3"/>
  <c r="A24" i="51"/>
  <c r="B18" i="72" s="1"/>
  <c r="U29" i="34"/>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D63" i="40" s="1"/>
  <c r="E63" i="40" s="1"/>
  <c r="E65" i="40" s="1"/>
  <c r="M47" i="9"/>
  <c r="G19" i="43"/>
  <c r="C46" i="36"/>
  <c r="D46" i="36"/>
  <c r="E46" i="36" s="1"/>
  <c r="C52" i="37"/>
  <c r="D52" i="37" s="1"/>
  <c r="E52" i="37" s="1"/>
  <c r="F52" i="37" s="1"/>
  <c r="G52" i="37" s="1"/>
  <c r="H52" i="37" s="1"/>
  <c r="I52" i="37" s="1"/>
  <c r="A4" i="51"/>
  <c r="B6" i="72"/>
  <c r="C58" i="21"/>
  <c r="D58" i="21" s="1"/>
  <c r="E58" i="21" s="1"/>
  <c r="F58" i="21" s="1"/>
  <c r="G58" i="21" s="1"/>
  <c r="H58" i="21" s="1"/>
  <c r="I58" i="21" s="1"/>
  <c r="H66" i="43"/>
  <c r="H65" i="43"/>
  <c r="H64" i="43"/>
  <c r="H63" i="43"/>
  <c r="H55" i="43"/>
  <c r="H51" i="43"/>
  <c r="H56" i="43"/>
  <c r="H76" i="43"/>
  <c r="H72" i="43"/>
  <c r="H77" i="43"/>
  <c r="L20" i="6"/>
  <c r="B6" i="1"/>
  <c r="E6" i="1"/>
  <c r="K11" i="1"/>
  <c r="M11" i="1" s="1"/>
  <c r="B9" i="1"/>
  <c r="E9" i="1" s="1"/>
  <c r="K7" i="1"/>
  <c r="G1" i="15"/>
  <c r="G1" i="69"/>
  <c r="G1" i="67"/>
  <c r="W23" i="40"/>
  <c r="U32" i="40"/>
  <c r="AB31" i="40"/>
  <c r="S37" i="40"/>
  <c r="W28" i="40"/>
  <c r="W34" i="40"/>
  <c r="W19" i="40"/>
  <c r="S36" i="40"/>
  <c r="AC14" i="40"/>
  <c r="S33" i="40"/>
  <c r="U11" i="40"/>
  <c r="S31" i="40"/>
  <c r="AB13" i="40"/>
  <c r="AB17" i="40"/>
  <c r="U8" i="40"/>
  <c r="S8" i="40"/>
  <c r="AC41" i="39"/>
  <c r="AB23" i="39"/>
  <c r="U13" i="39"/>
  <c r="AB13" i="39"/>
  <c r="AA13" i="39"/>
  <c r="U43" i="39"/>
  <c r="W17" i="39"/>
  <c r="AC31" i="39"/>
  <c r="S23" i="39"/>
  <c r="AA45" i="39"/>
  <c r="AB39" i="39"/>
  <c r="W34" i="39"/>
  <c r="U38" i="39"/>
  <c r="S8" i="39"/>
  <c r="S20" i="36"/>
  <c r="AC25" i="36"/>
  <c r="U32" i="36"/>
  <c r="AC20" i="36"/>
  <c r="AB28" i="36"/>
  <c r="W9" i="36"/>
  <c r="W22" i="36"/>
  <c r="W23" i="36"/>
  <c r="S9" i="36"/>
  <c r="AB20" i="35"/>
  <c r="U25" i="35"/>
  <c r="S24" i="35"/>
  <c r="W33" i="35"/>
  <c r="AA30" i="35"/>
  <c r="U24" i="35"/>
  <c r="W35" i="35"/>
  <c r="AA16" i="35"/>
  <c r="AA35" i="37"/>
  <c r="W36" i="37"/>
  <c r="S27" i="37"/>
  <c r="W32" i="37"/>
  <c r="AB37" i="37"/>
  <c r="S33" i="37"/>
  <c r="AC34" i="37"/>
  <c r="AB35" i="37"/>
  <c r="AA11" i="37"/>
  <c r="U19" i="37"/>
  <c r="AA29" i="37"/>
  <c r="AA8" i="37"/>
  <c r="U8" i="37"/>
  <c r="AA40" i="34"/>
  <c r="U19" i="34"/>
  <c r="W19" i="34"/>
  <c r="AB33" i="34"/>
  <c r="AA31" i="34"/>
  <c r="AA30" i="34"/>
  <c r="AB45" i="34"/>
  <c r="U25" i="34"/>
  <c r="AB36" i="34"/>
  <c r="W33" i="34"/>
  <c r="AC14" i="34"/>
  <c r="AC32" i="34"/>
  <c r="AC29" i="34"/>
  <c r="W29" i="34"/>
  <c r="AC46" i="34"/>
  <c r="AA32" i="34"/>
  <c r="AB30" i="34"/>
  <c r="S37" i="34"/>
  <c r="U38" i="34"/>
  <c r="AC40" i="34"/>
  <c r="W40" i="34"/>
  <c r="AA19" i="34"/>
  <c r="S19" i="34"/>
  <c r="AA36" i="34"/>
  <c r="S36" i="34"/>
  <c r="S8" i="34"/>
  <c r="AB9" i="34"/>
  <c r="U9" i="34"/>
  <c r="S46" i="34"/>
  <c r="AA46" i="34"/>
  <c r="U32" i="34"/>
  <c r="AB32" i="34"/>
  <c r="U14" i="34"/>
  <c r="AB14" i="34"/>
  <c r="AC43" i="34"/>
  <c r="W43" i="34"/>
  <c r="W23" i="34"/>
  <c r="AC35" i="34"/>
  <c r="U12" i="34"/>
  <c r="AC37" i="33"/>
  <c r="W46" i="33"/>
  <c r="U38" i="33"/>
  <c r="S33" i="33"/>
  <c r="AB34" i="33"/>
  <c r="AB44" i="33"/>
  <c r="AA30" i="33"/>
  <c r="AC14" i="33"/>
  <c r="W14" i="33"/>
  <c r="AC30" i="33"/>
  <c r="W30" i="33"/>
  <c r="AA31" i="33"/>
  <c r="AC13" i="33"/>
  <c r="U15" i="33"/>
  <c r="S11" i="33"/>
  <c r="U37" i="33"/>
  <c r="W9" i="33"/>
  <c r="W8" i="33"/>
  <c r="S44" i="21"/>
  <c r="S45" i="21"/>
  <c r="AB14" i="21"/>
  <c r="U40" i="21"/>
  <c r="U31" i="21"/>
  <c r="W8" i="21"/>
  <c r="S35" i="21"/>
  <c r="H15" i="21"/>
  <c r="U15" i="21" s="1"/>
  <c r="J17" i="21"/>
  <c r="AC17" i="21" s="1"/>
  <c r="AC14" i="21"/>
  <c r="S46" i="21"/>
  <c r="H45" i="21"/>
  <c r="U45" i="21"/>
  <c r="AC38" i="21"/>
  <c r="H32" i="21"/>
  <c r="AB32" i="21" s="1"/>
  <c r="J9" i="21"/>
  <c r="W9" i="21" s="1"/>
  <c r="J32" i="21"/>
  <c r="W32" i="21" s="1"/>
  <c r="F32" i="21"/>
  <c r="AA32" i="21" s="1"/>
  <c r="U17" i="21"/>
  <c r="K141" i="21"/>
  <c r="K144" i="21"/>
  <c r="K143" i="21"/>
  <c r="U27" i="21"/>
  <c r="AB25" i="21"/>
  <c r="AB44" i="21"/>
  <c r="W13" i="21"/>
  <c r="F10" i="21"/>
  <c r="S10" i="21" s="1"/>
  <c r="K145" i="21"/>
  <c r="W25" i="21"/>
  <c r="W31" i="21"/>
  <c r="S17" i="21"/>
  <c r="AB29" i="21"/>
  <c r="W10" i="21"/>
  <c r="AB36" i="21"/>
  <c r="C19" i="39"/>
  <c r="C17" i="40"/>
  <c r="C21" i="40"/>
  <c r="B49" i="43"/>
  <c r="B56" i="43"/>
  <c r="B60" i="43"/>
  <c r="B63" i="43"/>
  <c r="B67" i="43"/>
  <c r="D23" i="15"/>
  <c r="D22" i="15"/>
  <c r="AQ13" i="1"/>
  <c r="F30" i="68"/>
  <c r="C30" i="68"/>
  <c r="F30" i="11"/>
  <c r="C48" i="11"/>
  <c r="F28" i="67"/>
  <c r="C28" i="67"/>
  <c r="F31" i="12"/>
  <c r="F52" i="9"/>
  <c r="M18" i="67"/>
  <c r="F32" i="67"/>
  <c r="F60" i="67" s="1"/>
  <c r="F30" i="69"/>
  <c r="C48" i="69" s="1"/>
  <c r="F32" i="15"/>
  <c r="F60" i="15" s="1"/>
  <c r="M18" i="15"/>
  <c r="F28" i="15"/>
  <c r="C28" i="15" s="1"/>
  <c r="C48" i="68"/>
  <c r="C77" i="9"/>
  <c r="C74" i="9" s="1"/>
  <c r="C24" i="12"/>
  <c r="AA12" i="33"/>
  <c r="D68" i="9"/>
  <c r="F54" i="9"/>
  <c r="J32" i="39"/>
  <c r="AC32" i="39" s="1"/>
  <c r="H32" i="39"/>
  <c r="AB32" i="39" s="1"/>
  <c r="AA9" i="35"/>
  <c r="AC26" i="35"/>
  <c r="AB26" i="35"/>
  <c r="U26" i="35"/>
  <c r="AC17" i="37"/>
  <c r="J19" i="37"/>
  <c r="AC19" i="37" s="1"/>
  <c r="S19" i="37"/>
  <c r="AA23" i="37"/>
  <c r="J23" i="37"/>
  <c r="G79" i="37"/>
  <c r="J10" i="37"/>
  <c r="I60"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AC23" i="33"/>
  <c r="W23" i="33"/>
  <c r="AA19" i="33"/>
  <c r="H19" i="33"/>
  <c r="AB19" i="33" s="1"/>
  <c r="H17" i="33"/>
  <c r="F17" i="33"/>
  <c r="AA17" i="33" s="1"/>
  <c r="AC17" i="33"/>
  <c r="U10" i="33"/>
  <c r="AB10" i="33"/>
  <c r="W10" i="33"/>
  <c r="F85" i="21"/>
  <c r="G85" i="21" s="1"/>
  <c r="H23" i="21"/>
  <c r="U23" i="21" s="1"/>
  <c r="D6" i="52"/>
  <c r="O19" i="43"/>
  <c r="AP7" i="1"/>
  <c r="AB45" i="21"/>
  <c r="S32" i="21"/>
  <c r="AC9" i="21"/>
  <c r="U32" i="21"/>
  <c r="C30" i="11"/>
  <c r="W32" i="39"/>
  <c r="W19" i="37"/>
  <c r="W23" i="37"/>
  <c r="AC23" i="37"/>
  <c r="AB11" i="37"/>
  <c r="J11" i="37"/>
  <c r="W11" i="37" s="1"/>
  <c r="W10" i="37"/>
  <c r="AC10" i="37"/>
  <c r="AB11" i="34"/>
  <c r="AC10" i="34"/>
  <c r="W10" i="34"/>
  <c r="J11" i="34"/>
  <c r="AC36" i="33"/>
  <c r="W36" i="33"/>
  <c r="U36" i="33"/>
  <c r="W27" i="33"/>
  <c r="W25" i="33"/>
  <c r="AA23" i="33"/>
  <c r="S23" i="33"/>
  <c r="U19" i="33"/>
  <c r="U17" i="33"/>
  <c r="AB17" i="33"/>
  <c r="AB23" i="21"/>
  <c r="F1" i="67"/>
  <c r="Q52" i="67"/>
  <c r="AC11" i="37"/>
  <c r="W11" i="34"/>
  <c r="AC11" i="34"/>
  <c r="F63" i="40"/>
  <c r="F65" i="40" s="1"/>
  <c r="G63" i="40"/>
  <c r="G65" i="40" s="1"/>
  <c r="H63" i="40"/>
  <c r="H65" i="40" s="1"/>
  <c r="I63" i="40"/>
  <c r="I65" i="40" s="1"/>
  <c r="AG6" i="1"/>
  <c r="H109" i="9"/>
  <c r="D124" i="9" s="1"/>
  <c r="H110" i="9"/>
  <c r="D18" i="53" s="1"/>
  <c r="B35" i="72" s="1"/>
  <c r="D16" i="53"/>
  <c r="B34" i="72" s="1"/>
  <c r="J7" i="33"/>
  <c r="W7" i="33" s="1"/>
  <c r="H7" i="33"/>
  <c r="AB7" i="33" s="1"/>
  <c r="T48" i="33" s="1"/>
  <c r="G48" i="33" s="1"/>
  <c r="H112" i="9"/>
  <c r="D21" i="53" s="1"/>
  <c r="B39" i="72" s="1"/>
  <c r="H111" i="9"/>
  <c r="D126" i="9" s="1"/>
  <c r="I14" i="74" s="1"/>
  <c r="B8" i="74" s="1"/>
  <c r="D19" i="53"/>
  <c r="B38" i="72" s="1"/>
  <c r="D59" i="9"/>
  <c r="M55" i="9"/>
  <c r="D20" i="53"/>
  <c r="B40" i="72" s="1"/>
  <c r="AD3" i="71"/>
  <c r="P22" i="43"/>
  <c r="P24" i="43"/>
  <c r="B66" i="40" s="1"/>
  <c r="F31" i="15"/>
  <c r="F31" i="67"/>
  <c r="D2" i="37"/>
  <c r="E8" i="76"/>
  <c r="B7" i="76"/>
  <c r="D2" i="35"/>
  <c r="E7" i="76"/>
  <c r="F4" i="73"/>
  <c r="B12" i="76"/>
  <c r="F5" i="73"/>
  <c r="B9" i="76"/>
  <c r="AO12" i="1"/>
  <c r="D2" i="34"/>
  <c r="F6" i="73"/>
  <c r="E13" i="76"/>
  <c r="E10" i="76"/>
  <c r="D2" i="21"/>
  <c r="E12" i="76"/>
  <c r="F20" i="31"/>
  <c r="B10" i="76"/>
  <c r="M26" i="15"/>
  <c r="L47" i="15"/>
  <c r="M29" i="67"/>
  <c r="M8" i="15"/>
  <c r="E9" i="76"/>
  <c r="F3" i="73"/>
  <c r="B13" i="76"/>
  <c r="E11" i="76"/>
  <c r="M23" i="15"/>
  <c r="D2" i="36"/>
  <c r="E2" i="69"/>
  <c r="B8" i="76"/>
  <c r="F40" i="15"/>
  <c r="M27" i="15"/>
  <c r="L48" i="15"/>
  <c r="F9" i="67"/>
  <c r="M6" i="15"/>
  <c r="D2" i="33"/>
  <c r="M24" i="15"/>
  <c r="M26" i="67"/>
  <c r="F41" i="67"/>
  <c r="AO10" i="1"/>
  <c r="M6" i="67"/>
  <c r="E2" i="68"/>
  <c r="AO13" i="1"/>
  <c r="M27" i="67"/>
  <c r="M22" i="67"/>
  <c r="F6" i="15"/>
  <c r="M8" i="67"/>
  <c r="C76" i="15"/>
  <c r="F43" i="67"/>
  <c r="B11" i="76"/>
  <c r="F7" i="73"/>
  <c r="M9" i="15"/>
  <c r="M28" i="67"/>
  <c r="F7" i="15"/>
  <c r="F36" i="15"/>
  <c r="F37" i="15"/>
  <c r="F8" i="15"/>
  <c r="F40" i="67"/>
  <c r="AO11" i="1"/>
  <c r="F13" i="15"/>
  <c r="F7" i="67"/>
  <c r="D9" i="53" l="1"/>
  <c r="B25" i="72" s="1"/>
  <c r="B24" i="72"/>
  <c r="AZ497" i="3"/>
  <c r="AZ501" i="3"/>
  <c r="AZ585" i="3"/>
  <c r="U13" i="21"/>
  <c r="AB13" i="21"/>
  <c r="W27" i="21"/>
  <c r="AC27" i="21"/>
  <c r="W29" i="21"/>
  <c r="AC29" i="21"/>
  <c r="S9" i="21"/>
  <c r="AA9" i="21"/>
  <c r="U28" i="33"/>
  <c r="AB28" i="33"/>
  <c r="U40" i="37"/>
  <c r="AB40" i="37"/>
  <c r="AC14" i="39"/>
  <c r="W14" i="39"/>
  <c r="AZ546" i="3"/>
  <c r="AZ521" i="3"/>
  <c r="S12" i="21"/>
  <c r="AA12" i="21"/>
  <c r="W11" i="36"/>
  <c r="AC11" i="36"/>
  <c r="AZ571" i="3"/>
  <c r="AZ570" i="3"/>
  <c r="AZ568" i="3"/>
  <c r="AZ567" i="3"/>
  <c r="H23" i="35"/>
  <c r="J23" i="35"/>
  <c r="E122" i="39"/>
  <c r="F122" i="39" s="1"/>
  <c r="G122" i="39" s="1"/>
  <c r="H122" i="39" s="1"/>
  <c r="I122" i="39" s="1"/>
  <c r="J122" i="39" s="1"/>
  <c r="K122" i="39" s="1"/>
  <c r="L122" i="39" s="1"/>
  <c r="M122" i="39" s="1"/>
  <c r="J40" i="39"/>
  <c r="AC40" i="39" s="1"/>
  <c r="J39" i="40"/>
  <c r="H39" i="40"/>
  <c r="BL548" i="3"/>
  <c r="AZ548" i="3" s="1"/>
  <c r="S17" i="33"/>
  <c r="W23" i="39"/>
  <c r="P25" i="43"/>
  <c r="P23" i="43"/>
  <c r="B71" i="39" s="1"/>
  <c r="P21" i="43"/>
  <c r="F7" i="33"/>
  <c r="S7" i="33" s="1"/>
  <c r="D65" i="40"/>
  <c r="AA10" i="21"/>
  <c r="C65" i="40"/>
  <c r="K120" i="9"/>
  <c r="A18" i="62" s="1"/>
  <c r="B64" i="72" s="1"/>
  <c r="J23" i="21"/>
  <c r="W23" i="21" s="1"/>
  <c r="S17" i="37"/>
  <c r="S26" i="35"/>
  <c r="B52" i="43"/>
  <c r="U30" i="40"/>
  <c r="C23" i="40"/>
  <c r="C15" i="40"/>
  <c r="W30" i="40"/>
  <c r="W12" i="21"/>
  <c r="S28" i="21"/>
  <c r="AC26" i="21"/>
  <c r="AA15" i="21"/>
  <c r="S27" i="21"/>
  <c r="AC45" i="21"/>
  <c r="AA30" i="21"/>
  <c r="AA31" i="21"/>
  <c r="H9" i="21"/>
  <c r="AB9" i="21" s="1"/>
  <c r="F13" i="21"/>
  <c r="F29" i="21"/>
  <c r="W30" i="21"/>
  <c r="W39" i="21"/>
  <c r="AB46" i="21"/>
  <c r="AA26" i="21"/>
  <c r="U28" i="21"/>
  <c r="U39" i="33"/>
  <c r="AA11" i="34"/>
  <c r="AB47" i="34"/>
  <c r="AC45" i="34"/>
  <c r="AB40" i="34"/>
  <c r="AA31" i="37"/>
  <c r="U38" i="37"/>
  <c r="U36" i="37"/>
  <c r="S28" i="37"/>
  <c r="S35" i="35"/>
  <c r="AC25" i="35"/>
  <c r="AA13" i="36"/>
  <c r="U25" i="36"/>
  <c r="W29" i="36"/>
  <c r="S28" i="36"/>
  <c r="AA27" i="39"/>
  <c r="U41" i="39"/>
  <c r="U15" i="40"/>
  <c r="AA15" i="40"/>
  <c r="S13" i="40"/>
  <c r="W37" i="40"/>
  <c r="W27" i="40"/>
  <c r="AB28" i="40"/>
  <c r="H67" i="43"/>
  <c r="H59" i="43"/>
  <c r="H60" i="43"/>
  <c r="H61" i="43"/>
  <c r="I7" i="21"/>
  <c r="E7" i="21"/>
  <c r="G7" i="21"/>
  <c r="AR12" i="1"/>
  <c r="AA14" i="21"/>
  <c r="AC40" i="21"/>
  <c r="AA43" i="21"/>
  <c r="W41" i="21"/>
  <c r="W15" i="33"/>
  <c r="W19" i="33"/>
  <c r="S39" i="33"/>
  <c r="U42" i="33"/>
  <c r="S27" i="33"/>
  <c r="W42" i="33"/>
  <c r="U15" i="34"/>
  <c r="AA25" i="34"/>
  <c r="AA45" i="34"/>
  <c r="S43" i="34"/>
  <c r="AA33" i="34"/>
  <c r="W25" i="34"/>
  <c r="AA12" i="37"/>
  <c r="U9" i="37"/>
  <c r="U15" i="37"/>
  <c r="W38" i="37"/>
  <c r="AA38" i="37"/>
  <c r="S32" i="37"/>
  <c r="H9" i="35"/>
  <c r="W13" i="35"/>
  <c r="S20" i="35"/>
  <c r="U36" i="35"/>
  <c r="AB13" i="35"/>
  <c r="W10" i="36"/>
  <c r="AB20" i="36"/>
  <c r="AA25" i="36"/>
  <c r="W14" i="36"/>
  <c r="S27" i="36"/>
  <c r="H21" i="39"/>
  <c r="J21" i="39"/>
  <c r="AC21" i="39" s="1"/>
  <c r="U31" i="39"/>
  <c r="F32" i="39"/>
  <c r="AA32" i="39" s="1"/>
  <c r="S37" i="39"/>
  <c r="AA27" i="40"/>
  <c r="AB27" i="40"/>
  <c r="AC17" i="40"/>
  <c r="S17" i="40"/>
  <c r="AB37" i="40"/>
  <c r="M18" i="86"/>
  <c r="F32" i="86"/>
  <c r="F60" i="86" s="1"/>
  <c r="F28" i="86"/>
  <c r="C28" i="86" s="1"/>
  <c r="F32" i="84"/>
  <c r="F60" i="84" s="1"/>
  <c r="F28" i="84"/>
  <c r="C28" i="84" s="1"/>
  <c r="M18" i="84"/>
  <c r="F32" i="80"/>
  <c r="F60" i="80" s="1"/>
  <c r="F28" i="80"/>
  <c r="C28" i="80" s="1"/>
  <c r="M18" i="80"/>
  <c r="F32" i="78"/>
  <c r="F60" i="78" s="1"/>
  <c r="F28" i="78"/>
  <c r="C28" i="78" s="1"/>
  <c r="M18" i="78"/>
  <c r="AC34" i="33"/>
  <c r="F39" i="40"/>
  <c r="H12" i="39"/>
  <c r="S19" i="39"/>
  <c r="AA47" i="34"/>
  <c r="U30" i="33"/>
  <c r="F97" i="39"/>
  <c r="G97" i="39" s="1"/>
  <c r="AB25" i="37"/>
  <c r="U12" i="40"/>
  <c r="AC11" i="39"/>
  <c r="U35" i="21"/>
  <c r="BQ5" i="3"/>
  <c r="F11" i="39"/>
  <c r="AA11" i="39" s="1"/>
  <c r="S42" i="39"/>
  <c r="J25" i="39"/>
  <c r="AB33" i="40"/>
  <c r="S14" i="40"/>
  <c r="AC12" i="37"/>
  <c r="AC46" i="21"/>
  <c r="W44" i="21"/>
  <c r="AB37" i="34"/>
  <c r="W14" i="37"/>
  <c r="AC33" i="36"/>
  <c r="U14" i="40"/>
  <c r="H27" i="34"/>
  <c r="AB27" i="37"/>
  <c r="W31" i="34"/>
  <c r="AB30" i="21"/>
  <c r="AA13" i="35"/>
  <c r="F14" i="39"/>
  <c r="F40" i="37"/>
  <c r="J40" i="37"/>
  <c r="F11" i="36"/>
  <c r="H11" i="36"/>
  <c r="J28" i="33"/>
  <c r="F28" i="33"/>
  <c r="U23" i="40"/>
  <c r="AB17" i="34"/>
  <c r="W40" i="33"/>
  <c r="S26" i="33"/>
  <c r="W8" i="34"/>
  <c r="F23" i="35"/>
  <c r="H11" i="39"/>
  <c r="C27" i="39"/>
  <c r="J27" i="39"/>
  <c r="H17" i="39"/>
  <c r="W36" i="35"/>
  <c r="S30" i="36"/>
  <c r="F35" i="39"/>
  <c r="J35" i="39"/>
  <c r="J19" i="21"/>
  <c r="W19" i="21" s="1"/>
  <c r="J34" i="21"/>
  <c r="W34" i="21" s="1"/>
  <c r="H34" i="21"/>
  <c r="AB34" i="21" s="1"/>
  <c r="F19" i="21"/>
  <c r="AC31" i="35"/>
  <c r="J12" i="36"/>
  <c r="H12" i="36"/>
  <c r="J24" i="36"/>
  <c r="H24" i="36"/>
  <c r="F38" i="40"/>
  <c r="J38" i="40"/>
  <c r="H38" i="40"/>
  <c r="BA550" i="3"/>
  <c r="AZ550"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M20" i="15"/>
  <c r="F34" i="86"/>
  <c r="F62" i="86" s="1"/>
  <c r="M20" i="86"/>
  <c r="F34" i="84"/>
  <c r="F62" i="84" s="1"/>
  <c r="M20" i="84"/>
  <c r="M20" i="80"/>
  <c r="F34" i="80"/>
  <c r="F62" i="80" s="1"/>
  <c r="F34" i="78"/>
  <c r="F62" i="78" s="1"/>
  <c r="M20" i="78"/>
  <c r="BN5" i="3"/>
  <c r="BS5" i="3"/>
  <c r="AZ270" i="3"/>
  <c r="AZ277" i="3"/>
  <c r="AZ282" i="3"/>
  <c r="AZ290" i="3"/>
  <c r="AZ301" i="3"/>
  <c r="AZ122" i="3"/>
  <c r="AZ125" i="3"/>
  <c r="AZ169" i="3"/>
  <c r="AZ201" i="3"/>
  <c r="AZ30" i="3"/>
  <c r="AZ40" i="3"/>
  <c r="AZ49" i="3"/>
  <c r="AZ54" i="3"/>
  <c r="AZ65" i="3"/>
  <c r="AZ70" i="3"/>
  <c r="AZ76" i="3"/>
  <c r="AZ90" i="3"/>
  <c r="AZ92" i="3"/>
  <c r="AZ96" i="3"/>
  <c r="G1" i="86"/>
  <c r="G1" i="84"/>
  <c r="F3" i="35"/>
  <c r="M108" i="43"/>
  <c r="M100" i="43"/>
  <c r="K108" i="43"/>
  <c r="K100" i="43"/>
  <c r="I108" i="43"/>
  <c r="I100" i="43"/>
  <c r="E108" i="43"/>
  <c r="E100" i="43"/>
  <c r="AB21" i="33"/>
  <c r="U21" i="33"/>
  <c r="H19" i="21"/>
  <c r="AA18" i="35"/>
  <c r="S18" i="35"/>
  <c r="AA25" i="40"/>
  <c r="S25" i="40"/>
  <c r="S11" i="71"/>
  <c r="B10" i="71"/>
  <c r="B9" i="71" s="1"/>
  <c r="D21" i="71"/>
  <c r="C22" i="71"/>
  <c r="D25" i="71"/>
  <c r="C26" i="71"/>
  <c r="C30" i="71"/>
  <c r="D30" i="71" s="1"/>
  <c r="D29" i="71"/>
  <c r="C34" i="71"/>
  <c r="D33" i="71"/>
  <c r="C38" i="71"/>
  <c r="D37" i="71"/>
  <c r="C42" i="71"/>
  <c r="D41" i="71"/>
  <c r="C6" i="71"/>
  <c r="T7" i="71"/>
  <c r="D7" i="71"/>
  <c r="U7" i="71" s="1"/>
  <c r="AZ108" i="3"/>
  <c r="D108" i="43"/>
  <c r="D100" i="43"/>
  <c r="AA21" i="37"/>
  <c r="C19" i="71"/>
  <c r="C47" i="71"/>
  <c r="D46" i="71"/>
  <c r="F13" i="71"/>
  <c r="F14" i="71" s="1"/>
  <c r="F15" i="71" s="1"/>
  <c r="V15" i="71" s="1"/>
  <c r="AA7" i="71"/>
  <c r="AB7" i="71"/>
  <c r="X5" i="71"/>
  <c r="J51" i="86"/>
  <c r="J51" i="84"/>
  <c r="J51" i="78"/>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C16" i="43"/>
  <c r="C5" i="43" s="1"/>
  <c r="D22" i="67"/>
  <c r="BK5" i="3"/>
  <c r="BG5" i="3"/>
  <c r="E5" i="6" s="1"/>
  <c r="D9" i="11" s="1"/>
  <c r="C9" i="11" s="1"/>
  <c r="BC5" i="3"/>
  <c r="G29" i="6"/>
  <c r="F28" i="6"/>
  <c r="BM5" i="3"/>
  <c r="F29" i="6" s="1"/>
  <c r="F30" i="6" s="1"/>
  <c r="E10" i="6"/>
  <c r="E14" i="6"/>
  <c r="E64" i="39" s="1"/>
  <c r="E28" i="6"/>
  <c r="K14" i="1" s="1"/>
  <c r="M14" i="1" s="1"/>
  <c r="T12" i="1"/>
  <c r="BL13" i="3"/>
  <c r="BL5" i="3" s="1"/>
  <c r="BA13" i="3"/>
  <c r="BA5" i="3" s="1"/>
  <c r="E8" i="6"/>
  <c r="AB29" i="39"/>
  <c r="AA23" i="21"/>
  <c r="U25" i="39"/>
  <c r="AC38" i="39"/>
  <c r="AA39" i="39"/>
  <c r="S32" i="39"/>
  <c r="B55" i="43"/>
  <c r="B65" i="43"/>
  <c r="B54" i="43"/>
  <c r="AC29" i="39"/>
  <c r="AA21" i="39"/>
  <c r="W42" i="39"/>
  <c r="W40" i="39"/>
  <c r="U32" i="39"/>
  <c r="S29" i="39"/>
  <c r="W21" i="39"/>
  <c r="AB15" i="39"/>
  <c r="AC15" i="39"/>
  <c r="S11" i="39"/>
  <c r="G5" i="3"/>
  <c r="B3" i="3" s="1"/>
  <c r="E8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308" i="3"/>
  <c r="E158" i="3"/>
  <c r="E80" i="3"/>
  <c r="AF6" i="3"/>
  <c r="E250" i="3"/>
  <c r="E24" i="3"/>
  <c r="E386" i="3"/>
  <c r="E248" i="3"/>
  <c r="E65" i="3"/>
  <c r="E521" i="3"/>
  <c r="E110" i="3"/>
  <c r="E504" i="3"/>
  <c r="E332" i="3"/>
  <c r="E104" i="3"/>
  <c r="E543" i="3"/>
  <c r="E82" i="3"/>
  <c r="E373" i="3"/>
  <c r="E323" i="3"/>
  <c r="E222" i="3"/>
  <c r="E179" i="3"/>
  <c r="E154" i="3"/>
  <c r="E19" i="3"/>
  <c r="E51" i="3"/>
  <c r="Y6" i="3"/>
  <c r="E341" i="3"/>
  <c r="E233" i="3"/>
  <c r="E144" i="3"/>
  <c r="E67" i="3"/>
  <c r="E23" i="3"/>
  <c r="E310" i="3"/>
  <c r="E300" i="3"/>
  <c r="E267" i="3"/>
  <c r="E142" i="3"/>
  <c r="E103" i="3"/>
  <c r="E64" i="3"/>
  <c r="E425" i="3"/>
  <c r="E441" i="3"/>
  <c r="E29" i="3"/>
  <c r="E44" i="3"/>
  <c r="AM6" i="3"/>
  <c r="E384" i="3"/>
  <c r="E346" i="3"/>
  <c r="E225" i="3"/>
  <c r="E41" i="3"/>
  <c r="E498" i="3"/>
  <c r="E486" i="3"/>
  <c r="E393" i="3"/>
  <c r="E427" i="3"/>
  <c r="E440" i="3"/>
  <c r="J6" i="3"/>
  <c r="E401" i="3"/>
  <c r="E25" i="3"/>
  <c r="E178" i="3"/>
  <c r="E202" i="3"/>
  <c r="E226" i="3"/>
  <c r="E315" i="3"/>
  <c r="E394"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51" i="3"/>
  <c r="E274" i="3"/>
  <c r="E257" i="3"/>
  <c r="E214" i="3"/>
  <c r="E279" i="3"/>
  <c r="E256" i="3"/>
  <c r="E208" i="3"/>
  <c r="E171" i="3"/>
  <c r="E150" i="3"/>
  <c r="E203" i="3"/>
  <c r="E168" i="3"/>
  <c r="E146" i="3"/>
  <c r="E111" i="3"/>
  <c r="E73" i="3"/>
  <c r="E54" i="3"/>
  <c r="E106" i="3"/>
  <c r="E72" i="3"/>
  <c r="E26" i="3"/>
  <c r="E420" i="3"/>
  <c r="E470" i="3"/>
  <c r="E452" i="3"/>
  <c r="E494" i="3"/>
  <c r="E13" i="3"/>
  <c r="E497" i="3"/>
  <c r="E556" i="3"/>
  <c r="E360" i="3"/>
  <c r="E451" i="3"/>
  <c r="E408" i="3"/>
  <c r="E512" i="3"/>
  <c r="E469" i="3"/>
  <c r="E456" i="3"/>
  <c r="E405" i="3"/>
  <c r="T6" i="3"/>
  <c r="E534" i="3"/>
  <c r="E525" i="3"/>
  <c r="E105" i="3"/>
  <c r="E511" i="3"/>
  <c r="E369" i="3"/>
  <c r="E116" i="3"/>
  <c r="E306" i="3"/>
  <c r="E161" i="3"/>
  <c r="E238"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57" i="40"/>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H16" i="1"/>
  <c r="M7" i="1"/>
  <c r="O7" i="1" s="1"/>
  <c r="E59" i="40"/>
  <c r="O14" i="1"/>
  <c r="P14" i="1" s="1"/>
  <c r="O12" i="1"/>
  <c r="P12" i="1" s="1"/>
  <c r="O11" i="1"/>
  <c r="P11" i="1" s="1"/>
  <c r="O8" i="1"/>
  <c r="P8" i="1" s="1"/>
  <c r="D9" i="68"/>
  <c r="C9" i="68" s="1"/>
  <c r="D19" i="12"/>
  <c r="C19" i="12" s="1"/>
  <c r="O6" i="1"/>
  <c r="P6" i="1" s="1"/>
  <c r="C13" i="12" s="1"/>
  <c r="U7" i="33"/>
  <c r="AC7" i="33"/>
  <c r="V48" i="33" s="1"/>
  <c r="I48" i="33" s="1"/>
  <c r="AA7" i="33"/>
  <c r="R48" i="33" s="1"/>
  <c r="R49" i="33" s="1"/>
  <c r="AB42" i="21"/>
  <c r="S42" i="21"/>
  <c r="AB38" i="21"/>
  <c r="AC34" i="21"/>
  <c r="U34" i="21"/>
  <c r="U42" i="39"/>
  <c r="AA41" i="39"/>
  <c r="U40" i="39"/>
  <c r="U9" i="39"/>
  <c r="C94" i="9"/>
  <c r="C92" i="9"/>
  <c r="C30" i="6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63" i="40"/>
  <c r="J58" i="21"/>
  <c r="K58" i="21" s="1"/>
  <c r="L58" i="21" s="1"/>
  <c r="M58" i="21" s="1"/>
  <c r="N58" i="21" s="1"/>
  <c r="O58" i="21" s="1"/>
  <c r="H7" i="21"/>
  <c r="K59" i="34"/>
  <c r="L59" i="34" s="1"/>
  <c r="M59" i="34" s="1"/>
  <c r="N59" i="34" s="1"/>
  <c r="O59" i="34" s="1"/>
  <c r="F7" i="34"/>
  <c r="H7" i="34"/>
  <c r="J52" i="37"/>
  <c r="K52" i="37" s="1"/>
  <c r="L52" i="37" s="1"/>
  <c r="M52" i="37" s="1"/>
  <c r="N52" i="37" s="1"/>
  <c r="O52" i="37" s="1"/>
  <c r="F7" i="37"/>
  <c r="F46" i="36"/>
  <c r="E48" i="35"/>
  <c r="J7" i="34"/>
  <c r="D68" i="39"/>
  <c r="B20" i="31"/>
  <c r="F69" i="67"/>
  <c r="F68" i="67"/>
  <c r="F51" i="15"/>
  <c r="F68" i="15"/>
  <c r="L58" i="15"/>
  <c r="M59" i="15"/>
  <c r="L59" i="15" s="1"/>
  <c r="N59" i="15"/>
  <c r="F64" i="15"/>
  <c r="F65" i="15"/>
  <c r="B12" i="70"/>
  <c r="B13" i="70"/>
  <c r="K1" i="73"/>
  <c r="I54" i="15"/>
  <c r="L56" i="15"/>
  <c r="J57" i="15"/>
  <c r="J55" i="15" s="1"/>
  <c r="J58" i="15" s="1"/>
  <c r="Q50" i="15" s="1"/>
  <c r="Q71" i="15"/>
  <c r="F71" i="67"/>
  <c r="M7" i="67"/>
  <c r="F50" i="67"/>
  <c r="M7" i="15"/>
  <c r="F50" i="15"/>
  <c r="B10" i="70"/>
  <c r="B11" i="70"/>
  <c r="I1" i="73"/>
  <c r="B39" i="1" s="1"/>
  <c r="M17" i="67"/>
  <c r="F59" i="15"/>
  <c r="F59" i="67"/>
  <c r="M17" i="15"/>
  <c r="F6" i="67"/>
  <c r="F42" i="15"/>
  <c r="F38" i="67"/>
  <c r="F43" i="15"/>
  <c r="M29" i="15"/>
  <c r="F42" i="67"/>
  <c r="L47" i="67"/>
  <c r="F26" i="67"/>
  <c r="F9" i="15"/>
  <c r="F16" i="67"/>
  <c r="M28" i="15"/>
  <c r="F37" i="67"/>
  <c r="F26" i="15"/>
  <c r="F41" i="80"/>
  <c r="M8" i="78"/>
  <c r="M9" i="80"/>
  <c r="M28" i="78"/>
  <c r="J15" i="80"/>
  <c r="L47" i="80"/>
  <c r="M24" i="80"/>
  <c r="F26" i="80"/>
  <c r="F13" i="78"/>
  <c r="L48" i="78"/>
  <c r="F37" i="78"/>
  <c r="M29" i="80"/>
  <c r="F42" i="80"/>
  <c r="F8" i="80"/>
  <c r="M23" i="80"/>
  <c r="F40" i="78"/>
  <c r="F26" i="78"/>
  <c r="F38" i="78"/>
  <c r="F36" i="80"/>
  <c r="M26" i="80"/>
  <c r="F16" i="80"/>
  <c r="M23" i="78"/>
  <c r="J15" i="78"/>
  <c r="M8" i="80"/>
  <c r="C76" i="80"/>
  <c r="M27" i="80"/>
  <c r="M6" i="78"/>
  <c r="M29" i="78"/>
  <c r="L47" i="78"/>
  <c r="F40" i="80"/>
  <c r="M26" i="78"/>
  <c r="F8" i="67"/>
  <c r="F36" i="67"/>
  <c r="F13" i="67"/>
  <c r="M9" i="67"/>
  <c r="L48" i="67"/>
  <c r="M24" i="67"/>
  <c r="F16" i="15"/>
  <c r="J15" i="67"/>
  <c r="F38" i="15"/>
  <c r="J15" i="15"/>
  <c r="C76" i="67"/>
  <c r="M23" i="67"/>
  <c r="M22" i="15"/>
  <c r="F43" i="80"/>
  <c r="F8" i="78"/>
  <c r="F37" i="80"/>
  <c r="F36" i="78"/>
  <c r="C76" i="78"/>
  <c r="F9" i="80"/>
  <c r="M6" i="80"/>
  <c r="F6" i="80"/>
  <c r="F43" i="78"/>
  <c r="F42" i="78"/>
  <c r="M22" i="78"/>
  <c r="M9" i="78"/>
  <c r="F7" i="80"/>
  <c r="F13" i="80"/>
  <c r="L48" i="80"/>
  <c r="F7" i="78"/>
  <c r="F16" i="78"/>
  <c r="M24" i="78"/>
  <c r="F6" i="78"/>
  <c r="M28" i="80"/>
  <c r="F38" i="80"/>
  <c r="M27" i="78"/>
  <c r="M22" i="80"/>
  <c r="F9" i="78"/>
  <c r="Q71" i="67" l="1"/>
  <c r="F66" i="15"/>
  <c r="J57" i="67"/>
  <c r="J55" i="67" s="1"/>
  <c r="J58" i="67" s="1"/>
  <c r="Q50" i="67" s="1"/>
  <c r="I54" i="67"/>
  <c r="L56" i="67"/>
  <c r="F64" i="67"/>
  <c r="F51" i="67"/>
  <c r="C49" i="67" s="1"/>
  <c r="C27" i="15"/>
  <c r="F65" i="67"/>
  <c r="C6" i="15"/>
  <c r="C27" i="67"/>
  <c r="N59" i="67"/>
  <c r="L58" i="67"/>
  <c r="Q73" i="67" s="1"/>
  <c r="M59" i="67"/>
  <c r="L59" i="67"/>
  <c r="Q74" i="67" s="1"/>
  <c r="F70" i="67"/>
  <c r="F71" i="15"/>
  <c r="F66" i="67"/>
  <c r="C6" i="67"/>
  <c r="E11" i="6"/>
  <c r="D9" i="69"/>
  <c r="C9" i="69" s="1"/>
  <c r="O50" i="71"/>
  <c r="C49" i="71"/>
  <c r="D50" i="71"/>
  <c r="T47" i="71"/>
  <c r="D47" i="71"/>
  <c r="C5" i="71"/>
  <c r="D5" i="71" s="1"/>
  <c r="D6" i="71"/>
  <c r="D42" i="71"/>
  <c r="C43" i="71"/>
  <c r="D38" i="71"/>
  <c r="C39" i="71"/>
  <c r="D34" i="71"/>
  <c r="C35" i="71"/>
  <c r="U19" i="21"/>
  <c r="AB19" i="21"/>
  <c r="W38" i="40"/>
  <c r="AC38" i="40"/>
  <c r="AB24" i="36"/>
  <c r="U24" i="36"/>
  <c r="AB12" i="36"/>
  <c r="U12" i="36"/>
  <c r="S35" i="39"/>
  <c r="AA35" i="39"/>
  <c r="AC27" i="39"/>
  <c r="W27" i="39"/>
  <c r="U11" i="39"/>
  <c r="AB11" i="39"/>
  <c r="W28" i="33"/>
  <c r="AC28" i="33"/>
  <c r="AA11" i="36"/>
  <c r="S11" i="36"/>
  <c r="AA40" i="37"/>
  <c r="S40" i="37"/>
  <c r="U27" i="34"/>
  <c r="AB27" i="34"/>
  <c r="AC25" i="39"/>
  <c r="W25" i="39"/>
  <c r="AB12" i="39"/>
  <c r="U12" i="39"/>
  <c r="AB21" i="39"/>
  <c r="U21" i="39"/>
  <c r="AB9" i="35"/>
  <c r="U9" i="35"/>
  <c r="S13" i="21"/>
  <c r="AA13" i="21"/>
  <c r="AC39" i="40"/>
  <c r="W39" i="40"/>
  <c r="U23" i="35"/>
  <c r="AB23" i="35"/>
  <c r="J6" i="67"/>
  <c r="B6" i="71"/>
  <c r="B5" i="71" s="1"/>
  <c r="S7" i="71"/>
  <c r="Q50" i="71"/>
  <c r="F49" i="71"/>
  <c r="E49" i="71"/>
  <c r="P50" i="71"/>
  <c r="C57" i="71"/>
  <c r="D57" i="71" s="1"/>
  <c r="D58" i="71"/>
  <c r="T19" i="71"/>
  <c r="D19" i="71"/>
  <c r="D26" i="71"/>
  <c r="C27" i="71"/>
  <c r="D22" i="71"/>
  <c r="C23" i="71"/>
  <c r="AB38" i="40"/>
  <c r="U38" i="40"/>
  <c r="S38" i="40"/>
  <c r="AA38" i="40"/>
  <c r="AC24" i="36"/>
  <c r="W24" i="36"/>
  <c r="AC12" i="36"/>
  <c r="W12" i="36"/>
  <c r="AA19" i="21"/>
  <c r="S19" i="21"/>
  <c r="W35" i="39"/>
  <c r="AC35" i="39"/>
  <c r="AB17" i="39"/>
  <c r="U17" i="39"/>
  <c r="S23" i="35"/>
  <c r="AA23" i="35"/>
  <c r="S28" i="33"/>
  <c r="AA28" i="33"/>
  <c r="U11" i="36"/>
  <c r="AB11" i="36"/>
  <c r="AC40" i="37"/>
  <c r="W40" i="37"/>
  <c r="AA14" i="39"/>
  <c r="S14" i="39"/>
  <c r="AA39" i="40"/>
  <c r="S39" i="40"/>
  <c r="AA29" i="21"/>
  <c r="S29" i="21"/>
  <c r="U39" i="40"/>
  <c r="AB39" i="40"/>
  <c r="AC23" i="35"/>
  <c r="W23" i="35"/>
  <c r="F11" i="86"/>
  <c r="M11" i="86"/>
  <c r="F11" i="84"/>
  <c r="M11" i="84"/>
  <c r="J22" i="43"/>
  <c r="M101" i="43"/>
  <c r="Z11" i="43"/>
  <c r="Z13" i="43" s="1"/>
  <c r="G22" i="43"/>
  <c r="E27" i="6"/>
  <c r="C34" i="69"/>
  <c r="C35" i="69" s="1"/>
  <c r="E29" i="6"/>
  <c r="G30" i="6"/>
  <c r="G31" i="6" s="1"/>
  <c r="E63" i="39"/>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H101" i="43"/>
  <c r="H107" i="43" s="1"/>
  <c r="E22" i="43"/>
  <c r="F101" i="43"/>
  <c r="F105" i="43" s="1"/>
  <c r="F28" i="12"/>
  <c r="C29" i="12" s="1"/>
  <c r="D28" i="12" s="1"/>
  <c r="C29" i="69"/>
  <c r="D27" i="69" s="1"/>
  <c r="C47" i="69"/>
  <c r="D45" i="69" s="1"/>
  <c r="P7" i="1"/>
  <c r="P16" i="1" s="1"/>
  <c r="C11" i="12" s="1"/>
  <c r="C12" i="12" s="1"/>
  <c r="F27" i="11"/>
  <c r="C6" i="78"/>
  <c r="M59" i="78"/>
  <c r="L59" i="78" s="1"/>
  <c r="L58" i="78"/>
  <c r="N59" i="78"/>
  <c r="Q71" i="78"/>
  <c r="F65" i="78"/>
  <c r="F66" i="78"/>
  <c r="F51" i="78"/>
  <c r="J57" i="78"/>
  <c r="J55" i="78" s="1"/>
  <c r="J58" i="78" s="1"/>
  <c r="Q50" i="78" s="1"/>
  <c r="I54" i="78"/>
  <c r="C27" i="78"/>
  <c r="F68" i="78"/>
  <c r="F64" i="78"/>
  <c r="F71" i="78"/>
  <c r="M7" i="78"/>
  <c r="J6" i="78" s="1"/>
  <c r="F50" i="78"/>
  <c r="C27" i="80"/>
  <c r="C6" i="80"/>
  <c r="L56" i="80"/>
  <c r="I54" i="80"/>
  <c r="J57" i="80"/>
  <c r="J55" i="80" s="1"/>
  <c r="J58" i="80" s="1"/>
  <c r="Q50" i="80" s="1"/>
  <c r="F71" i="80"/>
  <c r="F68" i="80"/>
  <c r="F51" i="80"/>
  <c r="F66" i="80"/>
  <c r="F65" i="80"/>
  <c r="Q71" i="80"/>
  <c r="N59" i="80"/>
  <c r="L58" i="80"/>
  <c r="L59" i="80"/>
  <c r="M59" i="80"/>
  <c r="F50" i="80"/>
  <c r="M7" i="80"/>
  <c r="J6" i="80" s="1"/>
  <c r="F64" i="80"/>
  <c r="F69" i="80"/>
  <c r="O16" i="1"/>
  <c r="F11" i="80"/>
  <c r="M11" i="80"/>
  <c r="M16" i="1"/>
  <c r="L16" i="1" s="1"/>
  <c r="F31" i="6"/>
  <c r="E60" i="40"/>
  <c r="E65" i="39"/>
  <c r="K20" i="6"/>
  <c r="K24" i="6"/>
  <c r="M24" i="6" s="1"/>
  <c r="I24" i="6" s="1"/>
  <c r="S24" i="6" s="1"/>
  <c r="K26" i="6"/>
  <c r="M26" i="6" s="1"/>
  <c r="I26" i="6" s="1"/>
  <c r="S26" i="6" s="1"/>
  <c r="K22" i="6"/>
  <c r="K23" i="6"/>
  <c r="M23" i="6" s="1"/>
  <c r="I23" i="6" s="1"/>
  <c r="S23" i="6" s="1"/>
  <c r="K19" i="6"/>
  <c r="S6" i="1" s="1"/>
  <c r="E6" i="70" s="1"/>
  <c r="K25" i="6"/>
  <c r="M25" i="6" s="1"/>
  <c r="I25" i="6" s="1"/>
  <c r="S25" i="6" s="1"/>
  <c r="K21" i="6"/>
  <c r="AC6" i="3"/>
  <c r="H6" i="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K63" i="40"/>
  <c r="J65" i="40"/>
  <c r="E53" i="33"/>
  <c r="F53" i="33" s="1"/>
  <c r="E52" i="33"/>
  <c r="F52" i="33" s="1"/>
  <c r="I53" i="33"/>
  <c r="J53" i="33" s="1"/>
  <c r="D70" i="39"/>
  <c r="E68" i="39"/>
  <c r="S7" i="37"/>
  <c r="AA7" i="37"/>
  <c r="R42" i="37" s="1"/>
  <c r="S7" i="34"/>
  <c r="AA7" i="34"/>
  <c r="R49" i="34" s="1"/>
  <c r="AB7" i="21"/>
  <c r="U7" i="21"/>
  <c r="C49" i="33"/>
  <c r="C48" i="33"/>
  <c r="Q73" i="15"/>
  <c r="Q60" i="15"/>
  <c r="C49" i="15"/>
  <c r="Q60" i="67"/>
  <c r="F11" i="67"/>
  <c r="M11" i="15"/>
  <c r="M11" i="67"/>
  <c r="J10" i="67" s="1"/>
  <c r="F11" i="15"/>
  <c r="J6" i="15"/>
  <c r="Q61" i="15"/>
  <c r="Q74" i="15"/>
  <c r="Q61" i="67"/>
  <c r="C16" i="15"/>
  <c r="C16" i="67"/>
  <c r="D5" i="73"/>
  <c r="G1" i="73" s="1"/>
  <c r="D4" i="73"/>
  <c r="F7" i="84"/>
  <c r="F36" i="84"/>
  <c r="F40" i="84"/>
  <c r="M28" i="84"/>
  <c r="F42" i="84"/>
  <c r="F43" i="84"/>
  <c r="C76" i="84"/>
  <c r="M9" i="84"/>
  <c r="M22" i="84"/>
  <c r="L48" i="84"/>
  <c r="F38" i="84"/>
  <c r="F26" i="84"/>
  <c r="F37" i="84"/>
  <c r="M26" i="84"/>
  <c r="J15" i="86"/>
  <c r="M29" i="86"/>
  <c r="F42" i="86"/>
  <c r="F13" i="86"/>
  <c r="F38" i="86"/>
  <c r="M24" i="86"/>
  <c r="F43" i="86"/>
  <c r="F16" i="86"/>
  <c r="F37" i="86"/>
  <c r="L47" i="86"/>
  <c r="F26" i="86"/>
  <c r="F7" i="86"/>
  <c r="F40" i="86"/>
  <c r="D3" i="73"/>
  <c r="D7" i="73"/>
  <c r="D6" i="73"/>
  <c r="L47" i="84"/>
  <c r="M27" i="84"/>
  <c r="F13" i="84"/>
  <c r="M29" i="84"/>
  <c r="M23" i="84"/>
  <c r="M6" i="84"/>
  <c r="J15" i="84"/>
  <c r="F16" i="84"/>
  <c r="F8" i="84"/>
  <c r="M8" i="84"/>
  <c r="F6" i="84"/>
  <c r="M24" i="84"/>
  <c r="F9" i="84"/>
  <c r="C76" i="86"/>
  <c r="M6" i="86"/>
  <c r="M23" i="86"/>
  <c r="F8" i="86"/>
  <c r="F6" i="86"/>
  <c r="M27" i="86"/>
  <c r="F9" i="86"/>
  <c r="L48" i="86"/>
  <c r="M9" i="86"/>
  <c r="M26" i="86"/>
  <c r="M28" i="86"/>
  <c r="M8" i="86"/>
  <c r="F36" i="86"/>
  <c r="M22" i="86"/>
  <c r="C16" i="80"/>
  <c r="AE7" i="1"/>
  <c r="C16" i="78"/>
  <c r="J5" i="67" l="1"/>
  <c r="J18" i="67" s="1"/>
  <c r="F64" i="86"/>
  <c r="L56" i="86"/>
  <c r="L60" i="86"/>
  <c r="L57" i="86"/>
  <c r="J60" i="86"/>
  <c r="Q48" i="86" s="1"/>
  <c r="J53" i="86"/>
  <c r="J57" i="86"/>
  <c r="J55" i="86" s="1"/>
  <c r="J58" i="86" s="1"/>
  <c r="Q50" i="86" s="1"/>
  <c r="I54" i="86"/>
  <c r="J59" i="86"/>
  <c r="C6" i="86"/>
  <c r="F51" i="86"/>
  <c r="Q71" i="86"/>
  <c r="C6" i="84"/>
  <c r="C10" i="84" s="1"/>
  <c r="C5" i="84" s="1"/>
  <c r="F51" i="84"/>
  <c r="N59" i="84"/>
  <c r="L58" i="84"/>
  <c r="M59" i="84"/>
  <c r="L59" i="84" s="1"/>
  <c r="F68" i="86"/>
  <c r="F50" i="86"/>
  <c r="M7" i="86"/>
  <c r="J6" i="86" s="1"/>
  <c r="J10" i="86" s="1"/>
  <c r="J5" i="86" s="1"/>
  <c r="C27" i="86"/>
  <c r="N59" i="86"/>
  <c r="L58" i="86"/>
  <c r="M59" i="86"/>
  <c r="L59" i="86" s="1"/>
  <c r="F65" i="86"/>
  <c r="F71" i="86"/>
  <c r="F66" i="86"/>
  <c r="F65" i="84"/>
  <c r="C27" i="84"/>
  <c r="F66" i="84"/>
  <c r="J60" i="84"/>
  <c r="Q48" i="84" s="1"/>
  <c r="J57" i="84"/>
  <c r="J55" i="84" s="1"/>
  <c r="J58" i="84" s="1"/>
  <c r="Q50" i="84" s="1"/>
  <c r="J59" i="84"/>
  <c r="J53" i="84"/>
  <c r="I54" i="84"/>
  <c r="Q71" i="84"/>
  <c r="F71" i="84"/>
  <c r="F68" i="84"/>
  <c r="F64" i="84"/>
  <c r="F50" i="84"/>
  <c r="M7" i="84"/>
  <c r="J6" i="84" s="1"/>
  <c r="J10" i="84" s="1"/>
  <c r="J5" i="84" s="1"/>
  <c r="E20" i="43"/>
  <c r="B40" i="1"/>
  <c r="F24" i="86" s="1"/>
  <c r="E6" i="3"/>
  <c r="Q49" i="71"/>
  <c r="Q48" i="71"/>
  <c r="T35" i="71"/>
  <c r="D35" i="71"/>
  <c r="T39" i="71"/>
  <c r="D39" i="71"/>
  <c r="T43" i="71"/>
  <c r="D43" i="71"/>
  <c r="D49" i="71"/>
  <c r="O48" i="71"/>
  <c r="O49" i="71"/>
  <c r="E61" i="39"/>
  <c r="E66" i="39" s="1"/>
  <c r="E56" i="40"/>
  <c r="T23" i="71"/>
  <c r="D23" i="71"/>
  <c r="T27" i="71"/>
  <c r="D27" i="71"/>
  <c r="P49" i="71"/>
  <c r="P48" i="71"/>
  <c r="M20" i="43"/>
  <c r="C19" i="43" s="1"/>
  <c r="C29" i="68"/>
  <c r="D27" i="68" s="1"/>
  <c r="C53" i="86"/>
  <c r="C10" i="86"/>
  <c r="C38" i="69"/>
  <c r="C53" i="84"/>
  <c r="E30" i="6"/>
  <c r="E31" i="6" s="1"/>
  <c r="K15" i="1"/>
  <c r="K16" i="1" s="1"/>
  <c r="L19" i="6"/>
  <c r="E3" i="6"/>
  <c r="AY6" i="3"/>
  <c r="Q52" i="78"/>
  <c r="F1" i="78"/>
  <c r="J10" i="78"/>
  <c r="J5" i="78" s="1"/>
  <c r="J18" i="78" s="1"/>
  <c r="C49" i="78"/>
  <c r="D22" i="43"/>
  <c r="F107" i="43"/>
  <c r="F102" i="43"/>
  <c r="H102" i="43"/>
  <c r="C106" i="43"/>
  <c r="D107" i="43"/>
  <c r="D106" i="43"/>
  <c r="L105" i="43"/>
  <c r="L103" i="43"/>
  <c r="N16" i="1"/>
  <c r="C15" i="12"/>
  <c r="F106" i="43"/>
  <c r="F104" i="43"/>
  <c r="H103" i="43"/>
  <c r="H104" i="43"/>
  <c r="H105" i="43"/>
  <c r="C109" i="43"/>
  <c r="C105" i="43"/>
  <c r="C103" i="43"/>
  <c r="D104" i="43"/>
  <c r="D102" i="43"/>
  <c r="C23" i="43" s="1"/>
  <c r="C21" i="43" s="1"/>
  <c r="C29" i="43" s="1"/>
  <c r="K27" i="6"/>
  <c r="M21" i="6"/>
  <c r="I21" i="6" s="1"/>
  <c r="S21" i="6" s="1"/>
  <c r="S8" i="1"/>
  <c r="E8" i="70" s="1"/>
  <c r="AQ6" i="1"/>
  <c r="AR6" i="1"/>
  <c r="T6" i="1"/>
  <c r="M22" i="6"/>
  <c r="I22" i="6" s="1"/>
  <c r="S22" i="6" s="1"/>
  <c r="S9" i="1"/>
  <c r="E9" i="70" s="1"/>
  <c r="M20" i="6"/>
  <c r="I20" i="6" s="1"/>
  <c r="S20" i="6" s="1"/>
  <c r="S7" i="1"/>
  <c r="E7" i="70" s="1"/>
  <c r="E2" i="70" s="1"/>
  <c r="C47" i="11"/>
  <c r="D45" i="11" s="1"/>
  <c r="C29" i="11"/>
  <c r="D27" i="11" s="1"/>
  <c r="C49" i="80"/>
  <c r="Q74" i="80"/>
  <c r="Q61" i="80"/>
  <c r="Q60" i="78"/>
  <c r="Q73" i="78"/>
  <c r="Q61" i="78"/>
  <c r="Q74" i="78"/>
  <c r="J10" i="80"/>
  <c r="J5" i="80" s="1"/>
  <c r="J26" i="80" s="1"/>
  <c r="J29" i="80" s="1"/>
  <c r="Q73" i="80"/>
  <c r="Q60" i="80"/>
  <c r="C53" i="80"/>
  <c r="C10" i="80"/>
  <c r="C5" i="80" s="1"/>
  <c r="W10" i="39"/>
  <c r="AA10" i="40"/>
  <c r="AC10" i="40"/>
  <c r="U10" i="40"/>
  <c r="C115" i="43"/>
  <c r="D113" i="43" s="1"/>
  <c r="S2" i="43"/>
  <c r="T2" i="43" s="1"/>
  <c r="V2" i="43" s="1"/>
  <c r="S4" i="43"/>
  <c r="T4" i="43" s="1"/>
  <c r="V4" i="43" s="1"/>
  <c r="S3" i="43"/>
  <c r="T3" i="43" s="1"/>
  <c r="V3" i="43" s="1"/>
  <c r="S7" i="43"/>
  <c r="T7" i="43" s="1"/>
  <c r="V7" i="43" s="1"/>
  <c r="C53" i="78"/>
  <c r="C10" i="78"/>
  <c r="C5" i="78" s="1"/>
  <c r="S10" i="39"/>
  <c r="AB10" i="39"/>
  <c r="E49" i="34"/>
  <c r="R50" i="34"/>
  <c r="R43" i="37"/>
  <c r="E42" i="37"/>
  <c r="F68" i="39"/>
  <c r="E70" i="39"/>
  <c r="K65" i="40"/>
  <c r="L63" i="40"/>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26" i="67"/>
  <c r="J29" i="67" s="1"/>
  <c r="C53" i="15"/>
  <c r="C48" i="15" s="1"/>
  <c r="C10" i="15"/>
  <c r="C5" i="15" s="1"/>
  <c r="J10" i="15"/>
  <c r="J5" i="15" s="1"/>
  <c r="C53" i="67"/>
  <c r="C48" i="67" s="1"/>
  <c r="C10" i="67"/>
  <c r="C5" i="67" s="1"/>
  <c r="C17" i="84"/>
  <c r="AE8" i="1"/>
  <c r="C17" i="15"/>
  <c r="F41" i="15"/>
  <c r="C17" i="80"/>
  <c r="C16" i="84"/>
  <c r="C16" i="86"/>
  <c r="C17" i="86"/>
  <c r="C14" i="84"/>
  <c r="C14" i="67"/>
  <c r="C17" i="78"/>
  <c r="C17" i="67"/>
  <c r="F24" i="15" l="1"/>
  <c r="C24" i="15" s="1"/>
  <c r="F24" i="67"/>
  <c r="C24" i="67" s="1"/>
  <c r="F22" i="69"/>
  <c r="C26" i="69" s="1"/>
  <c r="D22" i="69" s="1"/>
  <c r="F24" i="80"/>
  <c r="C24" i="80" s="1"/>
  <c r="F24" i="84"/>
  <c r="C24" i="84" s="1"/>
  <c r="J24" i="86"/>
  <c r="J18" i="86"/>
  <c r="J26" i="86"/>
  <c r="C5" i="86"/>
  <c r="C38" i="86" s="1"/>
  <c r="C49" i="86"/>
  <c r="C48" i="86" s="1"/>
  <c r="C60" i="86" s="1"/>
  <c r="C18" i="84"/>
  <c r="C15" i="84"/>
  <c r="J18" i="84"/>
  <c r="J26" i="84"/>
  <c r="J24" i="84"/>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L56" i="84"/>
  <c r="Q52" i="84"/>
  <c r="F1" i="84"/>
  <c r="Q61" i="86"/>
  <c r="Q74" i="86"/>
  <c r="Q60" i="84"/>
  <c r="Q73" i="84"/>
  <c r="F22" i="68"/>
  <c r="C26" i="68" s="1"/>
  <c r="D22" i="68" s="1"/>
  <c r="F25" i="12"/>
  <c r="F22" i="11"/>
  <c r="C24" i="11" s="1"/>
  <c r="S6" i="43"/>
  <c r="T6" i="43" s="1"/>
  <c r="V6" i="43" s="1"/>
  <c r="S5" i="43"/>
  <c r="T5" i="43" s="1"/>
  <c r="V5" i="43" s="1"/>
  <c r="F24" i="78"/>
  <c r="C24" i="78" s="1"/>
  <c r="N17" i="43"/>
  <c r="O17" i="43"/>
  <c r="P17" i="43"/>
  <c r="M17" i="43"/>
  <c r="Q60" i="86"/>
  <c r="Q73" i="86"/>
  <c r="Q74" i="84"/>
  <c r="Q61" i="84"/>
  <c r="C49" i="84"/>
  <c r="C48" i="84" s="1"/>
  <c r="F1" i="86"/>
  <c r="Q52" i="86"/>
  <c r="L46" i="86"/>
  <c r="Q66" i="86"/>
  <c r="Q57" i="86"/>
  <c r="F34" i="11"/>
  <c r="F50" i="11"/>
  <c r="F50" i="68"/>
  <c r="F50" i="69"/>
  <c r="C24" i="86"/>
  <c r="C38" i="84"/>
  <c r="C33" i="84"/>
  <c r="C32" i="84"/>
  <c r="L27" i="6"/>
  <c r="M19" i="6"/>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H22" i="6"/>
  <c r="S16" i="1"/>
  <c r="F11" i="12"/>
  <c r="F34" i="68"/>
  <c r="C36" i="68" s="1"/>
  <c r="AQ7" i="1"/>
  <c r="AR7" i="1"/>
  <c r="T7" i="1"/>
  <c r="AR9" i="1"/>
  <c r="T9" i="1"/>
  <c r="AQ9" i="1"/>
  <c r="AR8" i="1"/>
  <c r="T8" i="1"/>
  <c r="AQ8" i="1"/>
  <c r="J18" i="80"/>
  <c r="C48" i="80"/>
  <c r="C60" i="80" s="1"/>
  <c r="J24" i="80"/>
  <c r="C38" i="80"/>
  <c r="C32" i="80"/>
  <c r="C37" i="11"/>
  <c r="C34" i="11"/>
  <c r="C36" i="11"/>
  <c r="E29" i="43"/>
  <c r="C30" i="43"/>
  <c r="E30" i="43" s="1"/>
  <c r="C38" i="78"/>
  <c r="C32" i="78"/>
  <c r="AB7" i="35"/>
  <c r="T38" i="35" s="1"/>
  <c r="G38" i="35" s="1"/>
  <c r="U7" i="35"/>
  <c r="I46" i="36"/>
  <c r="I47" i="37"/>
  <c r="J47" i="37" s="1"/>
  <c r="I46" i="37"/>
  <c r="J46" i="37" s="1"/>
  <c r="AC7" i="35"/>
  <c r="V38" i="35" s="1"/>
  <c r="I38" i="35" s="1"/>
  <c r="W7" i="35"/>
  <c r="G47" i="37"/>
  <c r="H47" i="37" s="1"/>
  <c r="G46" i="37"/>
  <c r="H46" i="37" s="1"/>
  <c r="M63" i="40"/>
  <c r="L65" i="40"/>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26" i="12"/>
  <c r="D25" i="12" s="1"/>
  <c r="C32" i="67"/>
  <c r="C38" i="67"/>
  <c r="C32" i="15"/>
  <c r="C38" i="15"/>
  <c r="AE6" i="1"/>
  <c r="F41" i="84" s="1"/>
  <c r="AE9" i="1"/>
  <c r="F41" i="86" s="1"/>
  <c r="C14" i="86"/>
  <c r="C14" i="80"/>
  <c r="C14" i="15"/>
  <c r="F41" i="78"/>
  <c r="C14" i="78"/>
  <c r="C44" i="69" l="1"/>
  <c r="D41" i="69" s="1"/>
  <c r="C26" i="11"/>
  <c r="D22" i="11" s="1"/>
  <c r="C44" i="68"/>
  <c r="D41" i="68" s="1"/>
  <c r="C44" i="11"/>
  <c r="D41" i="11" s="1"/>
  <c r="C66" i="86"/>
  <c r="C33" i="86"/>
  <c r="C19" i="84"/>
  <c r="C20" i="84" s="1"/>
  <c r="C23" i="11"/>
  <c r="C32" i="86"/>
  <c r="C18" i="86"/>
  <c r="C15" i="86"/>
  <c r="F69" i="86"/>
  <c r="J29" i="86"/>
  <c r="F69" i="84"/>
  <c r="J29" i="84"/>
  <c r="C60" i="84"/>
  <c r="C66" i="84"/>
  <c r="G36" i="43"/>
  <c r="I36" i="43" s="1"/>
  <c r="E36" i="43"/>
  <c r="G33" i="43"/>
  <c r="I33" i="43" s="1"/>
  <c r="E33" i="43"/>
  <c r="C26" i="43" s="1"/>
  <c r="E35" i="43"/>
  <c r="G35" i="43"/>
  <c r="I35" i="43" s="1"/>
  <c r="E39" i="43"/>
  <c r="G39" i="43"/>
  <c r="I39" i="43" s="1"/>
  <c r="C27" i="43"/>
  <c r="G34" i="43"/>
  <c r="I34" i="43" s="1"/>
  <c r="E34" i="43"/>
  <c r="G38" i="43"/>
  <c r="I38" i="43" s="1"/>
  <c r="E38" i="43"/>
  <c r="E37" i="43"/>
  <c r="G37" i="43"/>
  <c r="I37" i="43" s="1"/>
  <c r="C66" i="78"/>
  <c r="M27" i="6"/>
  <c r="I19" i="6"/>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34" i="68"/>
  <c r="C35" i="68" s="1"/>
  <c r="C14" i="12"/>
  <c r="C16" i="12" s="1"/>
  <c r="C21" i="12" s="1"/>
  <c r="C22" i="12" s="1"/>
  <c r="C66" i="80"/>
  <c r="C19" i="67"/>
  <c r="C20" i="67" s="1"/>
  <c r="C26" i="67" s="1"/>
  <c r="C18" i="80"/>
  <c r="C15" i="80"/>
  <c r="C18" i="78"/>
  <c r="C15" i="78"/>
  <c r="C15" i="15"/>
  <c r="C18" i="15"/>
  <c r="T16" i="1"/>
  <c r="C35" i="11"/>
  <c r="C38" i="11"/>
  <c r="H68" i="39"/>
  <c r="G70" i="39"/>
  <c r="R39" i="35"/>
  <c r="E38" i="35"/>
  <c r="M65" i="40"/>
  <c r="N63" i="40"/>
  <c r="I42" i="35"/>
  <c r="J42" i="35" s="1"/>
  <c r="I43" i="35"/>
  <c r="J43" i="35" s="1"/>
  <c r="J46" i="36"/>
  <c r="G43" i="35"/>
  <c r="H43" i="35" s="1"/>
  <c r="G42" i="35"/>
  <c r="H42" i="35" s="1"/>
  <c r="M21" i="80"/>
  <c r="F35" i="80"/>
  <c r="F35" i="15"/>
  <c r="M21" i="67"/>
  <c r="F35" i="67"/>
  <c r="M21" i="15"/>
  <c r="E6" i="76"/>
  <c r="C22" i="11" l="1"/>
  <c r="C26" i="84"/>
  <c r="C23" i="84"/>
  <c r="C19" i="86"/>
  <c r="C20" i="86" s="1"/>
  <c r="C23" i="86" s="1"/>
  <c r="E2" i="76"/>
  <c r="B2" i="43"/>
  <c r="C38" i="68"/>
  <c r="I27" i="6"/>
  <c r="S19" i="6"/>
  <c r="S27" i="6" s="1"/>
  <c r="H19" i="6"/>
  <c r="H27" i="6" s="1"/>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31" i="6" s="1"/>
  <c r="I5" i="6" s="1"/>
  <c r="D19" i="69"/>
  <c r="C10" i="69"/>
  <c r="C8" i="69" s="1"/>
  <c r="C5" i="69" s="1"/>
  <c r="AB33" i="21"/>
  <c r="U33" i="21"/>
  <c r="R19" i="6"/>
  <c r="R26" i="6"/>
  <c r="D7" i="74"/>
  <c r="D8" i="74"/>
  <c r="D19" i="68"/>
  <c r="C10" i="68"/>
  <c r="C28" i="11"/>
  <c r="C27" i="11" s="1"/>
  <c r="C31" i="11" s="1"/>
  <c r="W33" i="21"/>
  <c r="AC33" i="21"/>
  <c r="S33" i="21"/>
  <c r="AA33" i="21"/>
  <c r="C19" i="78"/>
  <c r="C20" i="78" s="1"/>
  <c r="C26" i="78" s="1"/>
  <c r="C19" i="80"/>
  <c r="C20" i="80" s="1"/>
  <c r="C26" i="80" s="1"/>
  <c r="C23" i="67"/>
  <c r="C29" i="67" s="1"/>
  <c r="J14" i="67" s="1"/>
  <c r="J22" i="67" s="1"/>
  <c r="C19" i="15"/>
  <c r="C20" i="15" s="1"/>
  <c r="C26" i="15" s="1"/>
  <c r="C33" i="11"/>
  <c r="C39" i="11" s="1"/>
  <c r="I6" i="6"/>
  <c r="C11" i="21" s="1"/>
  <c r="K46" i="36"/>
  <c r="L46" i="36" s="1"/>
  <c r="M46" i="36" s="1"/>
  <c r="N46" i="36" s="1"/>
  <c r="O46" i="36" s="1"/>
  <c r="F7" i="36"/>
  <c r="H7" i="36"/>
  <c r="C39" i="35"/>
  <c r="B2" i="35" s="1"/>
  <c r="B3" i="35" s="1"/>
  <c r="C38" i="35"/>
  <c r="I68" i="39"/>
  <c r="H70" i="39"/>
  <c r="J7" i="36"/>
  <c r="O63" i="40"/>
  <c r="O65" i="40" s="1"/>
  <c r="H7" i="40" s="1"/>
  <c r="N65" i="40"/>
  <c r="F7" i="40" s="1"/>
  <c r="E43" i="35"/>
  <c r="F43" i="35" s="1"/>
  <c r="E42" i="35"/>
  <c r="F42" i="35" s="1"/>
  <c r="B6" i="76"/>
  <c r="M21" i="86"/>
  <c r="F35" i="78"/>
  <c r="F35" i="86"/>
  <c r="M21" i="78"/>
  <c r="C29" i="84" l="1"/>
  <c r="C13" i="84" s="1"/>
  <c r="B2" i="76"/>
  <c r="B3" i="76" s="1"/>
  <c r="R27" i="6"/>
  <c r="B3" i="43"/>
  <c r="C26" i="86"/>
  <c r="C29" i="86" s="1"/>
  <c r="F63" i="86"/>
  <c r="C62" i="86" s="1"/>
  <c r="C34" i="86"/>
  <c r="C31" i="86" s="1"/>
  <c r="J20" i="86"/>
  <c r="R6" i="1"/>
  <c r="J20" i="78"/>
  <c r="F63" i="78"/>
  <c r="C62" i="78" s="1"/>
  <c r="C34" i="78"/>
  <c r="J13" i="67"/>
  <c r="J23" i="67" s="1"/>
  <c r="F11" i="21"/>
  <c r="H11" i="21"/>
  <c r="J11" i="2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AB7" i="40"/>
  <c r="T42" i="40" s="1"/>
  <c r="G42" i="40" s="1"/>
  <c r="U7" i="40"/>
  <c r="AA7" i="40"/>
  <c r="R42" i="40" s="1"/>
  <c r="S7" i="40"/>
  <c r="J68" i="39"/>
  <c r="I70" i="39"/>
  <c r="J7" i="40"/>
  <c r="S7" i="36"/>
  <c r="AA7" i="36"/>
  <c r="R36" i="36" s="1"/>
  <c r="W7" i="36"/>
  <c r="AC7" i="36"/>
  <c r="V36" i="36" s="1"/>
  <c r="I36" i="36" s="1"/>
  <c r="U7" i="36"/>
  <c r="AB7" i="36"/>
  <c r="T36" i="36" s="1"/>
  <c r="G36" i="36" s="1"/>
  <c r="M21" i="84"/>
  <c r="F35" i="84"/>
  <c r="C36" i="84" l="1"/>
  <c r="C57" i="84"/>
  <c r="Q49" i="84"/>
  <c r="J14" i="84"/>
  <c r="J22" i="84" s="1"/>
  <c r="J19" i="84"/>
  <c r="J13" i="84"/>
  <c r="J23" i="84" s="1"/>
  <c r="C75" i="84"/>
  <c r="C56" i="84"/>
  <c r="C65" i="84" s="1"/>
  <c r="Q70" i="84"/>
  <c r="C37" i="84"/>
  <c r="C57" i="86"/>
  <c r="J19" i="86"/>
  <c r="J17" i="86" s="1"/>
  <c r="C13" i="86"/>
  <c r="C36" i="86"/>
  <c r="J14" i="86"/>
  <c r="Q49" i="86"/>
  <c r="C34" i="84"/>
  <c r="C31" i="84" s="1"/>
  <c r="F63" i="84"/>
  <c r="C62" i="84" s="1"/>
  <c r="J20" i="84"/>
  <c r="R16" i="1"/>
  <c r="J16" i="67"/>
  <c r="J25" i="67" s="1"/>
  <c r="C20" i="69"/>
  <c r="C28" i="69" s="1"/>
  <c r="C27" i="69" s="1"/>
  <c r="C42" i="68"/>
  <c r="C39" i="68"/>
  <c r="U11" i="21"/>
  <c r="AB11" i="21"/>
  <c r="T48" i="21" s="1"/>
  <c r="G48" i="21" s="1"/>
  <c r="C39" i="69"/>
  <c r="C42" i="69"/>
  <c r="C24" i="68"/>
  <c r="W11" i="21"/>
  <c r="AC11" i="21"/>
  <c r="V48" i="21" s="1"/>
  <c r="I48" i="21" s="1"/>
  <c r="I52" i="21" s="1"/>
  <c r="J52" i="21" s="1"/>
  <c r="S11" i="21"/>
  <c r="AA11" i="21"/>
  <c r="R48" i="21" s="1"/>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W7" i="40"/>
  <c r="AC7" i="40"/>
  <c r="V42" i="40" s="1"/>
  <c r="I42" i="40" s="1"/>
  <c r="K68" i="39"/>
  <c r="J70" i="39"/>
  <c r="R43" i="40"/>
  <c r="E42" i="40"/>
  <c r="G46" i="40"/>
  <c r="H46" i="40" s="1"/>
  <c r="L51" i="67"/>
  <c r="C61" i="84" l="1"/>
  <c r="C59" i="84" s="1"/>
  <c r="C64" i="84"/>
  <c r="J17" i="84"/>
  <c r="J16" i="84" s="1"/>
  <c r="J25" i="84" s="1"/>
  <c r="C30" i="84"/>
  <c r="C39" i="84" s="1"/>
  <c r="J13" i="86"/>
  <c r="J23" i="86" s="1"/>
  <c r="J22" i="86"/>
  <c r="C75" i="86"/>
  <c r="C37" i="86"/>
  <c r="C30" i="86" s="1"/>
  <c r="C39" i="86" s="1"/>
  <c r="Q70" i="86"/>
  <c r="C56" i="86"/>
  <c r="C65" i="86" s="1"/>
  <c r="C64" i="86"/>
  <c r="C61" i="86"/>
  <c r="C59" i="86" s="1"/>
  <c r="C25" i="69"/>
  <c r="C22" i="69" s="1"/>
  <c r="C31" i="69" s="1"/>
  <c r="C80" i="67"/>
  <c r="C79" i="67" s="1"/>
  <c r="R49" i="21"/>
  <c r="E48" i="21"/>
  <c r="C46" i="69"/>
  <c r="C45" i="69" s="1"/>
  <c r="C43" i="69"/>
  <c r="C41" i="69" s="1"/>
  <c r="G52" i="21"/>
  <c r="H52" i="21" s="1"/>
  <c r="G53" i="21"/>
  <c r="H53" i="21" s="1"/>
  <c r="C43" i="68"/>
  <c r="C41" i="68" s="1"/>
  <c r="C46" i="68"/>
  <c r="C45" i="68" s="1"/>
  <c r="C61" i="78"/>
  <c r="C59" i="78" s="1"/>
  <c r="J22" i="78"/>
  <c r="C37" i="78"/>
  <c r="C30" i="78" s="1"/>
  <c r="C39" i="78" s="1"/>
  <c r="Q69" i="78" s="1"/>
  <c r="Q67" i="67"/>
  <c r="L57" i="67"/>
  <c r="L60" i="67" s="1"/>
  <c r="L46" i="67" s="1"/>
  <c r="Q70" i="78"/>
  <c r="C40" i="67"/>
  <c r="C45" i="67" s="1"/>
  <c r="C46" i="67" s="1"/>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56" i="11"/>
  <c r="C57" i="11" s="1"/>
  <c r="E46" i="40"/>
  <c r="F46" i="40" s="1"/>
  <c r="E47" i="40"/>
  <c r="F47" i="40" s="1"/>
  <c r="I47" i="40"/>
  <c r="J47" i="40" s="1"/>
  <c r="I46" i="40"/>
  <c r="J46" i="40" s="1"/>
  <c r="C36" i="36"/>
  <c r="C37" i="36"/>
  <c r="B2" i="36" s="1"/>
  <c r="B3" i="36" s="1"/>
  <c r="G47" i="40"/>
  <c r="H47" i="40" s="1"/>
  <c r="C43" i="40"/>
  <c r="C42" i="40"/>
  <c r="L68" i="39"/>
  <c r="K70" i="39"/>
  <c r="E40" i="36"/>
  <c r="F40" i="36" s="1"/>
  <c r="E41" i="36"/>
  <c r="F41" i="36" s="1"/>
  <c r="I41" i="36"/>
  <c r="J41" i="36" s="1"/>
  <c r="L51" i="84"/>
  <c r="L51" i="15"/>
  <c r="L51" i="80"/>
  <c r="C58" i="84" l="1"/>
  <c r="C67" i="84" s="1"/>
  <c r="C68" i="84" s="1"/>
  <c r="C71" i="84" s="1"/>
  <c r="Q67" i="84"/>
  <c r="Q69" i="84"/>
  <c r="Q68" i="84" s="1"/>
  <c r="C80" i="84"/>
  <c r="C79" i="84" s="1"/>
  <c r="C40" i="84"/>
  <c r="C83" i="84" s="1"/>
  <c r="C82" i="84" s="1"/>
  <c r="C58" i="86"/>
  <c r="C67" i="86" s="1"/>
  <c r="C68" i="86" s="1"/>
  <c r="C71" i="86" s="1"/>
  <c r="J16" i="86"/>
  <c r="J25" i="86" s="1"/>
  <c r="C80" i="86"/>
  <c r="C79" i="86" s="1"/>
  <c r="Q69" i="86"/>
  <c r="Q68" i="86" s="1"/>
  <c r="C40" i="86"/>
  <c r="Q47" i="86" s="1"/>
  <c r="Q53" i="86" s="1"/>
  <c r="Q56" i="84"/>
  <c r="Q66" i="67"/>
  <c r="C49" i="69"/>
  <c r="C51" i="69" s="1"/>
  <c r="C52" i="69" s="1"/>
  <c r="B2" i="69" s="1"/>
  <c r="B3" i="69" s="1"/>
  <c r="C49" i="68"/>
  <c r="C51" i="68" s="1"/>
  <c r="I53" i="21"/>
  <c r="J53" i="21" s="1"/>
  <c r="E53" i="21"/>
  <c r="F53" i="21" s="1"/>
  <c r="E52" i="21"/>
  <c r="F52" i="21" s="1"/>
  <c r="C48" i="21"/>
  <c r="C49" i="21"/>
  <c r="B2" i="21"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L51" i="86"/>
  <c r="L51" i="78"/>
  <c r="C43" i="84" l="1"/>
  <c r="Q47" i="84"/>
  <c r="Q53" i="84" s="1"/>
  <c r="C46" i="84"/>
  <c r="Q65" i="84"/>
  <c r="Q56" i="86"/>
  <c r="Q62" i="86" s="1"/>
  <c r="C83" i="86"/>
  <c r="C82" i="86" s="1"/>
  <c r="B2" i="86"/>
  <c r="B3" i="86" s="1"/>
  <c r="Q67" i="86"/>
  <c r="C46" i="86"/>
  <c r="C43" i="86"/>
  <c r="Q65" i="86"/>
  <c r="Q75" i="86" s="1"/>
  <c r="Q67" i="78"/>
  <c r="B3" i="21"/>
  <c r="C6" i="12" s="1"/>
  <c r="C8" i="12"/>
  <c r="C57" i="69"/>
  <c r="C56" i="69" s="1"/>
  <c r="Q75" i="67"/>
  <c r="L46" i="78"/>
  <c r="B2" i="78" s="1"/>
  <c r="E8" i="12" s="1"/>
  <c r="Q65" i="78"/>
  <c r="Q75" i="78" s="1"/>
  <c r="C83" i="78"/>
  <c r="C82" i="78" s="1"/>
  <c r="Q56" i="78"/>
  <c r="C43" i="78"/>
  <c r="C46" i="78"/>
  <c r="Q62" i="67"/>
  <c r="Q57" i="78"/>
  <c r="Q62" i="78" s="1"/>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9" i="1"/>
  <c r="AO7" i="1"/>
  <c r="AO8" i="1"/>
  <c r="B9" i="70" l="1"/>
  <c r="C4" i="12"/>
  <c r="C31" i="12" s="1"/>
  <c r="B8" i="70"/>
  <c r="B3" i="78"/>
  <c r="E6" i="12" s="1"/>
  <c r="B7" i="70"/>
  <c r="B3" i="15"/>
  <c r="D6" i="12" s="1"/>
  <c r="Q75" i="15"/>
  <c r="Q75" i="80"/>
  <c r="Q62" i="15"/>
  <c r="Q62" i="80"/>
  <c r="O68" i="39"/>
  <c r="O70" i="39" s="1"/>
  <c r="N70" i="39"/>
  <c r="C23" i="12" l="1"/>
  <c r="C27" i="12" s="1"/>
  <c r="C25" i="12" s="1"/>
  <c r="F7" i="39"/>
  <c r="J7" i="39"/>
  <c r="H7" i="39"/>
  <c r="C30" i="12" l="1"/>
  <c r="C28" i="12" s="1"/>
  <c r="C32" i="12" s="1"/>
  <c r="B2" i="12" s="1"/>
  <c r="AB7" i="39"/>
  <c r="T47" i="39" s="1"/>
  <c r="G47" i="39" s="1"/>
  <c r="U7" i="39"/>
  <c r="AC7" i="39"/>
  <c r="V47" i="39" s="1"/>
  <c r="I47" i="39" s="1"/>
  <c r="W7" i="39"/>
  <c r="S7" i="39"/>
  <c r="AA7" i="39"/>
  <c r="R47" i="39" s="1"/>
  <c r="B3" i="12" l="1"/>
  <c r="I51" i="39"/>
  <c r="J51" i="39" s="1"/>
  <c r="E47" i="39"/>
  <c r="I52" i="39" s="1"/>
  <c r="J52" i="39" s="1"/>
  <c r="R48" i="39"/>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L49" i="84" s="1"/>
  <c r="Q58" i="84" l="1"/>
  <c r="L57" i="84"/>
  <c r="L60" i="84" s="1"/>
  <c r="B3" i="39"/>
  <c r="C6" i="68"/>
  <c r="C7" i="68" s="1"/>
  <c r="C5" i="68" s="1"/>
  <c r="L46" i="84" l="1"/>
  <c r="B2" i="84" s="1"/>
  <c r="Q57" i="84"/>
  <c r="Q62" i="84" s="1"/>
  <c r="Q66" i="84"/>
  <c r="Q75" i="84" s="1"/>
  <c r="C23" i="68"/>
  <c r="C20" i="68"/>
  <c r="C25" i="68" s="1"/>
  <c r="AO6" i="1"/>
  <c r="B6" i="70" l="1"/>
  <c r="B2" i="70" s="1"/>
  <c r="B3" i="84"/>
  <c r="C28" i="68"/>
  <c r="C27" i="68" s="1"/>
  <c r="C22" i="68"/>
  <c r="D19" i="9"/>
  <c r="D21" i="9" l="1"/>
  <c r="D102" i="9"/>
  <c r="B3" i="70"/>
  <c r="C31" i="68"/>
  <c r="C52" i="68" s="1"/>
  <c r="B2" i="68" s="1"/>
  <c r="D20" i="9"/>
  <c r="C19" i="9"/>
  <c r="D103" i="9" l="1"/>
  <c r="C57" i="68"/>
  <c r="C56" i="68" s="1"/>
  <c r="C102" i="9"/>
  <c r="C21" i="9"/>
  <c r="G19" i="9"/>
  <c r="D22" i="9"/>
  <c r="B3" i="68"/>
  <c r="D35" i="9"/>
  <c r="D34" i="9"/>
  <c r="C20" i="9"/>
  <c r="C103" i="9" l="1"/>
  <c r="G20" i="9"/>
  <c r="C32" i="9"/>
  <c r="G21" i="9"/>
  <c r="H118" i="9" l="1"/>
  <c r="C35" i="9"/>
  <c r="F118" i="9" s="1"/>
  <c r="G118" i="9" l="1"/>
  <c r="G4" i="52" s="1"/>
  <c r="B52" i="72" s="1"/>
  <c r="F119" i="9"/>
  <c r="F5" i="52" s="1"/>
  <c r="B53" i="72" s="1"/>
  <c r="F4" i="52"/>
  <c r="B51" i="72" s="1"/>
  <c r="C34" i="9"/>
  <c r="D118" i="9" s="1"/>
  <c r="C104" i="9"/>
  <c r="D14" i="74"/>
  <c r="H101" i="9"/>
  <c r="I118" i="9"/>
  <c r="H119" i="9"/>
  <c r="H5" i="52" s="1"/>
  <c r="H4" i="52"/>
  <c r="H102" i="9" l="1"/>
  <c r="D7" i="53" s="1"/>
  <c r="B21" i="72" s="1"/>
  <c r="E118" i="9"/>
  <c r="E4" i="52" s="1"/>
  <c r="B48" i="72" s="1"/>
  <c r="C105" i="9"/>
  <c r="I4" i="52"/>
  <c r="F14" i="74"/>
  <c r="E14" i="74"/>
  <c r="B5" i="74"/>
  <c r="D119" i="9"/>
  <c r="D5" i="52" s="1"/>
  <c r="B49" i="72" s="1"/>
  <c r="D4" i="52"/>
  <c r="B47" i="72" s="1"/>
  <c r="D45" i="9"/>
  <c r="H107" i="9"/>
  <c r="D5" i="53"/>
  <c r="M48" i="9"/>
  <c r="B20" i="72" l="1"/>
  <c r="D6" i="53"/>
  <c r="B22" i="72" s="1"/>
  <c r="C72" i="9"/>
  <c r="D52" i="9"/>
  <c r="C93" i="9"/>
  <c r="C86" i="9" s="1"/>
  <c r="D53" i="9"/>
  <c r="C78" i="9"/>
  <c r="C73" i="9" s="1"/>
  <c r="D55" i="9"/>
  <c r="M53" i="9" s="1"/>
  <c r="C64" i="9"/>
  <c r="C63" i="9" s="1"/>
  <c r="C67" i="9" s="1"/>
  <c r="C68" i="9" s="1"/>
  <c r="D54" i="9" s="1"/>
  <c r="C85" i="9"/>
  <c r="D122" i="9"/>
  <c r="M49" i="9"/>
  <c r="D13" i="53"/>
  <c r="H108" i="9"/>
  <c r="D15" i="53" s="1"/>
  <c r="B31" i="72" s="1"/>
  <c r="C5" i="74"/>
  <c r="D5" i="74"/>
  <c r="C95" i="9" l="1"/>
  <c r="C96" i="9" s="1"/>
  <c r="E96" i="9" s="1"/>
  <c r="E97" i="9" s="1"/>
  <c r="L66" i="9"/>
  <c r="M66" i="9" s="1"/>
  <c r="L63" i="9"/>
  <c r="M63" i="9" s="1"/>
  <c r="L65" i="9"/>
  <c r="M65" i="9" s="1"/>
  <c r="L68" i="9"/>
  <c r="M68" i="9" s="1"/>
  <c r="L64" i="9"/>
  <c r="M64" i="9" s="1"/>
  <c r="L67" i="9"/>
  <c r="M67" i="9" s="1"/>
  <c r="B30" i="72"/>
  <c r="D14" i="53"/>
  <c r="B32" i="72" s="1"/>
  <c r="D8" i="52"/>
  <c r="D123" i="9"/>
  <c r="D9" i="52" s="1"/>
  <c r="G14" i="74"/>
  <c r="B6" i="74" s="1"/>
  <c r="C79" i="9"/>
  <c r="C97" i="9" l="1"/>
  <c r="D58" i="9" s="1"/>
  <c r="D56" i="9" s="1"/>
  <c r="M54" i="9" s="1"/>
  <c r="N57" i="9" s="1"/>
  <c r="N58" i="9" s="1"/>
  <c r="M69" i="9"/>
  <c r="N69" i="9" s="1"/>
  <c r="D6" i="74"/>
  <c r="C6" i="74"/>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<sst xmlns="http://schemas.openxmlformats.org/spreadsheetml/2006/main" count="9825" uniqueCount="3385">
  <si>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</si>
  <si>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</si>
  <si>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</si>
  <si>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</si>
  <si>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</si>
  <si>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</si>
  <si>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</si>
  <si>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</si>
  <si>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</si>
  <si>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</si>
  <si>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</si>
  <si>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</si>
  <si>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</si>
  <si>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</si>
  <si>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</si>
  <si>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</si>
  <si>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</si>
  <si>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</si>
  <si>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</si>
  <si>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</si>
  <si>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</si>
  <si>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</si>
  <si>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</si>
  <si>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</si>
  <si>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</si>
  <si>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</si>
  <si>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</si>
  <si>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</si>
  <si>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</si>
  <si>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</si>
  <si>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</si>
  <si>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</si>
  <si>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</si>
  <si>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</si>
  <si>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</si>
  <si>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</si>
  <si>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</si>
  <si>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</si>
  <si>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</si>
  <si>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</si>
  <si>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</si>
  <si>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</si>
  <si>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</si>
  <si>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</si>
  <si>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</si>
  <si>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</si>
  <si>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</si>
  <si>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</si>
  <si>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</si>
  <si>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</si>
  <si>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</si>
  <si>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</si>
  <si>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</si>
  <si>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</si>
  <si>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</si>
  <si>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</si>
  <si>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</si>
  <si>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</si>
  <si>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</si>
  <si>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</si>
  <si>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</si>
  <si>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</si>
  <si>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</si>
  <si>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</si>
  <si>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</si>
  <si>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</si>
  <si>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</si>
  <si>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</si>
  <si>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</si>
  <si>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</si>
  <si>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</si>
  <si>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</si>
  <si>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</si>
  <si>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</si>
  <si>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</si>
  <si>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</si>
  <si>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</si>
  <si>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</si>
  <si>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</si>
  <si>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</si>
  <si>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</si>
  <si>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</si>
  <si>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</si>
  <si>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</si>
  <si>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</si>
  <si>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</si>
  <si>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</si>
  <si>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</si>
  <si>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</si>
  <si>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</si>
  <si>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</si>
  <si>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</si>
  <si>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</si>
  <si>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</si>
  <si>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</si>
  <si>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</si>
  <si>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</si>
  <si>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</si>
  <si>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</si>
  <si>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</si>
  <si>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</si>
  <si>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</si>
  <si>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</si>
  <si>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</si>
  <si>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</si>
  <si>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</si>
  <si>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</si>
  <si>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</si>
  <si>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</si>
  <si>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</si>
  <si>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</si>
  <si>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</si>
  <si>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</si>
  <si>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</si>
  <si>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</si>
  <si>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</si>
  <si>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</si>
  <si>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</si>
  <si>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</si>
  <si>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</si>
  <si>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</si>
  <si>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</si>
  <si>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</si>
  <si>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</si>
  <si>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</si>
  <si>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</si>
  <si>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</si>
  <si>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</si>
  <si>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</si>
  <si>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</si>
  <si>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</si>
  <si>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</si>
  <si>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</si>
  <si>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</si>
  <si>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</si>
  <si>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</si>
  <si>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</si>
  <si>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</si>
  <si>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</si>
  <si>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</si>
  <si>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</si>
  <si>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</si>
  <si>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</si>
  <si>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</si>
  <si>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</si>
  <si>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</si>
  <si>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</si>
  <si>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</si>
  <si>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</si>
  <si>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</si>
  <si>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</si>
  <si>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</si>
  <si>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</si>
  <si>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</si>
  <si>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</si>
  <si>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</si>
  <si>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</si>
  <si>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</si>
  <si>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</si>
  <si>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</si>
  <si>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</si>
  <si>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</si>
  <si>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</si>
  <si>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</si>
  <si>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</si>
  <si>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</si>
  <si>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</si>
  <si>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</si>
  <si>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</si>
  <si>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</si>
  <si>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</si>
  <si>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</si>
  <si>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</si>
  <si>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</si>
  <si>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</si>
  <si>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</si>
  <si>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</si>
  <si>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</si>
  <si>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</si>
  <si>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</si>
  <si>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</si>
  <si>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</si>
  <si>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</si>
  <si>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</si>
  <si>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</si>
  <si>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</si>
  <si>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</si>
  <si>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</si>
  <si>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</si>
  <si>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</si>
  <si>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</si>
  <si>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</si>
  <si>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</si>
  <si>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</si>
  <si>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</si>
  <si>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</si>
  <si>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</si>
  <si>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</si>
  <si>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</si>
  <si>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</si>
  <si>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</si>
  <si>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</si>
  <si>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</si>
  <si>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</si>
  <si>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</si>
  <si>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</si>
  <si>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</si>
  <si>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</si>
  <si>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</si>
  <si>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</si>
  <si>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</si>
  <si>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</si>
  <si>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</si>
  <si>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</si>
  <si>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</si>
  <si>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</si>
  <si>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</si>
  <si>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</si>
  <si>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</si>
  <si>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</si>
  <si>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</si>
  <si>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</si>
  <si>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</si>
  <si>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</si>
  <si>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</si>
  <si>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</si>
  <si>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</si>
  <si>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</si>
  <si>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</si>
  <si>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</si>
  <si>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</si>
  <si>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</si>
  <si>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</si>
  <si>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</si>
  <si>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</si>
  <si>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</si>
  <si>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</si>
  <si>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</si>
  <si>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</si>
  <si>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</si>
  <si>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</si>
  <si>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</si>
  <si>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</si>
  <si>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</si>
  <si>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</si>
  <si>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</si>
  <si>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</si>
  <si>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</si>
  <si>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</si>
  <si>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</si>
  <si>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</si>
  <si>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</si>
  <si>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</si>
  <si>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</si>
  <si>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</si>
  <si>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</si>
  <si>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</si>
  <si>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</si>
  <si>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</si>
  <si>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</si>
  <si>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</si>
  <si>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</si>
  <si>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</si>
  <si>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</si>
  <si>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</si>
  <si>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</si>
  <si>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</si>
  <si>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</si>
  <si>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</si>
  <si>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</si>
  <si>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</si>
  <si>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</si>
  <si>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</si>
  <si>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</si>
  <si>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</si>
  <si>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</si>
  <si>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</si>
  <si>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</si>
  <si>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</si>
  <si>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</si>
  <si>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</si>
  <si>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</si>
  <si>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</si>
  <si>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</si>
  <si>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</si>
  <si>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</si>
  <si>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</si>
  <si>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</si>
  <si>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</si>
  <si>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</si>
  <si>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</si>
  <si>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</si>
  <si>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</si>
  <si>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</si>
  <si>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</si>
  <si>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</si>
  <si>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</si>
  <si>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</si>
  <si>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</si>
  <si>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</si>
  <si>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</si>
  <si>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</si>
  <si>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</si>
  <si>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</si>
  <si>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</si>
  <si>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</si>
  <si>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</si>
  <si>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</si>
  <si>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</si>
  <si>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</si>
  <si>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</si>
  <si>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</si>
  <si>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</si>
  <si>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</si>
  <si>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</si>
  <si>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</si>
  <si>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</si>
  <si>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</si>
  <si>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</si>
  <si>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</si>
  <si>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</si>
  <si>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</si>
  <si>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</si>
  <si>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</si>
  <si>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</si>
  <si>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</si>
  <si>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</si>
  <si>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</si>
  <si>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</si>
  <si>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</si>
  <si>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</si>
  <si>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</si>
  <si>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</si>
  <si>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</si>
  <si>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</si>
  <si>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</si>
  <si>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</si>
  <si>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</si>
  <si>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</si>
  <si>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</si>
  <si>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</si>
  <si>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</si>
  <si>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</si>
  <si>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</si>
  <si>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</si>
  <si>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</si>
  <si>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</si>
  <si>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</si>
  <si>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</si>
  <si>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</si>
  <si>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</si>
  <si>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</si>
  <si>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</si>
  <si>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</si>
  <si>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</si>
  <si>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</si>
  <si>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</si>
  <si>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</si>
  <si>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</si>
  <si>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</si>
  <si>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</si>
  <si>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</si>
  <si>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</si>
  <si>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</si>
  <si>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</si>
  <si>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</si>
  <si>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</si>
  <si>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</si>
  <si>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</si>
  <si>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</si>
  <si>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</si>
  <si>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</si>
  <si>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</si>
  <si>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</si>
  <si>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</si>
  <si>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</si>
  <si>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</si>
  <si>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</si>
  <si>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</si>
  <si>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</si>
  <si>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</si>
  <si>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</si>
  <si>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</si>
  <si>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</si>
  <si>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</si>
  <si>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</si>
  <si>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</si>
  <si>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</si>
  <si>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</si>
  <si>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</si>
  <si>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</si>
  <si>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</si>
  <si>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</si>
  <si>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</si>
  <si>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</si>
  <si>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</si>
  <si>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</si>
  <si>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</si>
  <si>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</si>
  <si>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</si>
  <si>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</si>
  <si>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</si>
  <si>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</si>
  <si>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</si>
  <si>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</si>
  <si>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</si>
  <si>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</si>
  <si>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</si>
  <si>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</si>
  <si>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</si>
  <si>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</si>
  <si>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</si>
  <si>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</si>
  <si>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</si>
  <si>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</si>
  <si>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</si>
  <si>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</si>
  <si>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</si>
  <si>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</si>
  <si>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</si>
  <si>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</si>
  <si>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</si>
  <si>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</si>
  <si>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</si>
  <si>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</si>
  <si>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</si>
  <si>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</si>
  <si>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</si>
  <si>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</si>
  <si>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</si>
  <si>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</si>
  <si>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</si>
  <si>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</si>
  <si>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</si>
  <si>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</si>
  <si>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</si>
  <si>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</si>
  <si>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</si>
  <si>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</si>
  <si>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</si>
  <si>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</si>
  <si>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</si>
  <si>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</si>
  <si>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</si>
  <si>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</si>
  <si>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</si>
  <si>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</si>
  <si>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</si>
  <si>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</si>
  <si>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</si>
  <si>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</si>
  <si>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</si>
  <si>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</si>
  <si>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</si>
  <si>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</si>
  <si>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</si>
  <si>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</si>
  <si>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</si>
  <si>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</si>
  <si>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</si>
  <si>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</si>
  <si>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</si>
  <si>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</si>
  <si>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</si>
  <si>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</si>
  <si>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</si>
  <si>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</si>
  <si>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</si>
  <si>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</si>
  <si>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</si>
  <si>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</si>
  <si>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</si>
  <si>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</si>
  <si>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</si>
  <si>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</si>
  <si>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</si>
  <si>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</si>
  <si>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</si>
  <si>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</si>
  <si>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</si>
  <si>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</si>
  <si>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</si>
  <si>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</si>
  <si>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</si>
  <si>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</si>
  <si>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</si>
  <si>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</si>
  <si>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</si>
  <si>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</si>
  <si>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</si>
  <si>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</si>
  <si>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</si>
  <si>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</si>
  <si>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</si>
  <si>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</si>
  <si>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</si>
  <si>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</si>
  <si>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</si>
  <si>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</si>
  <si>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</si>
  <si>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</si>
  <si>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</si>
  <si>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</si>
  <si>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</si>
  <si>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</si>
  <si>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</si>
  <si>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</si>
  <si>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</si>
  <si>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</si>
  <si>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</si>
  <si>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</si>
  <si>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</si>
  <si>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</si>
  <si>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</si>
  <si>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</si>
  <si>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</si>
  <si>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</si>
  <si>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</si>
  <si>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</si>
  <si>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</si>
  <si>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</si>
  <si>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</si>
  <si>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</si>
  <si>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</si>
  <si>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</si>
  <si>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</si>
  <si>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</si>
  <si>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</si>
  <si>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</si>
  <si>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</si>
  <si>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</si>
  <si>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</si>
  <si>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</si>
  <si>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</si>
  <si>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</si>
  <si>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</si>
  <si>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</si>
  <si>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</si>
  <si>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</si>
  <si>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</si>
  <si>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</si>
  <si>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</si>
  <si>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</si>
  <si>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</si>
  <si>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</si>
  <si>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</si>
  <si>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</si>
  <si>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</si>
  <si>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</si>
  <si>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</si>
  <si>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</si>
  <si>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</si>
  <si>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</si>
  <si>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</si>
  <si>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</si>
  <si>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</si>
  <si>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</si>
  <si>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</si>
  <si>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</si>
  <si>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</si>
  <si>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</si>
  <si>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</si>
  <si>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</si>
  <si>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</si>
  <si>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</si>
  <si>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</si>
  <si>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</si>
  <si>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</si>
  <si>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</si>
  <si>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</si>
  <si>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</si>
  <si>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</si>
  <si>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</si>
  <si>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</si>
  <si>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</si>
  <si>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</si>
  <si>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</si>
  <si>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</si>
  <si>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</si>
  <si>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</si>
  <si>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</si>
  <si>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</si>
  <si>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</si>
  <si>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</si>
  <si>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</si>
  <si>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</si>
  <si>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</si>
  <si>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</si>
  <si>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</si>
  <si>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</si>
  <si>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</si>
  <si>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</si>
  <si>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</si>
  <si>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</si>
  <si>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</si>
  <si>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</si>
  <si>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</si>
  <si>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</si>
  <si>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</si>
  <si>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</si>
  <si>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</si>
  <si>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</si>
  <si>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</si>
  <si>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</si>
  <si>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</si>
  <si>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</si>
  <si>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</si>
  <si>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</si>
  <si>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</si>
  <si>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</si>
  <si>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</si>
  <si>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</si>
  <si>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</si>
  <si>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</si>
  <si>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</si>
  <si>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</si>
  <si>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</si>
  <si>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</si>
  <si>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</si>
  <si>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</si>
  <si>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</si>
  <si>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</si>
  <si>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</si>
  <si>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</si>
  <si>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</si>
  <si>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</si>
  <si>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</si>
  <si>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</si>
  <si>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</si>
  <si>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</si>
  <si>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</si>
  <si>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</si>
  <si>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</si>
  <si>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</si>
  <si>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</si>
  <si>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</si>
  <si>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</si>
  <si>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</si>
  <si>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</si>
  <si>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</si>
  <si>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</si>
  <si>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</si>
  <si>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</si>
  <si>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</si>
  <si>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</si>
  <si>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</si>
  <si>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</si>
  <si>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</si>
  <si>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</si>
  <si>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</si>
  <si>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</si>
  <si>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</si>
  <si>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</si>
  <si>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</si>
  <si>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</si>
  <si>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</si>
  <si>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</si>
  <si>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</si>
  <si>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</si>
  <si>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</si>
  <si>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</si>
  <si>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</si>
  <si>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</si>
  <si>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</si>
  <si>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</si>
  <si>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</si>
  <si>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</si>
  <si>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</si>
  <si>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</si>
  <si>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</si>
  <si>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</si>
  <si>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</si>
  <si>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</si>
  <si>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</si>
  <si>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</si>
  <si>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</si>
  <si>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</si>
  <si>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</si>
  <si>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</si>
  <si>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</si>
  <si>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</si>
  <si>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</si>
  <si>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</si>
  <si>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</si>
  <si>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</si>
  <si>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</si>
  <si>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</si>
  <si>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</si>
  <si>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</si>
  <si>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</si>
  <si>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</si>
  <si>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</si>
  <si>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</si>
  <si>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</si>
  <si>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</si>
  <si>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</si>
  <si>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</si>
  <si>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</si>
  <si>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</si>
  <si>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</si>
  <si>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</si>
  <si>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</si>
  <si>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</si>
  <si>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</si>
  <si>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</si>
  <si>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</si>
  <si>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</si>
  <si>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</si>
  <si>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</si>
  <si>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</si>
  <si>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</si>
  <si>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</si>
  <si>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</si>
  <si>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</si>
  <si>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</si>
  <si>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</si>
  <si>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</si>
  <si>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</si>
  <si>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</si>
  <si>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</si>
  <si>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</si>
  <si>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</si>
  <si>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</si>
  <si>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</si>
  <si>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</si>
  <si>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</si>
  <si>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</si>
  <si>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</si>
  <si>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</si>
  <si>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</si>
  <si>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</si>
  <si>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</si>
  <si>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</si>
  <si>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</si>
  <si>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</si>
  <si>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</si>
  <si>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</si>
  <si>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</si>
  <si>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</si>
  <si>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</si>
  <si>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</si>
  <si>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</si>
  <si>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</si>
  <si>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</si>
  <si>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</si>
  <si>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</si>
  <si>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</si>
  <si>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</si>
  <si>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</si>
  <si>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</si>
  <si>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</si>
  <si>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</si>
  <si>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</si>
  <si>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</si>
  <si>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</si>
  <si>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</si>
  <si>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</si>
  <si>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</si>
  <si>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</si>
  <si>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</si>
  <si>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</si>
  <si>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</si>
  <si>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</si>
  <si>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</si>
  <si>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</si>
  <si>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</si>
  <si>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</si>
  <si>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</si>
  <si>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</si>
  <si>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</si>
  <si>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</si>
  <si>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</si>
  <si>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</si>
  <si>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</si>
  <si>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</si>
  <si>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</si>
  <si>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</si>
  <si>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</si>
  <si>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</si>
  <si>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</si>
  <si>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</si>
  <si>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</si>
  <si>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</si>
  <si>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</si>
  <si>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</si>
  <si>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</si>
  <si>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</si>
  <si>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</si>
  <si>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</si>
  <si>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</si>
  <si>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</si>
  <si>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</si>
  <si>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</si>
  <si>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</si>
  <si>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</si>
  <si>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</si>
  <si>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</si>
  <si>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</si>
  <si>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</si>
  <si>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</si>
  <si>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</si>
  <si>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</si>
  <si>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</si>
  <si>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</si>
  <si>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</si>
  <si>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</si>
  <si>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</si>
  <si>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</si>
  <si>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</si>
  <si>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</si>
  <si>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</si>
  <si>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</si>
  <si>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</si>
  <si>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</si>
  <si>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</si>
  <si>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</si>
  <si>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</si>
  <si>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</si>
  <si>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</si>
  <si>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</si>
  <si>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</si>
  <si>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</si>
  <si>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</si>
  <si>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</si>
  <si>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</si>
  <si>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</si>
  <si>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</si>
  <si>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</si>
  <si>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</si>
  <si>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</si>
  <si>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</si>
  <si>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</si>
  <si>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</si>
  <si>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</si>
  <si>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</si>
  <si>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</si>
  <si>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</si>
  <si>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</si>
  <si>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</si>
  <si>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</si>
  <si>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</si>
  <si>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</si>
  <si>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</si>
  <si>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</si>
  <si>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</si>
  <si>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</si>
  <si>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</si>
  <si>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</si>
  <si>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</si>
  <si>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</si>
  <si>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</si>
  <si>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</si>
  <si>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</si>
  <si>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</si>
  <si>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</si>
  <si>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</si>
  <si>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</si>
  <si>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</si>
  <si>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</si>
  <si>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</si>
  <si>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</si>
  <si>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</si>
  <si>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</si>
  <si>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</si>
  <si>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</si>
  <si>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</si>
  <si>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</si>
  <si>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</si>
  <si>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</si>
  <si>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</si>
  <si>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</si>
  <si>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</si>
  <si>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</si>
  <si>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</si>
  <si>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</si>
  <si>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</si>
  <si>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</si>
  <si>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</si>
  <si>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</si>
  <si>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</si>
  <si>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</si>
  <si>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</si>
  <si>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</si>
  <si>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</si>
  <si>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</si>
  <si>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</si>
  <si>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</si>
  <si>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</si>
  <si>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</si>
  <si>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</si>
  <si>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</si>
  <si>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</si>
  <si>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</si>
  <si>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</si>
  <si>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</si>
  <si>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</si>
  <si>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</si>
  <si>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</si>
  <si>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</si>
  <si>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</si>
  <si>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</si>
  <si>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</si>
  <si>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</si>
  <si>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</si>
  <si>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</si>
  <si>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</si>
  <si>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</si>
  <si>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</si>
  <si>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</si>
  <si>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</si>
  <si>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</si>
  <si>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</si>
  <si>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</si>
  <si>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</si>
  <si>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</si>
  <si>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</si>
  <si>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</si>
  <si>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</si>
  <si>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</si>
  <si>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</si>
  <si>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</si>
  <si>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</si>
  <si>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</si>
  <si>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</si>
  <si>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</si>
  <si>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</si>
  <si>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</si>
  <si>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</si>
  <si>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</si>
  <si>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</si>
  <si>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</si>
  <si>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</si>
  <si>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</si>
  <si>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</si>
  <si>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</si>
  <si>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</si>
  <si>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</si>
  <si>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</si>
  <si>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</si>
  <si>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</si>
  <si>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</si>
  <si>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</si>
  <si>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</si>
  <si>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</si>
  <si>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</si>
  <si>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</si>
  <si>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</si>
  <si>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</si>
  <si>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</si>
  <si>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</si>
  <si>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</si>
  <si>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</si>
  <si>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</si>
  <si>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</si>
  <si>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</si>
  <si>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</si>
  <si>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</si>
  <si>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</si>
  <si>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</si>
  <si>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</si>
  <si>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</si>
  <si>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</si>
  <si>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</si>
  <si>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</si>
  <si>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</si>
  <si>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</si>
  <si>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</si>
  <si>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</si>
  <si>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</si>
  <si>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</si>
  <si>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</si>
  <si>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</si>
  <si>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</si>
  <si>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</si>
  <si>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</si>
  <si>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</si>
  <si>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</si>
  <si>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</si>
  <si>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</si>
  <si>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</si>
  <si>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</si>
  <si>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</si>
  <si>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</si>
  <si>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</si>
  <si>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</si>
  <si>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</si>
  <si>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</si>
  <si>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</si>
  <si>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</si>
  <si>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</si>
  <si>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</si>
  <si>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</si>
  <si>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</si>
  <si>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</si>
  <si>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</si>
  <si>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</si>
  <si>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</si>
  <si>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</si>
  <si>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</si>
  <si>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</si>
  <si>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</si>
  <si>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</si>
  <si>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</si>
  <si>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</si>
  <si>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</si>
  <si>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</si>
  <si>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</si>
  <si>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</si>
  <si>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</si>
  <si>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</si>
  <si>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</si>
  <si>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</si>
  <si>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</si>
  <si>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</si>
  <si>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</si>
  <si>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</si>
  <si>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</si>
  <si>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</si>
  <si>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</si>
  <si>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</si>
  <si>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</si>
  <si>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</si>
  <si>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</si>
  <si>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</si>
  <si>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</si>
  <si>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</si>
  <si>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</si>
  <si>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</si>
  <si>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</si>
  <si>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</si>
  <si>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</si>
  <si>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</si>
  <si>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</si>
  <si>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</si>
  <si>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</si>
  <si>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</si>
  <si>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</si>
  <si>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</si>
  <si>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</si>
  <si>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</si>
  <si>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</si>
  <si>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</si>
  <si>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</si>
  <si>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</si>
  <si>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</si>
  <si>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</si>
  <si>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</si>
  <si>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</si>
  <si>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</si>
  <si>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</si>
  <si>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</si>
  <si>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</si>
  <si>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</si>
  <si>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</si>
  <si>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</si>
  <si>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</si>
  <si>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</si>
  <si>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</si>
  <si>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</si>
  <si>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</si>
  <si>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</si>
  <si>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</si>
  <si>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</si>
  <si>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</si>
  <si>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</si>
  <si>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</si>
  <si>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</si>
  <si>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</si>
  <si>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</si>
  <si>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</si>
  <si>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</si>
  <si>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</si>
  <si>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</si>
  <si>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</si>
  <si>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</si>
  <si>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</si>
  <si>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</si>
  <si>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</si>
  <si>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</si>
  <si>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</si>
  <si>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</si>
  <si>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</si>
  <si>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</si>
  <si>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</si>
  <si>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</si>
  <si>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</si>
  <si>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</si>
  <si>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</si>
  <si>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</si>
  <si>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</si>
  <si>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</si>
  <si>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</si>
  <si>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</si>
  <si>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</si>
  <si>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</si>
  <si>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</si>
  <si>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</si>
  <si>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</si>
  <si>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</si>
  <si>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</si>
  <si>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</si>
  <si>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</si>
  <si>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</si>
  <si>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</si>
  <si>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</si>
  <si>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</si>
  <si>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</si>
  <si>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</si>
  <si>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</si>
  <si>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</si>
  <si>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</si>
  <si>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</si>
  <si>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</si>
  <si>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</si>
  <si>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</si>
  <si>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</si>
  <si>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</si>
  <si>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</si>
  <si>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</si>
  <si>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</si>
  <si>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</si>
  <si>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</si>
  <si>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</si>
  <si>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</si>
  <si>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</si>
  <si>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</si>
  <si>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</si>
  <si>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</si>
  <si>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</si>
  <si>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</si>
  <si>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</si>
  <si>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</si>
  <si>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</si>
  <si>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</si>
  <si>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</si>
  <si>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</si>
  <si>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</si>
  <si>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</si>
  <si>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</si>
  <si>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</si>
  <si>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</si>
  <si>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</si>
  <si>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</si>
  <si>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</si>
  <si>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</si>
  <si>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</si>
  <si>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</si>
  <si>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</si>
  <si>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</si>
  <si>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</si>
  <si>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</si>
  <si>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</si>
  <si>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</si>
  <si>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</si>
  <si>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</si>
  <si>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</si>
  <si>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</si>
  <si>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</si>
  <si>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</si>
  <si>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</si>
  <si>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</si>
  <si>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</si>
  <si>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</si>
  <si>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</si>
  <si>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</si>
  <si>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</si>
  <si>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</si>
  <si>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</si>
  <si>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</si>
  <si>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</si>
  <si>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</si>
  <si>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</si>
  <si>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</si>
  <si>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</si>
  <si>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</si>
  <si>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</si>
  <si>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</si>
  <si>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</si>
  <si>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</si>
  <si>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</si>
  <si>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</si>
  <si>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</si>
  <si>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</si>
  <si>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</si>
  <si>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</si>
  <si>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</si>
  <si>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</si>
  <si>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</si>
  <si>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</si>
  <si>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</si>
  <si>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</si>
  <si>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</si>
  <si>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</si>
  <si>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</si>
  <si>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</si>
  <si>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</si>
  <si>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</si>
  <si>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</si>
  <si>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</si>
  <si>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</si>
  <si>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</si>
  <si>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</si>
  <si>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</si>
  <si>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</si>
  <si>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</si>
  <si>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</si>
  <si>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</si>
  <si>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</si>
  <si>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</si>
  <si>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</si>
  <si>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</si>
  <si>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</si>
  <si>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</si>
  <si>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</si>
  <si>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</si>
  <si>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</si>
  <si>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</si>
  <si>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</si>
  <si>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</si>
  <si>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</si>
  <si>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</si>
  <si>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</si>
  <si>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</si>
  <si>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</si>
  <si>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</si>
  <si>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</si>
  <si>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</si>
  <si>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</si>
  <si>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</si>
  <si>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</si>
  <si>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</si>
  <si>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</si>
  <si>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</si>
  <si>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</si>
  <si>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</si>
  <si>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</si>
  <si>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</si>
  <si>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</si>
  <si>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</si>
  <si>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</si>
  <si>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</si>
  <si>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</si>
  <si>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</si>
  <si>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</si>
  <si>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</si>
  <si>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</si>
  <si>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</si>
  <si>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</si>
  <si>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</si>
  <si>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</si>
  <si>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</si>
  <si>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</si>
  <si>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</si>
  <si>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</si>
  <si>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</si>
  <si>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</si>
  <si>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</si>
  <si>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</si>
  <si>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</si>
  <si>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</si>
  <si>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</si>
  <si>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</si>
  <si>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</si>
  <si>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</si>
  <si>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</si>
  <si>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</si>
  <si>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</si>
  <si>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</si>
  <si>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</si>
  <si>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</si>
  <si>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</si>
  <si>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</si>
  <si>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</si>
  <si>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</si>
  <si>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</si>
  <si>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</si>
  <si>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</si>
  <si>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</si>
  <si>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</si>
  <si>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</si>
  <si>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</si>
  <si>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</si>
  <si>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</si>
  <si>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</si>
  <si>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</si>
  <si>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</si>
  <si>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</si>
  <si>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</si>
  <si>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</si>
  <si>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</si>
  <si>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</si>
  <si>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</si>
  <si>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</si>
  <si>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</si>
  <si>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</si>
  <si>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</si>
  <si>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</si>
  <si>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</si>
  <si>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</si>
  <si>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</si>
  <si>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</si>
  <si>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</si>
  <si>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</si>
  <si>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</si>
  <si>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</si>
  <si>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</si>
  <si>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</si>
  <si>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</si>
  <si>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</si>
  <si>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</si>
  <si>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</si>
  <si>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</si>
  <si>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</si>
  <si>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</si>
  <si>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</si>
  <si>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</si>
  <si>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</si>
  <si>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</si>
  <si>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</si>
  <si>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</si>
  <si>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</si>
  <si>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</si>
  <si>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</si>
  <si>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</si>
  <si>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</si>
  <si>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</si>
  <si>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</si>
  <si>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</si>
  <si>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</si>
  <si>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</si>
  <si>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</si>
  <si>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</si>
  <si>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</si>
  <si>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</si>
  <si>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</si>
  <si>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</si>
  <si>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</si>
  <si>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</si>
  <si>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</si>
  <si>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</si>
  <si>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</si>
  <si>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</si>
  <si>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</si>
  <si>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</si>
  <si>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</si>
  <si>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</si>
  <si>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</si>
  <si>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</si>
  <si>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</si>
  <si>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</si>
  <si>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</si>
  <si>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</si>
  <si>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</si>
  <si>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</si>
  <si>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</si>
  <si>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</si>
  <si>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</si>
  <si>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</si>
  <si>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</si>
  <si>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</si>
  <si>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</si>
  <si>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</si>
  <si>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</si>
  <si>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</si>
  <si>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</si>
  <si>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</si>
  <si>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</si>
  <si>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</si>
  <si>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</si>
  <si>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</si>
  <si>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</si>
  <si>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</si>
  <si>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</si>
  <si>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</si>
  <si>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</si>
  <si>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</si>
  <si>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</si>
  <si>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</si>
  <si>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</si>
  <si>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</si>
  <si>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</si>
  <si>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</si>
  <si>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</si>
  <si>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</si>
  <si>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</si>
  <si>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</si>
  <si>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</si>
  <si>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</si>
  <si>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</si>
  <si>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</si>
  <si>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</si>
  <si>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</si>
  <si>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</si>
  <si>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</si>
  <si>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</si>
  <si>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</si>
  <si>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</si>
  <si>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</si>
  <si>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</si>
  <si>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</si>
  <si>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</si>
  <si>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</si>
  <si>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</si>
  <si>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</si>
  <si>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</si>
  <si>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</si>
  <si>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</si>
  <si>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</si>
  <si>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</si>
  <si>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</si>
  <si>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</si>
  <si>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</si>
  <si>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</si>
  <si>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</si>
  <si>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</si>
  <si>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</si>
  <si>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</si>
  <si>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</si>
  <si>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</si>
  <si>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</si>
  <si>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</si>
  <si>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</si>
  <si>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</si>
  <si>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</si>
  <si>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</si>
  <si>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</si>
  <si>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</si>
  <si>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</si>
  <si>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</si>
  <si>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</si>
  <si>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</si>
  <si>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</si>
  <si>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</si>
  <si>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</si>
  <si>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</si>
  <si>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</si>
  <si>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</si>
  <si>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</si>
  <si>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</si>
  <si>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</si>
  <si>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</si>
  <si>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</si>
  <si>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</si>
  <si>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</si>
  <si>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</si>
  <si>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</si>
  <si>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</si>
  <si>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</si>
  <si>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</si>
  <si>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</si>
  <si>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</si>
  <si>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</si>
  <si>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</si>
  <si>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</si>
  <si>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</si>
  <si>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</si>
  <si>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</si>
  <si>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</si>
  <si>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</si>
  <si>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</si>
  <si>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</si>
  <si>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</si>
  <si>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</si>
  <si>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</si>
  <si>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</si>
  <si>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</si>
  <si>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</si>
  <si>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</si>
  <si>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</si>
  <si>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</si>
  <si>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</si>
  <si>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</si>
  <si>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</si>
  <si>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</si>
  <si>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</si>
  <si>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</si>
  <si>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</si>
  <si>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</si>
  <si>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</si>
  <si>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</si>
  <si>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</si>
  <si>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</si>
  <si>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</si>
  <si>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</si>
  <si>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</si>
  <si>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</si>
  <si>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</si>
  <si>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</si>
  <si>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</si>
  <si>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</si>
  <si>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</si>
  <si>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</si>
  <si>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</si>
  <si>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</si>
  <si>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</si>
  <si>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</si>
  <si>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</si>
  <si>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</si>
  <si>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</si>
  <si>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</si>
  <si>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</si>
  <si>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</si>
  <si>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</si>
  <si>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</si>
  <si>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</si>
  <si>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</si>
  <si>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</si>
  <si>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</si>
  <si>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</si>
  <si>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</si>
  <si>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</si>
  <si>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</si>
  <si>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</si>
  <si>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</si>
  <si>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</si>
  <si>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</si>
  <si>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</si>
  <si>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</si>
  <si>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</si>
  <si>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</si>
  <si>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</si>
  <si>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</si>
  <si>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</si>
  <si>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</si>
  <si>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</si>
  <si>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</si>
  <si>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</si>
  <si>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</si>
  <si>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</si>
  <si>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</si>
  <si>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</si>
  <si>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</si>
  <si>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</si>
  <si>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</si>
  <si>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</si>
  <si>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</si>
  <si>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</si>
  <si>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</si>
  <si>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</si>
  <si>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</si>
  <si>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</si>
  <si>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</si>
  <si>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</si>
  <si>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</si>
  <si>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</si>
  <si>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</si>
  <si>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</si>
  <si>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</si>
  <si>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</si>
  <si>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</si>
  <si>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</si>
  <si>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</si>
  <si>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</si>
  <si>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</si>
  <si>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</si>
  <si>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</si>
  <si>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</si>
  <si>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</si>
  <si>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</si>
  <si>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</si>
  <si>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</si>
  <si>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</si>
  <si>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</si>
  <si>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</si>
  <si>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</si>
  <si>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</si>
  <si>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</si>
  <si>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</si>
  <si>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</si>
  <si>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</si>
  <si>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</si>
  <si>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</si>
  <si>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</si>
  <si>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</si>
  <si>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</si>
  <si>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</si>
  <si>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</si>
  <si>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</si>
  <si>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</si>
  <si>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</si>
  <si>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</si>
  <si>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</si>
  <si>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</si>
  <si>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</si>
  <si>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</si>
  <si>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</si>
  <si>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</si>
  <si>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</si>
  <si>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</si>
  <si>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</si>
  <si>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</si>
  <si>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</si>
  <si>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</si>
  <si>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</si>
  <si>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</si>
  <si>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</si>
  <si>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</si>
  <si>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</si>
  <si>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</si>
  <si>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</si>
  <si>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</si>
  <si>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</si>
  <si>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</si>
  <si>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</si>
  <si>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</si>
  <si>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</si>
  <si>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</si>
  <si>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</si>
  <si>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</si>
  <si>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</si>
  <si>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</si>
  <si>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</si>
  <si>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</si>
  <si>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</si>
  <si>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</si>
  <si>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</si>
  <si>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</si>
  <si>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</si>
  <si>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</si>
  <si>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</si>
  <si>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</si>
  <si>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</si>
  <si>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</si>
  <si>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</si>
  <si>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</si>
  <si>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</si>
  <si>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</si>
  <si>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</si>
  <si>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</si>
  <si>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</si>
  <si>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</si>
  <si>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</si>
  <si>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</si>
  <si>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</si>
  <si>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</si>
  <si>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</si>
  <si>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</si>
  <si>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</si>
  <si>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</si>
  <si>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</si>
  <si>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</si>
  <si>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</si>
  <si>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</si>
  <si>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</si>
  <si>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</si>
  <si>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</si>
  <si>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</si>
  <si>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</si>
  <si>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</si>
  <si>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</si>
  <si>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</si>
  <si>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</si>
  <si>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</si>
  <si>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</si>
  <si>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</si>
  <si>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</si>
  <si>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</si>
  <si>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</si>
  <si>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</si>
  <si>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</si>
  <si>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</si>
  <si>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</si>
  <si>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</si>
  <si>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</si>
  <si>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</si>
  <si>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</si>
  <si>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</si>
  <si>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</si>
  <si>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</si>
  <si>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</si>
  <si>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</si>
  <si>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</si>
  <si>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</si>
  <si>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</si>
  <si>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</si>
  <si>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</si>
  <si>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</si>
  <si>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</si>
  <si>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</si>
  <si>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</si>
  <si>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</si>
  <si>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</si>
  <si>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</si>
  <si>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</si>
  <si>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</si>
  <si>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</si>
  <si>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</si>
  <si>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</si>
  <si>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</si>
  <si>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</si>
  <si>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</si>
  <si>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</si>
  <si>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</si>
  <si>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</si>
  <si>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</si>
  <si>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</si>
  <si>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</si>
  <si>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</si>
  <si>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</si>
  <si>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</si>
  <si>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</si>
  <si>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</si>
  <si>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</si>
  <si>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</si>
  <si>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</si>
  <si>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</si>
  <si>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</si>
  <si>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</si>
  <si>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</si>
  <si>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</si>
  <si>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</si>
  <si>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</si>
  <si>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</si>
  <si>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</si>
  <si>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</si>
  <si>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</si>
  <si>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</si>
  <si>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</si>
  <si>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</si>
  <si>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</si>
  <si>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</si>
  <si>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</si>
  <si>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</si>
  <si>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</si>
  <si>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</si>
  <si>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</si>
  <si>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</si>
  <si>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</si>
  <si>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</si>
  <si>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</si>
  <si>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</si>
  <si>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</si>
  <si>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</si>
  <si>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</si>
  <si>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</si>
  <si>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</si>
  <si>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</si>
  <si>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</si>
  <si>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</si>
  <si>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</si>
  <si>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</si>
  <si>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</si>
  <si>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</si>
  <si>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</si>
  <si>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</si>
  <si>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</si>
  <si>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</si>
  <si>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</si>
  <si>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</si>
  <si>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</si>
  <si>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</si>
  <si>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</si>
  <si>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</si>
  <si>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</si>
  <si>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</si>
  <si>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</si>
  <si>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</si>
  <si>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</si>
  <si>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</si>
  <si>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</si>
  <si>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</si>
  <si>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</si>
  <si>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</si>
  <si>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</si>
  <si>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</si>
  <si>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</si>
  <si>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</si>
  <si>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</si>
  <si>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</si>
  <si>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</si>
  <si>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</si>
  <si>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</si>
  <si>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</si>
  <si>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</si>
  <si>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</si>
  <si>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</si>
  <si>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</si>
  <si>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</si>
  <si>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</si>
  <si>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</si>
  <si>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</si>
  <si>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</si>
  <si>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</si>
  <si>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</si>
  <si>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</si>
  <si>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</si>
  <si>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</si>
  <si>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</si>
  <si>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</si>
  <si>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</si>
  <si>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</si>
  <si>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</si>
  <si>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</si>
  <si>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</si>
  <si>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</si>
  <si>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</si>
  <si>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</si>
  <si>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</si>
  <si>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</si>
  <si>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</si>
  <si>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</si>
  <si>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</si>
  <si>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</si>
  <si>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</si>
  <si>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</si>
  <si>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</si>
  <si>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</si>
  <si>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</si>
  <si>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</si>
  <si>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</si>
  <si>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</si>
  <si>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</si>
  <si>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</si>
  <si>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</si>
  <si>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</si>
  <si>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</si>
  <si>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</si>
  <si>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</si>
  <si>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</si>
  <si>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</si>
  <si>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</si>
  <si>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</si>
  <si>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</si>
  <si>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</si>
  <si>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</si>
  <si>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</si>
  <si>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</si>
  <si>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</si>
  <si>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</si>
  <si>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</si>
  <si>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</si>
  <si>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</si>
  <si>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</si>
  <si>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</si>
  <si>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</si>
  <si>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</si>
  <si>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</si>
  <si>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</si>
  <si>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</si>
  <si>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</si>
  <si>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</si>
  <si>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</si>
  <si>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</si>
  <si>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</si>
  <si>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</si>
  <si>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</si>
  <si>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</si>
  <si>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</si>
  <si>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</si>
  <si>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</si>
  <si>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</si>
  <si>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</si>
  <si>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</si>
  <si>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</si>
  <si>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</si>
  <si>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</si>
  <si>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</si>
  <si>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</si>
  <si>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</si>
  <si>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</si>
  <si>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</si>
  <si>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</si>
  <si>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</si>
  <si>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</si>
  <si>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</si>
  <si>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</si>
  <si>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</si>
  <si>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</si>
  <si>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</si>
  <si>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</si>
  <si>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</si>
  <si>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</si>
  <si>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</si>
  <si>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</si>
  <si>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</si>
  <si>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</si>
  <si>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</si>
  <si>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</si>
  <si>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</si>
  <si>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</si>
  <si>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</si>
  <si>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</si>
  <si>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</si>
  <si>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</si>
  <si>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</si>
  <si>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</si>
  <si>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</si>
  <si>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</si>
  <si>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</si>
  <si>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</si>
  <si>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</si>
  <si>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</si>
  <si>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</si>
  <si>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</si>
  <si>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</si>
  <si>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</si>
  <si>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</si>
  <si>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</si>
  <si>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</si>
  <si>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</si>
  <si>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</si>
  <si>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</si>
  <si>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</si>
  <si>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</si>
  <si>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</si>
  <si>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</si>
  <si>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</si>
  <si>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</si>
  <si>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</si>
  <si>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</si>
  <si>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</si>
  <si>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</si>
  <si>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</si>
  <si>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</si>
  <si>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</si>
  <si>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</si>
  <si>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</si>
  <si>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</si>
  <si>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</si>
  <si>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</si>
  <si>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</si>
  <si>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</si>
  <si>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</si>
  <si>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</si>
  <si>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</si>
  <si>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</si>
  <si>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</si>
  <si>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</si>
  <si>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</si>
  <si>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</si>
  <si>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</si>
  <si>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</si>
  <si>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</si>
  <si>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</si>
  <si>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</si>
  <si>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</si>
  <si>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</si>
  <si>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</si>
  <si>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</si>
  <si>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</si>
  <si>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</si>
  <si>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</si>
  <si>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</si>
  <si>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</si>
  <si>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</si>
  <si>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</si>
  <si>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</si>
  <si>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</si>
  <si>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</si>
  <si>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</si>
  <si>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</si>
  <si>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</si>
  <si>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</si>
  <si>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</si>
  <si>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</si>
  <si>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</si>
  <si>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</si>
  <si>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</si>
  <si>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</si>
  <si>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</si>
  <si>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</si>
  <si>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</si>
  <si>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</si>
  <si>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</si>
  <si>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</si>
  <si>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</si>
  <si>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</si>
  <si>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</si>
  <si>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</si>
  <si>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</si>
  <si>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</si>
  <si>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</si>
  <si>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</si>
  <si>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</si>
  <si>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</si>
  <si>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</si>
  <si>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</si>
  <si>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</si>
  <si>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</si>
  <si>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</si>
  <si>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</si>
  <si>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</si>
  <si>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</si>
  <si>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</si>
  <si>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</si>
  <si>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</si>
  <si>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</si>
  <si>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</si>
  <si>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</si>
  <si>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</si>
  <si>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</si>
  <si>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</si>
  <si>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</si>
  <si>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</si>
  <si>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</si>
  <si>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</si>
  <si>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</si>
  <si>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</si>
  <si>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</si>
  <si>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</si>
  <si>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</si>
  <si>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</si>
  <si>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</si>
  <si>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</si>
  <si>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</si>
  <si>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</si>
  <si>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</si>
  <si>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</si>
  <si>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</si>
  <si>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</si>
  <si>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</si>
  <si>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</si>
  <si>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</si>
  <si>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</si>
  <si>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</si>
  <si>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</si>
  <si>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</si>
  <si>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</si>
  <si>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</si>
  <si>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</si>
  <si>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</si>
  <si>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</si>
  <si>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</si>
  <si>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</si>
  <si>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</si>
  <si>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</si>
  <si>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</si>
  <si>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</si>
  <si>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</si>
  <si>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</si>
  <si>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</si>
  <si>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</si>
  <si>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</si>
  <si>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</si>
  <si>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</si>
  <si>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</si>
  <si>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</si>
  <si>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</si>
  <si>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</si>
  <si>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</si>
  <si>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</si>
  <si>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</si>
  <si>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</si>
  <si>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</si>
  <si>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</si>
  <si>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</si>
  <si>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</si>
  <si>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</si>
  <si>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</si>
  <si>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</si>
  <si>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</si>
  <si>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</si>
  <si>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</si>
  <si>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</si>
  <si>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</si>
  <si>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</si>
  <si>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</si>
  <si>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</si>
  <si>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</si>
  <si>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</si>
  <si>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</si>
  <si>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</si>
  <si>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</si>
  <si>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</si>
  <si>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</si>
  <si>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</si>
  <si>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</si>
  <si>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</si>
  <si>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</si>
  <si>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</si>
  <si>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</si>
  <si>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</si>
  <si>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</si>
  <si>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</si>
  <si>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</si>
  <si>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</si>
  <si>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</si>
  <si>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</si>
  <si>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</si>
  <si>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</si>
  <si>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</si>
  <si>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</si>
  <si>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</si>
  <si>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</si>
  <si>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</si>
  <si>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</si>
  <si>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</si>
  <si>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</si>
  <si>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</si>
  <si>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</si>
  <si>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</si>
  <si>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</si>
  <si>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</si>
  <si>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</si>
  <si>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</si>
  <si>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</si>
  <si>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</si>
  <si>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</si>
  <si>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</si>
  <si>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</si>
  <si>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</si>
  <si>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</si>
  <si>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</si>
  <si>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</si>
  <si>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</si>
  <si>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</si>
  <si>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</si>
  <si>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</si>
  <si>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</si>
  <si>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</si>
  <si>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</si>
  <si>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</si>
  <si>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</si>
  <si>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</si>
  <si>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</si>
  <si>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</si>
  <si>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</si>
  <si>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</si>
  <si>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</si>
  <si>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</si>
  <si>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</si>
  <si>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</si>
  <si>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</si>
  <si>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</si>
  <si>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</si>
  <si>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</si>
  <si>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</si>
  <si>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</si>
  <si>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</si>
  <si>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</si>
  <si>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</si>
  <si>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</si>
  <si>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</si>
  <si>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</si>
  <si>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</si>
  <si>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</si>
  <si>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</si>
  <si>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</si>
  <si>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</si>
  <si>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</si>
  <si>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</si>
  <si>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</si>
  <si>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</si>
  <si>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</si>
  <si>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</si>
  <si>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</si>
  <si>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</si>
  <si>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</si>
  <si>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</si>
  <si>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</si>
  <si>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</si>
  <si>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</si>
  <si>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</si>
  <si>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</si>
  <si>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</si>
  <si>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</si>
  <si>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</si>
  <si>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</si>
  <si>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</si>
  <si>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</si>
  <si>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</si>
  <si>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</si>
  <si>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</si>
  <si>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</si>
  <si>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</si>
  <si>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</si>
  <si>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</si>
  <si>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</si>
  <si>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</si>
  <si>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</si>
  <si>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</si>
  <si>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</si>
  <si>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</si>
  <si>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</si>
  <si>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</si>
  <si>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</si>
  <si>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</si>
  <si>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</si>
  <si>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</si>
  <si>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</si>
  <si>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</si>
  <si>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</si>
  <si>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</si>
  <si>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</si>
  <si>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</si>
  <si>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</si>
  <si>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</si>
  <si>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</si>
  <si>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</si>
  <si>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</si>
  <si>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</si>
  <si>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</si>
  <si>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</si>
  <si>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</si>
  <si>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</si>
  <si>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</si>
  <si>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</si>
  <si>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</si>
  <si>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</si>
  <si>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</si>
  <si>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</si>
  <si>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</si>
  <si>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</si>
  <si>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</si>
  <si>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</si>
  <si>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</si>
  <si>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</si>
  <si>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</si>
  <si>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</si>
  <si>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</si>
  <si>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</si>
  <si>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</si>
  <si>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</si>
  <si>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</si>
  <si>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</si>
  <si>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</si>
  <si>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</si>
  <si>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</si>
  <si>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</si>
  <si>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</si>
  <si>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</si>
  <si>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</si>
  <si>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</si>
  <si>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</si>
  <si>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</si>
  <si>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</si>
  <si>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</si>
  <si>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</si>
  <si>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</si>
  <si>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</si>
  <si>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</si>
  <si>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</si>
  <si>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</si>
  <si>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</si>
  <si>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</si>
  <si>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</si>
  <si>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</si>
  <si>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</si>
  <si>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</si>
  <si>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</si>
  <si>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</si>
  <si>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</si>
  <si>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</si>
  <si>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</si>
  <si>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</si>
  <si>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</si>
  <si>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</si>
  <si>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</si>
  <si>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</si>
  <si>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</si>
  <si>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</si>
  <si>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</si>
  <si>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</si>
  <si>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</si>
  <si>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</si>
  <si>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</si>
  <si>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</si>
  <si>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</si>
  <si>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</si>
  <si>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</si>
  <si>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</si>
  <si>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</si>
  <si>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</si>
  <si>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</si>
  <si>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</si>
  <si>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</si>
  <si>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</si>
  <si>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</si>
  <si>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</si>
  <si>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</si>
  <si>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</si>
  <si>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</si>
  <si>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</si>
  <si>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</si>
  <si>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</si>
  <si>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</si>
  <si>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</si>
  <si>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</si>
  <si>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</si>
  <si>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</si>
  <si>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</si>
  <si>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</si>
  <si>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</si>
  <si>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</si>
  <si>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</si>
  <si>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</si>
  <si>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</si>
  <si>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</si>
  <si>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</si>
  <si>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</si>
  <si>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</si>
  <si>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</si>
  <si>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</si>
  <si>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</si>
  <si>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</si>
  <si>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</si>
  <si>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</si>
  <si>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</si>
  <si>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</si>
  <si>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</si>
  <si>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</si>
  <si>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</si>
  <si>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</si>
  <si>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</si>
  <si>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</si>
  <si>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</si>
  <si>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</si>
  <si>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</si>
  <si>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</si>
  <si>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</si>
  <si>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</si>
  <si>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</si>
  <si>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</si>
  <si>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</si>
  <si>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</si>
  <si>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</si>
  <si>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</si>
  <si>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</si>
  <si>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</si>
  <si>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</si>
  <si>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</si>
  <si>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</si>
  <si>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</si>
  <si>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</si>
  <si>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</si>
  <si>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</si>
  <si>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</si>
  <si>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</si>
  <si>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</si>
  <si>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</si>
  <si>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</si>
  <si>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</si>
  <si>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</si>
  <si>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</si>
  <si>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</si>
  <si>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</si>
  <si>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</si>
  <si>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</si>
  <si>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</si>
  <si>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</si>
  <si>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</si>
  <si>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</si>
  <si>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</si>
  <si>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</si>
  <si>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</si>
  <si>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</si>
  <si>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</si>
  <si>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</si>
  <si>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</si>
  <si>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</si>
  <si>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</si>
  <si>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</si>
  <si>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</si>
  <si>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</si>
  <si>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</si>
  <si>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</si>
  <si>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</si>
  <si>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</si>
  <si>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</si>
  <si>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</si>
  <si>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</si>
  <si>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</si>
  <si>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</si>
  <si>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</si>
  <si>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</si>
  <si>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</si>
  <si>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</si>
  <si>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</si>
  <si>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</si>
  <si>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</si>
  <si>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</si>
  <si>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</si>
  <si>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</si>
  <si>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</si>
  <si>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</si>
  <si>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</si>
  <si>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</si>
  <si>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</si>
  <si>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</si>
  <si>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</si>
  <si>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</si>
  <si>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</si>
  <si>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</si>
  <si>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</si>
  <si>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</si>
  <si>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</si>
  <si>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</si>
  <si>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</si>
  <si>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</si>
  <si>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</si>
  <si>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</si>
  <si>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</si>
  <si>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</si>
  <si>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</si>
  <si>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</si>
  <si>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</si>
  <si>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</si>
  <si>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</si>
  <si>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</si>
  <si>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</si>
  <si>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</si>
  <si>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</si>
  <si>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</si>
  <si>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</si>
  <si>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</si>
  <si>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</si>
  <si>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</si>
  <si>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</si>
  <si>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</si>
  <si>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</si>
  <si>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</si>
  <si>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</si>
  <si>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</si>
  <si>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</si>
  <si>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</si>
  <si>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</si>
  <si>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</si>
  <si>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</si>
  <si>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</si>
  <si>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</si>
  <si>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</si>
  <si>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</si>
  <si>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</si>
  <si>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</si>
  <si>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</si>
  <si>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</si>
  <si>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</si>
  <si>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</si>
  <si>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</si>
  <si>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</si>
  <si>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</si>
  <si>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</si>
  <si>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</si>
  <si>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</si>
  <si>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</si>
  <si>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</si>
  <si>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</si>
  <si>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</si>
  <si>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</si>
  <si>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</si>
  <si>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</si>
  <si>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</si>
  <si>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</si>
  <si>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</si>
  <si>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</si>
  <si>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</si>
  <si>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</si>
  <si>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</si>
  <si>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</si>
  <si>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</si>
  <si>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</si>
  <si>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</si>
  <si>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</si>
  <si>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</si>
  <si>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</si>
  <si>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</si>
  <si>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</si>
  <si>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</si>
  <si>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</si>
  <si>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</si>
  <si>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</si>
  <si>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</si>
  <si>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</si>
  <si>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</si>
  <si>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</si>
  <si>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</si>
  <si>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</si>
  <si>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</si>
  <si>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</si>
  <si>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</si>
  <si>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</si>
  <si>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</si>
  <si>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</si>
  <si>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</si>
  <si>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</si>
  <si>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</si>
  <si>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</si>
  <si>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</si>
  <si>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</si>
  <si>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</si>
  <si>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</si>
  <si>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</si>
  <si>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</si>
  <si>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</si>
  <si>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</si>
  <si>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</si>
  <si>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</si>
  <si>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</si>
  <si>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</si>
  <si>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</si>
  <si>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</si>
  <si>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</si>
  <si>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</si>
  <si>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</si>
  <si>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</si>
  <si>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</si>
  <si>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</si>
  <si>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</si>
  <si>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</si>
  <si>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</si>
  <si>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</si>
  <si>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</si>
  <si>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</si>
  <si>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</si>
  <si>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</si>
  <si>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</si>
  <si>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</si>
  <si>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</si>
  <si>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</si>
  <si>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</si>
  <si>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</si>
  <si>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</si>
  <si>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</si>
  <si>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</si>
  <si>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</si>
  <si>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</si>
  <si>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</si>
  <si>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</si>
  <si>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</si>
  <si>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</si>
  <si>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</si>
  <si>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</si>
  <si>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</si>
  <si>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</si>
  <si>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</si>
  <si>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</si>
  <si>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</si>
  <si>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</si>
  <si>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</si>
  <si>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</si>
  <si>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</si>
  <si>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</si>
  <si>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</si>
  <si>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</si>
  <si>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</si>
  <si>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</si>
  <si>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</si>
  <si>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</si>
  <si>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</si>
  <si>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</si>
  <si>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</si>
  <si>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</si>
  <si>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</si>
  <si>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</si>
  <si>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</si>
  <si>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</si>
  <si>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</si>
  <si>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</si>
  <si>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</si>
  <si>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</si>
  <si>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</si>
  <si>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</si>
  <si>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</si>
  <si>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</si>
  <si>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</si>
  <si>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</si>
  <si>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</si>
  <si>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</si>
  <si>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</si>
  <si>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</si>
  <si>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</si>
  <si>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</si>
  <si>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</si>
  <si>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</si>
  <si>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</si>
  <si>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</si>
  <si>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</si>
  <si>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</si>
  <si>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</si>
  <si>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</si>
  <si>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</si>
  <si>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</si>
  <si>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</si>
  <si>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</si>
  <si>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</si>
  <si>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</si>
  <si>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</si>
  <si>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</si>
  <si>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</si>
  <si>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</si>
  <si>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</si>
  <si>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</si>
  <si>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</si>
  <si>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</si>
  <si>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</si>
  <si>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</si>
  <si>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</si>
  <si>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</si>
  <si>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</si>
  <si>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</si>
  <si>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</si>
  <si>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</si>
  <si>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</si>
  <si>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</si>
  <si>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</si>
  <si>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</si>
  <si>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</si>
  <si>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</si>
  <si>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</si>
  <si>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</si>
  <si>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</si>
  <si>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</si>
  <si>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</si>
  <si>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</si>
  <si>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</si>
  <si>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</si>
  <si>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</si>
  <si>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</si>
  <si>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</si>
  <si>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</si>
  <si>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</si>
  <si>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</si>
  <si>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</si>
  <si>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</si>
  <si>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</si>
  <si>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</si>
  <si>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</si>
  <si>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</si>
  <si>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</si>
  <si>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</si>
  <si>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</si>
  <si>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</si>
  <si>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</si>
  <si>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</si>
  <si>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</si>
  <si>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</si>
  <si>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</si>
  <si>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</si>
  <si>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</si>
  <si>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</si>
  <si>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</si>
  <si>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</si>
  <si>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</si>
  <si>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</si>
  <si>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</si>
  <si>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</si>
  <si>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</si>
  <si>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</si>
  <si>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</si>
  <si>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</si>
  <si>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</si>
  <si>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</si>
  <si>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</si>
  <si>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</si>
  <si>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</si>
  <si>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</si>
  <si>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</si>
  <si>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</si>
  <si>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</si>
  <si>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</si>
  <si>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</si>
  <si>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</si>
  <si>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</si>
  <si>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</si>
  <si>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</si>
  <si>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</si>
  <si>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</si>
  <si>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</si>
  <si>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</si>
  <si>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</si>
  <si>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</si>
  <si>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</si>
  <si>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</si>
  <si>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</si>
  <si>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</si>
  <si>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</si>
  <si>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</si>
  <si>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</si>
  <si>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</si>
  <si>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</si>
  <si>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</si>
  <si>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</si>
  <si>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</si>
  <si>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</si>
  <si>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</si>
  <si>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</si>
  <si>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</si>
  <si>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</si>
  <si>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</si>
  <si>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</si>
  <si>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</si>
  <si>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</si>
  <si>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</si>
  <si>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</si>
  <si>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</si>
  <si>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</si>
  <si>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</si>
  <si>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</si>
  <si>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</si>
  <si>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</si>
  <si>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</si>
  <si>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</si>
  <si>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</si>
  <si>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</si>
  <si>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</si>
  <si>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</si>
  <si>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</si>
  <si>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</si>
  <si>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</si>
  <si>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</si>
  <si>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</si>
  <si>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</si>
  <si>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</si>
  <si>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</si>
  <si>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</si>
  <si>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</si>
  <si>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</si>
  <si>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</si>
  <si>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</si>
  <si>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</si>
  <si>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</si>
  <si>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</si>
  <si>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</si>
  <si>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</si>
  <si>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</si>
  <si>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</si>
  <si>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</si>
  <si>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</si>
  <si>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</si>
  <si>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</si>
  <si>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</si>
  <si>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</si>
  <si>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</si>
  <si>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</si>
  <si>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</si>
  <si>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</si>
  <si>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</si>
  <si>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</si>
  <si>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</si>
  <si>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</si>
  <si>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</si>
  <si>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</si>
  <si>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</si>
  <si>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</si>
  <si>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</si>
  <si>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</si>
  <si>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</si>
  <si>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</si>
  <si>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</si>
  <si>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</si>
  <si>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</si>
  <si>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</si>
  <si>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</si>
  <si>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</si>
  <si>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</si>
  <si>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</si>
  <si>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</si>
  <si>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</si>
  <si>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</si>
  <si>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</si>
  <si>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</si>
  <si>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</si>
  <si>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</si>
  <si>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</si>
  <si>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</si>
  <si>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</si>
  <si>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</si>
  <si>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</si>
  <si>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</si>
  <si>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</si>
  <si>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</si>
  <si>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</si>
  <si>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</si>
  <si>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</si>
  <si>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</si>
  <si>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</si>
  <si>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</si>
  <si>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</si>
  <si>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</si>
  <si>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</si>
  <si>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</si>
  <si>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</si>
  <si>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</si>
  <si>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</si>
  <si>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</si>
  <si>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</si>
  <si>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</si>
  <si>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</si>
  <si>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</si>
  <si>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</si>
  <si>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</si>
  <si>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</si>
  <si>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</si>
  <si>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</si>
  <si>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</si>
  <si>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</si>
  <si>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</si>
  <si>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</si>
  <si>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</si>
  <si>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</si>
  <si>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</si>
  <si>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</si>
  <si>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</si>
  <si>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</si>
  <si>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</si>
  <si>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</si>
  <si>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</si>
  <si>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</si>
  <si>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</si>
  <si>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</si>
  <si>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</si>
  <si>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</si>
  <si>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</si>
  <si>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</si>
  <si>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</si>
  <si>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</si>
  <si>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</si>
  <si>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</si>
  <si>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</si>
  <si>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</si>
  <si>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</si>
  <si>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</si>
  <si>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</si>
  <si>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</si>
  <si>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</si>
  <si>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</si>
  <si>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</si>
  <si>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</si>
  <si>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</si>
  <si>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</si>
  <si>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</si>
  <si>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</si>
  <si>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</si>
  <si>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</si>
  <si>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</si>
  <si>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</si>
  <si>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</si>
  <si>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</si>
  <si>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</si>
  <si>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</si>
  <si>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</si>
  <si>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</si>
  <si>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</si>
  <si>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</si>
  <si>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</si>
  <si>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</si>
  <si>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</si>
  <si>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</si>
  <si>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</si>
  <si>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</si>
  <si>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</si>
  <si>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</si>
  <si>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</si>
  <si>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</si>
  <si>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</si>
  <si>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</si>
  <si>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</si>
  <si>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</si>
  <si>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</si>
  <si>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</si>
  <si>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</si>
  <si>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</si>
  <si>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</si>
  <si>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</si>
  <si>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</si>
  <si>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</si>
  <si>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</si>
  <si>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</si>
  <si>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</si>
  <si>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</si>
  <si>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</si>
  <si>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</si>
  <si>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</si>
  <si>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</si>
  <si>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</si>
  <si>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</si>
  <si>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</si>
  <si>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</si>
  <si>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</si>
  <si>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</si>
  <si>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</si>
  <si>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</si>
  <si>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</si>
  <si>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</si>
  <si>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</si>
  <si>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</si>
  <si>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</si>
  <si>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</si>
  <si>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</si>
  <si>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</si>
  <si>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</si>
  <si>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</si>
  <si>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</si>
  <si>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</si>
  <si>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</si>
  <si>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</si>
  <si>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</si>
  <si>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</si>
  <si>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</si>
  <si>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</si>
  <si>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</si>
  <si>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</si>
  <si>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</si>
  <si>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</si>
  <si>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</si>
  <si>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</si>
  <si>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</si>
  <si>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</si>
  <si>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</si>
  <si>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</si>
  <si>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</si>
  <si>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</si>
  <si>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</si>
  <si>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</si>
  <si>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</si>
  <si>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</si>
  <si>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</si>
  <si>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</si>
  <si>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</si>
  <si>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</si>
  <si>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</si>
  <si>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</si>
  <si>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</si>
  <si>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</si>
  <si>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</si>
  <si>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</si>
  <si>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</si>
  <si>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</si>
  <si>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</si>
  <si>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</si>
  <si>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</si>
  <si>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</si>
  <si>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</si>
  <si>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</si>
  <si>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</si>
  <si>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</si>
  <si>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</si>
  <si>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</si>
  <si>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</si>
  <si>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</si>
  <si>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</si>
  <si>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</si>
  <si>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</si>
  <si>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</si>
  <si>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</si>
  <si>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</si>
  <si>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</si>
  <si>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</si>
  <si>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</si>
  <si>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</si>
  <si>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</si>
  <si>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</si>
  <si>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</si>
  <si>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</si>
  <si>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</si>
  <si>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</si>
  <si>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</si>
  <si>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</si>
  <si>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</si>
  <si>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</si>
  <si>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</si>
  <si>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</si>
  <si>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</si>
  <si>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</si>
  <si>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</si>
  <si>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</si>
  <si>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</si>
  <si>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</si>
  <si>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</si>
  <si>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</si>
  <si>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</si>
  <si>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</si>
  <si>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</si>
  <si>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</si>
  <si>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</si>
  <si>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</si>
  <si>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</si>
  <si>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</si>
  <si>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</si>
  <si>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</si>
  <si>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</si>
  <si>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</si>
  <si>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</si>
  <si>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</si>
  <si>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</si>
  <si>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</si>
  <si>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</si>
  <si>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</si>
  <si>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</si>
  <si>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</si>
  <si>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</si>
  <si>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</si>
  <si>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</si>
  <si>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</si>
  <si>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</si>
  <si>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</si>
  <si>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</si>
  <si>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</si>
  <si>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</si>
  <si>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</si>
  <si>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</si>
  <si>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</si>
  <si>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</si>
  <si>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</si>
  <si>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</si>
  <si>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</si>
  <si>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</si>
  <si>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</si>
  <si>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</si>
  <si>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</si>
  <si>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</si>
  <si>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</si>
  <si>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</si>
  <si>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</si>
  <si>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</si>
  <si>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</si>
  <si>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</si>
  <si>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</si>
  <si>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</si>
  <si>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</si>
  <si>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</si>
  <si>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</si>
  <si>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</si>
  <si>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</si>
  <si>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</si>
  <si>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</si>
  <si>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</si>
  <si>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</si>
  <si>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</si>
  <si>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</si>
  <si>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</si>
  <si>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</si>
  <si>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</si>
  <si>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</si>
  <si>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</si>
  <si>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</si>
  <si>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</si>
  <si>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</si>
  <si>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</si>
  <si>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</si>
  <si>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</si>
  <si>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</si>
  <si>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</si>
  <si>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</si>
  <si>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</si>
  <si>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</si>
  <si>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</si>
  <si>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</si>
  <si>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</si>
  <si>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</si>
  <si>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</si>
  <si>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</si>
  <si>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</si>
  <si>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</si>
  <si>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</si>
  <si>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</si>
  <si>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</si>
  <si>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</si>
  <si>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</si>
  <si>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</si>
  <si>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</si>
  <si>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</si>
  <si>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</si>
  <si>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</si>
  <si>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</si>
  <si>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</si>
  <si>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</si>
  <si>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</si>
  <si>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</si>
  <si>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</si>
  <si>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</si>
  <si>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</si>
  <si>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</si>
  <si>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</si>
  <si>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</si>
  <si>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</si>
  <si>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</si>
  <si>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</si>
  <si>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</si>
  <si>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</si>
  <si>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</si>
  <si>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</si>
  <si>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</si>
  <si>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</si>
  <si>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</si>
  <si>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</si>
  <si>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</si>
  <si>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</si>
  <si>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</si>
  <si>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</si>
  <si>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</si>
  <si>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</si>
  <si>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</si>
  <si>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</si>
  <si>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</si>
  <si>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</si>
  <si>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</si>
  <si>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</si>
  <si>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</si>
  <si>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</si>
  <si>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</si>
  <si>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</si>
  <si>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</si>
  <si>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</si>
  <si>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</si>
  <si>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</si>
  <si>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</si>
  <si>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</si>
  <si>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</si>
  <si>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</si>
  <si>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</si>
  <si>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</si>
  <si>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</si>
  <si>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</si>
  <si>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</si>
  <si>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</si>
  <si>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</si>
  <si>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</si>
  <si>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</si>
  <si>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</si>
  <si>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</si>
  <si>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</si>
  <si>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</si>
  <si>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</si>
  <si>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</si>
  <si>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</si>
  <si>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</si>
  <si>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</si>
  <si>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</si>
  <si>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</si>
  <si>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</si>
  <si>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</si>
  <si>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</si>
  <si>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</si>
  <si>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</si>
  <si>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</si>
  <si>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</si>
  <si>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</si>
  <si>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</si>
  <si>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</si>
  <si>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</si>
  <si>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</si>
  <si>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</si>
  <si>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</si>
  <si>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</si>
  <si>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</si>
  <si>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</si>
  <si>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</si>
  <si>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</si>
  <si>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</si>
  <si>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</si>
  <si>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</si>
  <si>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</si>
  <si>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</si>
  <si>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</si>
  <si>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</si>
  <si>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</si>
  <si>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</si>
  <si>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</si>
  <si>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</si>
  <si>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</si>
  <si>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</si>
  <si>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</si>
  <si>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</si>
  <si>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</si>
  <si>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</si>
  <si>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</si>
  <si>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</si>
  <si>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</si>
  <si>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</si>
  <si>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</si>
  <si>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</si>
  <si>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</si>
  <si>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</si>
  <si>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</si>
  <si>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</si>
  <si>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</si>
  <si>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</si>
  <si>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</si>
  <si>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</si>
  <si>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</si>
  <si>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</si>
  <si>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</si>
  <si>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</si>
  <si>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</si>
  <si>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</si>
  <si>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</si>
  <si>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</si>
  <si>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</si>
  <si>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</si>
  <si>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</si>
  <si>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</si>
  <si>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</si>
  <si>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</si>
  <si>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</si>
  <si>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</si>
  <si>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</si>
  <si>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</si>
  <si>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</si>
  <si>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</si>
  <si>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</si>
  <si>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</si>
  <si>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</si>
  <si>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</si>
  <si>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</si>
  <si>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</si>
  <si>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</si>
  <si>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</si>
  <si>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</si>
  <si>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</si>
  <si>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</si>
  <si>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</si>
  <si>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</si>
  <si>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</si>
  <si>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</si>
  <si>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</si>
  <si>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</si>
  <si>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</si>
  <si>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</si>
  <si>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</si>
  <si>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</si>
  <si>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</si>
  <si>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</si>
  <si>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</si>
  <si>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</si>
  <si>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</si>
  <si>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</si>
  <si>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</si>
  <si>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</si>
  <si>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</si>
  <si>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</si>
  <si>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</si>
  <si>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</si>
  <si>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</si>
  <si>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</si>
  <si>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</si>
  <si>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</si>
  <si>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</si>
  <si>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</si>
  <si>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</si>
  <si>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</si>
  <si>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</si>
  <si>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</si>
  <si>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</si>
  <si>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</si>
  <si>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</si>
  <si>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</si>
  <si>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</si>
  <si>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</si>
  <si>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</si>
  <si>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</si>
  <si>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</si>
  <si>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</si>
  <si>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</si>
  <si>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</si>
  <si>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</si>
  <si>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</si>
  <si>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</si>
  <si>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</si>
  <si>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</si>
  <si>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</si>
  <si>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</si>
  <si>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</si>
  <si>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</si>
  <si>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</si>
  <si>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</si>
  <si>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</si>
  <si>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</si>
  <si>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</si>
  <si>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</si>
  <si>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</si>
  <si>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</si>
  <si>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</si>
  <si>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</si>
  <si>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</si>
  <si>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</si>
  <si>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</si>
  <si>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</si>
  <si>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</si>
  <si>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</si>
  <si>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</si>
  <si>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</si>
  <si>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</si>
  <si>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押二</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</si>
  <si>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</si>
  <si>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</si>
  <si>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</si>
  <si>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</si>
  <si>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</si>
  <si>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</si>
  <si>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</si>
  <si>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</si>
  <si>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</si>
  <si>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</si>
  <si>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</si>
  <si>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</si>
  <si>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</si>
  <si>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</si>
  <si>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</si>
  <si>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</si>
  <si>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</si>
  <si>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</si>
  <si>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</si>
  <si>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</si>
  <si>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</si>
  <si>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</si>
  <si>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</si>
  <si>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</si>
  <si>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</si>
  <si>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</si>
  <si>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</si>
  <si>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</si>
  <si>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</si>
  <si>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</si>
  <si>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</si>
  <si>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</si>
  <si>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</si>
  <si>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</si>
  <si>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</si>
  <si>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</si>
  <si>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</si>
  <si>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</si>
  <si>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</si>
  <si>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</si>
  <si>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</si>
  <si>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</si>
  <si>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</si>
  <si>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</si>
  <si>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</si>
  <si>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</si>
  <si>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</si>
  <si>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</si>
  <si>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</si>
  <si>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</si>
  <si>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</si>
  <si>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</si>
  <si>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</si>
  <si>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</si>
  <si>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</si>
  <si>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</si>
  <si>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</si>
  <si>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</si>
  <si>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</si>
  <si>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</si>
  <si>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</si>
  <si>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</si>
  <si>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</si>
  <si>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</si>
  <si>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</si>
  <si>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</si>
  <si>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</si>
  <si>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</si>
  <si>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</si>
  <si>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</si>
  <si>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</si>
  <si>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</si>
  <si>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</si>
  <si>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</si>
  <si>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</si>
  <si>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</si>
  <si>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</si>
  <si>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</si>
  <si>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</si>
  <si>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</si>
  <si>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</si>
  <si>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</si>
  <si>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</si>
  <si>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</si>
  <si>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</si>
  <si>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</si>
  <si>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</si>
  <si>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</si>
  <si>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</si>
  <si>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</si>
  <si>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</si>
  <si>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</si>
  <si>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</si>
  <si>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</si>
  <si>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</si>
  <si>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</si>
  <si>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</si>
  <si>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</si>
  <si>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</si>
  <si>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办公</t>
    <phoneticPr fontId="7" type="noConversion"/>
  </si>
  <si>
    <t>商业</t>
    <phoneticPr fontId="7" type="noConversion"/>
  </si>
  <si>
    <t>地下仓储</t>
    <phoneticPr fontId="7" type="noConversion"/>
  </si>
  <si>
    <t>成新度</t>
  </si>
  <si>
    <t>收益法-办公</t>
  </si>
  <si>
    <t>收益法-办公</t>
    <phoneticPr fontId="16" type="noConversion"/>
  </si>
  <si>
    <t>比较法</t>
  </si>
  <si>
    <t>收益法-仓储</t>
  </si>
  <si>
    <t>收益法-仓储</t>
    <phoneticPr fontId="16" type="noConversion"/>
  </si>
  <si>
    <t>地下仓储</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</si>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</sst>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4" fillId="18" borderId="41" xfId="0" applyNumberFormat="1" applyFont="1" applyFill="1" applyBorder="1" applyAlignment="1" applyProtection="1">
      <alignment horizontal="center" vertical="center" wrapText="1"/>
      <protection locked="0"/>
    </xf>
    <xf numFmtId="177" fontId="47" fillId="18" borderId="5" xfId="1" applyNumberFormat="1"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56" fillId="18" borderId="61" xfId="1"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64" fillId="18" borderId="13" xfId="0"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0</xdr:colOff>
      <xdr:row>22</xdr:row>
      <xdr:rowOff>171449</xdr:rowOff>
    </xdr:from>
    <xdr:to>
      <xdr:col>12</xdr:col>
      <xdr:colOff>361950</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1</xdr:col>
      <xdr:colOff>0</xdr:colOff>
      <xdr:row>70</xdr:row>
      <xdr:rowOff>0</xdr:rowOff>
    </xdr:from>
    <xdr:to>
      <xdr:col>14</xdr:col>
      <xdr:colOff>231834</xdr:colOff>
      <xdr:row>115</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200150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twoCellAnchor editAs="oneCell">
    <xdr:from>
      <xdr:col>0</xdr:col>
      <xdr:colOff>0</xdr:colOff>
      <xdr:row>89</xdr:row>
      <xdr:rowOff>0</xdr:rowOff>
    </xdr:from>
    <xdr:to>
      <xdr:col>13</xdr:col>
      <xdr:colOff>400050</xdr:colOff>
      <xdr:row>129</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259050"/>
          <a:ext cx="9315450" cy="6934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23323.78平方米，建筑面积为31541.36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23323.78平方米，规划建筑面积为31541.36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148991</v>
      </c>
    </row>
    <row r="21" spans="1:2" s="1594" customFormat="1">
      <c r="A21" s="1592" t="s">
        <v>1235</v>
      </c>
      <c r="B21" s="1593">
        <f ca="1">'预评函-2'!D7</f>
        <v>47237</v>
      </c>
    </row>
    <row r="22" spans="1:2" s="1594" customFormat="1">
      <c r="A22" s="1592" t="s">
        <v>1236</v>
      </c>
      <c r="B22" s="1593" t="str">
        <f ca="1">'预评函-2'!D6</f>
        <v>壹拾肆亿捌仟玖佰玖拾壹万元整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148991</v>
      </c>
    </row>
    <row r="31" spans="1:2" s="1594" customFormat="1">
      <c r="A31" s="1592" t="s">
        <v>1274</v>
      </c>
      <c r="B31" s="1593">
        <f ca="1">'预评函-2'!D15</f>
        <v>47237</v>
      </c>
    </row>
    <row r="32" spans="1:2" s="1594" customFormat="1">
      <c r="A32" s="1592" t="s">
        <v>1241</v>
      </c>
      <c r="B32" s="1593" t="str">
        <f ca="1">'预评函-2'!D14</f>
        <v>壹拾肆亿捌仟玖佰玖拾壹万元整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31541.359999999997</v>
      </c>
    </row>
    <row r="44" spans="1:2" s="1594" customFormat="1">
      <c r="A44" s="1592" t="s">
        <v>1273</v>
      </c>
      <c r="B44" s="1593" t="str">
        <f>'预评函-3'!C2</f>
        <v>(分摊)土地面积</v>
      </c>
    </row>
    <row r="45" spans="1:2" s="1594" customFormat="1">
      <c r="A45" s="1592" t="s">
        <v>1245</v>
      </c>
      <c r="B45" s="1593">
        <f>'预评函-3'!C4</f>
        <v>23323.78</v>
      </c>
    </row>
    <row r="46" spans="1:2" s="1594" customFormat="1">
      <c r="A46" s="1592" t="s">
        <v>1271</v>
      </c>
      <c r="B46" s="1593" t="str">
        <f>'预评函-3'!D2</f>
        <v>出让国有建设用地使用权价值</v>
      </c>
    </row>
    <row r="47" spans="1:2" s="1594" customFormat="1">
      <c r="A47" s="1592" t="s">
        <v>1246</v>
      </c>
      <c r="B47" s="1593">
        <f ca="1">'预评函-3'!D4</f>
        <v>138115</v>
      </c>
    </row>
    <row r="48" spans="1:2" s="1594" customFormat="1">
      <c r="A48" s="1592" t="s">
        <v>1247</v>
      </c>
      <c r="B48" s="1593">
        <f ca="1">'预评函-3'!E4</f>
        <v>43789</v>
      </c>
    </row>
    <row r="49" spans="1:2" s="1594" customFormat="1">
      <c r="A49" s="1592" t="s">
        <v>1248</v>
      </c>
      <c r="B49" s="1593" t="str">
        <f ca="1">'预评函-3'!D5</f>
        <v>壹拾叁亿捌仟壹佰壹拾伍万元整</v>
      </c>
    </row>
    <row r="50" spans="1:2" s="1594" customFormat="1">
      <c r="A50" s="1592" t="s">
        <v>1272</v>
      </c>
      <c r="B50" s="1593" t="str">
        <f>'预评函-3'!F2</f>
        <v>在建建筑物价值</v>
      </c>
    </row>
    <row r="51" spans="1:2" s="1594" customFormat="1">
      <c r="A51" s="1592" t="s">
        <v>1249</v>
      </c>
      <c r="B51" s="1593">
        <f ca="1">'预评函-3'!F4</f>
        <v>10876</v>
      </c>
    </row>
    <row r="52" spans="1:2" s="1594" customFormat="1">
      <c r="A52" s="1592" t="s">
        <v>1250</v>
      </c>
      <c r="B52" s="1593">
        <f ca="1">'预评函-3'!G4</f>
        <v>3448</v>
      </c>
    </row>
    <row r="53" spans="1:2" s="1594" customFormat="1">
      <c r="A53" s="1592" t="s">
        <v>1278</v>
      </c>
      <c r="B53" s="1593" t="str">
        <f ca="1">'预评函-3'!F5</f>
        <v>壹亿零捌佰柒拾陆万元整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9" sqref="AA2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3270</v>
      </c>
      <c r="C17" s="2016"/>
    </row>
    <row r="18" spans="1:3">
      <c r="A18" s="2015" t="s">
        <v>1767</v>
      </c>
      <c r="B18" s="2015" t="s">
        <v>3272</v>
      </c>
      <c r="C18" s="2016"/>
    </row>
    <row r="19" spans="1:3">
      <c r="A19" s="2015" t="s">
        <v>1768</v>
      </c>
      <c r="B19" s="2015" t="s">
        <v>3378</v>
      </c>
      <c r="C19" s="2016"/>
    </row>
    <row r="20" spans="1:3">
      <c r="A20" s="2015" t="s">
        <v>1769</v>
      </c>
      <c r="B20" s="2015" t="s">
        <v>3381</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55"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55"/>
      <c r="B54" s="2023" t="s">
        <v>864</v>
      </c>
      <c r="C54" s="2020" t="s">
        <v>1281</v>
      </c>
    </row>
    <row r="55" spans="1:4">
      <c r="A55" s="3055"/>
      <c r="B55" s="2023" t="s">
        <v>865</v>
      </c>
      <c r="C55" s="2020" t="s">
        <v>1282</v>
      </c>
    </row>
    <row r="56" spans="1:4">
      <c r="A56" s="3055"/>
      <c r="B56" s="2023" t="s">
        <v>866</v>
      </c>
      <c r="C56" s="2020" t="s">
        <v>1286</v>
      </c>
    </row>
    <row r="57" spans="1:4">
      <c r="A57" s="3055"/>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6"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7"/>
      <c r="D1" s="3057"/>
      <c r="E1" s="3057"/>
      <c r="F1" s="3057"/>
      <c r="G1" s="3057"/>
      <c r="H1" s="3057"/>
      <c r="I1" s="305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3046</v>
      </c>
      <c r="C4" s="1039">
        <f ca="1">SUMIF(注册房地产估价师,B4,估价师及机构信息!B3:B24)</f>
        <v>1120140022</v>
      </c>
      <c r="D4" s="2040" t="s">
        <v>3047</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3049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3048</v>
      </c>
      <c r="C7" s="2049"/>
      <c r="D7" s="2050"/>
      <c r="E7" s="2035"/>
      <c r="F7" s="2043"/>
      <c r="G7" s="2043"/>
      <c r="H7" s="2043"/>
      <c r="I7" s="2043"/>
      <c r="J7" s="2043"/>
      <c r="K7" s="2052"/>
      <c r="L7" s="2029"/>
      <c r="M7" s="2029"/>
      <c r="N7" s="2030"/>
      <c r="O7" s="2031"/>
      <c r="P7" s="2030"/>
      <c r="Q7" s="2030"/>
      <c r="R7" s="2030"/>
    </row>
    <row r="8" spans="1:19" ht="18" customHeight="1">
      <c r="A8" s="2048" t="s">
        <v>1784</v>
      </c>
      <c r="B8" s="2053" t="s">
        <v>3051</v>
      </c>
      <c r="C8" s="2054"/>
      <c r="D8" s="3059" t="s">
        <v>1785</v>
      </c>
      <c r="E8" s="2055" t="s">
        <v>3052</v>
      </c>
      <c r="F8" s="2056"/>
      <c r="G8" s="2027"/>
      <c r="H8" s="2027"/>
      <c r="I8" s="2027"/>
      <c r="J8" s="2043"/>
      <c r="K8" s="2044"/>
      <c r="L8" s="2029"/>
      <c r="M8" s="2029"/>
      <c r="N8" s="2030"/>
      <c r="O8" s="2031"/>
      <c r="P8" s="2030"/>
      <c r="Q8" s="2030"/>
      <c r="R8" s="2030"/>
    </row>
    <row r="9" spans="1:19" ht="18" customHeight="1" thickBot="1">
      <c r="A9" s="2041" t="s">
        <v>1786</v>
      </c>
      <c r="B9" s="2057" t="s">
        <v>3052</v>
      </c>
      <c r="C9" s="2058"/>
      <c r="D9" s="3060"/>
      <c r="E9" s="2057" t="s">
        <v>70</v>
      </c>
      <c r="F9" s="2059"/>
      <c r="G9" s="2060"/>
      <c r="H9" s="2060"/>
      <c r="I9" s="2060"/>
      <c r="J9" s="2043"/>
      <c r="K9" s="2052"/>
      <c r="L9" s="2029"/>
      <c r="M9" s="2029"/>
      <c r="N9" s="2030"/>
      <c r="O9" s="2031"/>
      <c r="P9" s="2030"/>
      <c r="Q9" s="2030"/>
      <c r="R9" s="2030"/>
    </row>
    <row r="10" spans="1:19" ht="18" customHeight="1" thickTop="1">
      <c r="A10" s="2061" t="s">
        <v>1787</v>
      </c>
      <c r="B10" s="2062" t="s">
        <v>3053</v>
      </c>
      <c r="C10" s="2063"/>
      <c r="D10" s="2047"/>
      <c r="E10" s="2064" t="s">
        <v>1788</v>
      </c>
      <c r="F10" s="2950" t="s">
        <v>3054</v>
      </c>
      <c r="G10" s="2065"/>
      <c r="H10" s="2066"/>
      <c r="I10" s="2047"/>
      <c r="J10" s="2043"/>
      <c r="K10" s="2052"/>
      <c r="L10" s="2029"/>
      <c r="M10" s="2029"/>
      <c r="N10" s="2030"/>
      <c r="O10" s="2031"/>
      <c r="P10" s="2030"/>
      <c r="Q10" s="2030"/>
      <c r="R10" s="2030"/>
    </row>
    <row r="11" spans="1:19" ht="18" customHeight="1">
      <c r="A11" s="2067" t="s">
        <v>1789</v>
      </c>
      <c r="B11" s="2068" t="s">
        <v>3055</v>
      </c>
      <c r="C11" s="2949" t="s">
        <v>3048</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3056</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6" t="s">
        <v>3057</v>
      </c>
      <c r="C16" s="3067"/>
      <c r="D16" s="3068"/>
      <c r="E16" s="2082" t="s">
        <v>1802</v>
      </c>
      <c r="F16" s="3069" t="s">
        <v>3336</v>
      </c>
      <c r="G16" s="3070"/>
      <c r="H16" s="3070"/>
      <c r="I16" s="3071"/>
      <c r="J16" s="2030"/>
      <c r="K16" s="2079"/>
      <c r="L16" s="2080"/>
      <c r="M16" s="2080"/>
      <c r="N16" s="2081"/>
      <c r="O16" s="2080"/>
      <c r="P16" s="2081"/>
      <c r="Q16" s="2030"/>
      <c r="R16" s="2030"/>
    </row>
    <row r="17" spans="1:22" ht="18" customHeight="1">
      <c r="A17" s="2083" t="s">
        <v>1803</v>
      </c>
      <c r="B17" s="2036" t="s">
        <v>1804</v>
      </c>
      <c r="C17" s="1056">
        <f>'数据-汇总表'!E3</f>
        <v>31541.359999999997</v>
      </c>
      <c r="D17" s="2084" t="s">
        <v>1805</v>
      </c>
      <c r="E17" s="3072" t="s">
        <v>3058</v>
      </c>
      <c r="F17" s="3073"/>
      <c r="G17" s="3073"/>
      <c r="H17" s="3073"/>
      <c r="I17" s="3074"/>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23323.78</v>
      </c>
      <c r="D18" s="2087" t="s">
        <v>1805</v>
      </c>
      <c r="E18" s="3075" t="s">
        <v>3059</v>
      </c>
      <c r="F18" s="3076"/>
      <c r="G18" s="3076"/>
      <c r="H18" s="3076"/>
      <c r="I18" s="3077"/>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3060</v>
      </c>
      <c r="D19" s="2089" t="s">
        <v>1810</v>
      </c>
      <c r="E19" s="2090" t="s">
        <v>3060</v>
      </c>
      <c r="F19" s="2091" t="str">
        <f>IF(AND(C19="是",E19="否"),"是否提供他项权证或相关说明","")</f>
        <v/>
      </c>
      <c r="G19" s="2092" t="s">
        <v>3061</v>
      </c>
      <c r="H19" s="2043"/>
      <c r="I19" s="2043"/>
      <c r="J19" s="2043"/>
      <c r="K19" s="2052"/>
      <c r="L19" s="2029"/>
      <c r="M19" s="2029"/>
      <c r="N19" s="2081"/>
      <c r="O19" s="2080"/>
      <c r="P19" s="2081"/>
      <c r="Q19" s="2030"/>
      <c r="R19" s="2030"/>
      <c r="S19" s="2030"/>
      <c r="T19" s="2030"/>
      <c r="U19" s="2030"/>
      <c r="V19" s="2030"/>
    </row>
    <row r="20" spans="1:22" ht="18" customHeight="1">
      <c r="A20" s="2093" t="s">
        <v>1811</v>
      </c>
      <c r="B20" s="3062" t="s">
        <v>1812</v>
      </c>
      <c r="C20" s="3063"/>
      <c r="D20" s="3064" t="s">
        <v>1813</v>
      </c>
      <c r="E20" s="3065"/>
      <c r="F20" s="2094" t="s">
        <v>1814</v>
      </c>
      <c r="G20" s="2043"/>
      <c r="H20" s="2043"/>
      <c r="I20" s="2043"/>
      <c r="J20" s="2043"/>
      <c r="K20" s="3061"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79" t="s">
        <v>1827</v>
      </c>
      <c r="B27" s="2061" t="s">
        <v>1828</v>
      </c>
      <c r="C27" s="2116" t="s">
        <v>3062</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79"/>
      <c r="B28" s="2036" t="s">
        <v>1829</v>
      </c>
      <c r="C28" s="2118" t="s">
        <v>3063</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79"/>
      <c r="B29" s="2036" t="s">
        <v>1830</v>
      </c>
      <c r="C29" s="2121" t="s">
        <v>3061</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80"/>
      <c r="B30" s="2036" t="s">
        <v>1831</v>
      </c>
      <c r="C30" s="3081"/>
      <c r="D30" s="3082"/>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83" t="s">
        <v>1832</v>
      </c>
      <c r="B31" s="2123" t="s">
        <v>3064</v>
      </c>
      <c r="C31" s="2124" t="str">
        <f>IF(B31="现房","成新及维护状况正常否",IF(B31="在建","工程状态是否正常",IF(B31="土地","是否闲置","-")))</f>
        <v>工程状态是否正常</v>
      </c>
      <c r="D31" s="2125"/>
      <c r="E31" s="2951" t="s">
        <v>3065</v>
      </c>
      <c r="F31" s="2043"/>
      <c r="G31" s="2043"/>
      <c r="H31" s="2043"/>
      <c r="I31" s="2043"/>
      <c r="J31" s="2043"/>
      <c r="K31" s="2051"/>
      <c r="L31" s="2029"/>
      <c r="M31" s="2029"/>
      <c r="N31" s="2030"/>
      <c r="O31" s="2031"/>
      <c r="P31" s="2030"/>
      <c r="Q31" s="2030"/>
      <c r="R31" s="2030"/>
      <c r="S31" s="2030"/>
      <c r="T31" s="2030"/>
      <c r="U31" s="2030"/>
      <c r="V31" s="2030"/>
    </row>
    <row r="32" spans="1:22" ht="18" customHeight="1">
      <c r="A32" s="3084"/>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84"/>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3067</v>
      </c>
      <c r="C34" s="2130" t="s">
        <v>3068</v>
      </c>
      <c r="D34" s="2130" t="s">
        <v>3069</v>
      </c>
      <c r="E34" s="2130" t="s">
        <v>3070</v>
      </c>
      <c r="F34" s="2130" t="s">
        <v>3071</v>
      </c>
      <c r="G34" s="2130" t="s">
        <v>3072</v>
      </c>
      <c r="H34" s="2130" t="s">
        <v>3073</v>
      </c>
      <c r="I34" s="2043"/>
      <c r="J34" s="2043"/>
      <c r="K34" s="1796">
        <f>COUNTIF(B34:H34,"——")</f>
        <v>0</v>
      </c>
      <c r="L34" s="2071" t="s">
        <v>1834</v>
      </c>
      <c r="M34" s="2071" t="s">
        <v>1835</v>
      </c>
      <c r="N34" s="2071" t="s">
        <v>1836</v>
      </c>
      <c r="O34" s="2071" t="s">
        <v>1837</v>
      </c>
      <c r="P34" s="2071" t="s">
        <v>1838</v>
      </c>
      <c r="Q34" s="2071" t="s">
        <v>1839</v>
      </c>
      <c r="R34" s="2071" t="s">
        <v>1840</v>
      </c>
      <c r="S34" s="3078" t="s">
        <v>1841</v>
      </c>
      <c r="T34" s="2131" t="str">
        <f>NUMBERSTRING(7-K34,1)&amp;"通"</f>
        <v>七通</v>
      </c>
      <c r="U34" s="2030"/>
      <c r="V34" s="2030"/>
    </row>
    <row r="35" spans="1:22" ht="18" customHeight="1">
      <c r="A35" s="2132"/>
      <c r="B35" s="3085" t="s">
        <v>1842</v>
      </c>
      <c r="C35" s="3085"/>
      <c r="D35" s="3085"/>
      <c r="E35" s="3085"/>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8"/>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3066</v>
      </c>
      <c r="C38" s="2139" t="s">
        <v>3066</v>
      </c>
      <c r="D38" s="2139" t="s">
        <v>3066</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90970.280000000028</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90970.280000000028</v>
      </c>
      <c r="H5" s="16">
        <f t="shared" ref="H5:AT5" si="0">SUM(H13:H656)</f>
        <v>88275.500000000029</v>
      </c>
      <c r="I5" s="16">
        <f t="shared" si="0"/>
        <v>28727.35</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31541.359999999997</v>
      </c>
      <c r="BA5" s="18">
        <f t="shared" si="1"/>
        <v>30708.989999999998</v>
      </c>
      <c r="BB5" s="18">
        <f t="shared" si="1"/>
        <v>0</v>
      </c>
      <c r="BC5" s="18">
        <f t="shared" si="1"/>
        <v>3203.06</v>
      </c>
      <c r="BD5" s="18">
        <f t="shared" si="1"/>
        <v>584.81999999999971</v>
      </c>
      <c r="BE5" s="18">
        <f t="shared" si="1"/>
        <v>2752.95</v>
      </c>
      <c r="BF5" s="18">
        <f t="shared" si="1"/>
        <v>24168.16</v>
      </c>
      <c r="BG5" s="18">
        <f t="shared" si="1"/>
        <v>0</v>
      </c>
      <c r="BH5" s="18">
        <f t="shared" si="1"/>
        <v>0</v>
      </c>
      <c r="BI5" s="18">
        <f t="shared" si="1"/>
        <v>0</v>
      </c>
      <c r="BJ5" s="18">
        <f t="shared" si="1"/>
        <v>0</v>
      </c>
      <c r="BK5" s="18">
        <f t="shared" si="1"/>
        <v>0</v>
      </c>
      <c r="BL5" s="18">
        <f t="shared" si="1"/>
        <v>832.37000000000012</v>
      </c>
      <c r="BM5" s="18">
        <f t="shared" si="1"/>
        <v>0</v>
      </c>
      <c r="BN5" s="18">
        <f t="shared" si="1"/>
        <v>0</v>
      </c>
      <c r="BO5" s="18">
        <f t="shared" si="1"/>
        <v>0</v>
      </c>
      <c r="BP5" s="18">
        <f t="shared" si="1"/>
        <v>0</v>
      </c>
      <c r="BQ5" s="18">
        <f t="shared" si="1"/>
        <v>220</v>
      </c>
      <c r="BR5" s="18">
        <f t="shared" si="1"/>
        <v>612.37000000000012</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65276.78</v>
      </c>
      <c r="I6" s="16">
        <f t="shared" ref="I6:AB6" si="2">ROUND($A$3*I5/$B$3,2)</f>
        <v>21242.91</v>
      </c>
      <c r="J6" s="16">
        <f t="shared" si="2"/>
        <v>0</v>
      </c>
      <c r="K6" s="16">
        <f t="shared" si="2"/>
        <v>2449.9</v>
      </c>
      <c r="L6" s="16">
        <f t="shared" si="2"/>
        <v>0</v>
      </c>
      <c r="M6" s="16">
        <f t="shared" si="2"/>
        <v>13749.99</v>
      </c>
      <c r="N6" s="16">
        <f t="shared" si="2"/>
        <v>0</v>
      </c>
      <c r="O6" s="16">
        <f t="shared" si="2"/>
        <v>2035.71</v>
      </c>
      <c r="P6" s="16">
        <f t="shared" si="2"/>
        <v>0</v>
      </c>
      <c r="Q6" s="16">
        <f t="shared" si="2"/>
        <v>17871.55</v>
      </c>
      <c r="R6" s="16">
        <f t="shared" si="2"/>
        <v>0</v>
      </c>
      <c r="S6" s="16">
        <f t="shared" si="2"/>
        <v>7926.72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1992.7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384.52</v>
      </c>
      <c r="AM6" s="16">
        <f t="shared" si="3"/>
        <v>0</v>
      </c>
      <c r="AN6" s="16">
        <f t="shared" si="3"/>
        <v>1608.18</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23323.78</v>
      </c>
      <c r="AZ6" s="16" t="s">
        <v>3</v>
      </c>
      <c r="BA6" s="16">
        <f>ROUND($AY$6*BA5/$AZ$5,2)</f>
        <v>22708.27</v>
      </c>
      <c r="BB6" s="16">
        <f>ROUND($AY$6*BB5/$AZ$5,2)</f>
        <v>0</v>
      </c>
      <c r="BC6" s="16">
        <f t="shared" ref="BC6:BH6" si="4">ROUND($AY$6*BC5/$AZ$5,2)</f>
        <v>2368.56</v>
      </c>
      <c r="BD6" s="16">
        <f t="shared" si="4"/>
        <v>432.45</v>
      </c>
      <c r="BE6" s="16">
        <f t="shared" si="4"/>
        <v>2035.71</v>
      </c>
      <c r="BF6" s="16">
        <f t="shared" si="4"/>
        <v>17871.55</v>
      </c>
      <c r="BG6" s="16">
        <f t="shared" si="4"/>
        <v>0</v>
      </c>
      <c r="BH6" s="16">
        <f t="shared" si="4"/>
        <v>0</v>
      </c>
      <c r="BI6" s="16">
        <f t="shared" ref="BI6:BT6" si="5">ROUND($AY$6*BI5/$AZ$5,2)</f>
        <v>0</v>
      </c>
      <c r="BJ6" s="16">
        <f t="shared" si="5"/>
        <v>0</v>
      </c>
      <c r="BK6" s="16">
        <f t="shared" si="5"/>
        <v>0</v>
      </c>
      <c r="BL6" s="16">
        <f t="shared" si="5"/>
        <v>615.51</v>
      </c>
      <c r="BM6" s="16">
        <f t="shared" si="5"/>
        <v>0</v>
      </c>
      <c r="BN6" s="16">
        <f t="shared" si="5"/>
        <v>0</v>
      </c>
      <c r="BO6" s="16">
        <f t="shared" si="5"/>
        <v>0</v>
      </c>
      <c r="BP6" s="16">
        <f t="shared" si="5"/>
        <v>0</v>
      </c>
      <c r="BQ6" s="16">
        <f t="shared" si="5"/>
        <v>162.68</v>
      </c>
      <c r="BR6" s="16">
        <f t="shared" si="5"/>
        <v>452.83</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3235</v>
      </c>
      <c r="J9" s="983"/>
      <c r="K9" s="2188" t="s">
        <v>3235</v>
      </c>
      <c r="L9" s="983"/>
      <c r="M9" s="2188" t="s">
        <v>3236</v>
      </c>
      <c r="N9" s="983"/>
      <c r="O9" s="2188" t="s">
        <v>3236</v>
      </c>
      <c r="P9" s="983"/>
      <c r="Q9" s="2188" t="s">
        <v>3235</v>
      </c>
      <c r="R9" s="983"/>
      <c r="S9" s="2188" t="s">
        <v>3236</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3085</v>
      </c>
      <c r="J10" s="983"/>
      <c r="K10" s="2194" t="s">
        <v>1377</v>
      </c>
      <c r="L10" s="983"/>
      <c r="M10" s="2194" t="s">
        <v>3086</v>
      </c>
      <c r="N10" s="983"/>
      <c r="O10" s="2194" t="s">
        <v>3087</v>
      </c>
      <c r="P10" s="983"/>
      <c r="Q10" s="2194" t="s">
        <v>27</v>
      </c>
      <c r="R10" s="983"/>
      <c r="S10" s="2194" t="s">
        <v>3085</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3237</v>
      </c>
      <c r="D13" s="2210" t="s">
        <v>3061</v>
      </c>
      <c r="E13" s="16">
        <f>IF($C$3="是",ROUND($A$3*G13/$B$3,2),ROUND($A$3*(G13-AT13)/$B$3,2))</f>
        <v>43945.7</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974" t="s">
        <v>3238</v>
      </c>
      <c r="D14" s="2210" t="s">
        <v>3060</v>
      </c>
      <c r="E14" s="16">
        <f>IF($C$3="是",ROUND($A$3*G14/$B$3,2),ROUND($A$3*(G14-AT14)/$B$3,2))</f>
        <v>23323.78</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23323.78</v>
      </c>
      <c r="AZ14" s="16">
        <f>BA14+BL14</f>
        <v>31541.359999999997</v>
      </c>
      <c r="BA14" s="16">
        <f>SUM(BB14:BK14)</f>
        <v>30708.989999999998</v>
      </c>
      <c r="BB14" s="16">
        <f>IF($D14="是",I14-J14,0)</f>
        <v>0</v>
      </c>
      <c r="BC14" s="16">
        <f>IF($D14="是",K14-L14,0)</f>
        <v>3203.06</v>
      </c>
      <c r="BD14" s="16">
        <f>IF($D14="是",M14-N14,0)</f>
        <v>584.81999999999971</v>
      </c>
      <c r="BE14" s="16">
        <f>IF($D14="是",O14-P14,0)</f>
        <v>2752.95</v>
      </c>
      <c r="BF14" s="16">
        <f>IF($D14="是",Q14-R14,0)</f>
        <v>24168.16</v>
      </c>
      <c r="BG14" s="16">
        <f>IF($D14="是",S14-T14,0)</f>
        <v>0</v>
      </c>
      <c r="BH14" s="16">
        <f>IF($D14="是",U14-V14,0)</f>
        <v>0</v>
      </c>
      <c r="BI14" s="16">
        <f>IF($D14="是",W14-X14,0)</f>
        <v>0</v>
      </c>
      <c r="BJ14" s="16">
        <f>IF($D14="是",Y14-Z14,0)</f>
        <v>0</v>
      </c>
      <c r="BK14" s="16">
        <f>IF($D14="是",AA14-AB14,0)</f>
        <v>0</v>
      </c>
      <c r="BL14" s="16">
        <f>SUM(BM14:BT14)</f>
        <v>832.37000000000012</v>
      </c>
      <c r="BM14" s="16">
        <f>IF($D14="是",AD14-AE14,0)</f>
        <v>0</v>
      </c>
      <c r="BN14" s="16">
        <f>IF($D14="是",AF14-AG14,0)</f>
        <v>0</v>
      </c>
      <c r="BO14" s="16">
        <f>IF($D14="是",AH14-AI14,0)</f>
        <v>0</v>
      </c>
      <c r="BP14" s="16">
        <f>IF($D14="是",AJ14-AK14,0)</f>
        <v>0</v>
      </c>
      <c r="BQ14" s="16">
        <f>IF($D14="是",AL14-AM14,0)</f>
        <v>220</v>
      </c>
      <c r="BR14" s="16">
        <f>IF($D14="是",AN14-AO14,0)</f>
        <v>612.37000000000012</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28.5">
      <c r="A3" s="3086"/>
      <c r="B3" s="3086"/>
      <c r="C3" s="3086"/>
      <c r="D3" s="3087"/>
      <c r="E3" s="30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7" t="s">
        <v>1938</v>
      </c>
      <c r="B2" s="3097"/>
      <c r="C2" s="3097"/>
      <c r="D2" s="969" t="s">
        <v>1914</v>
      </c>
      <c r="E2" s="2224" t="s">
        <v>1915</v>
      </c>
      <c r="F2" s="1394"/>
      <c r="G2" s="2225"/>
      <c r="H2" s="2226"/>
      <c r="I2" s="2227" t="s">
        <v>1939</v>
      </c>
      <c r="J2" s="1394"/>
      <c r="K2" s="1394"/>
      <c r="L2" s="1394"/>
      <c r="M2" s="1394"/>
      <c r="N2" s="1429"/>
      <c r="O2" s="1394"/>
      <c r="P2" s="1394"/>
    </row>
    <row r="3" spans="1:16" ht="15.75" thickBot="1">
      <c r="A3" s="3098" t="s">
        <v>1912</v>
      </c>
      <c r="B3" s="3098"/>
      <c r="C3" s="3098"/>
      <c r="D3" s="46">
        <f>'数据-基础表'!AY6</f>
        <v>23323.78</v>
      </c>
      <c r="E3" s="46">
        <f>'数据-基础表'!AZ5</f>
        <v>31541.359999999997</v>
      </c>
      <c r="F3" s="1394"/>
      <c r="G3" s="1401"/>
      <c r="H3" s="1249" t="s">
        <v>1913</v>
      </c>
      <c r="I3" s="55">
        <f>ROUND('数据-基础表'!B3/'数据-基础表'!A3,2)</f>
        <v>1.35</v>
      </c>
      <c r="J3" s="1394"/>
      <c r="K3" s="1394"/>
      <c r="L3" s="1394"/>
      <c r="M3" s="1394"/>
      <c r="N3" s="1429"/>
      <c r="O3" s="1394"/>
      <c r="P3" s="1394"/>
    </row>
    <row r="4" spans="1:16" ht="15">
      <c r="A4" s="3099"/>
      <c r="B4" s="3100"/>
      <c r="C4" s="3101"/>
      <c r="D4" s="2228" t="s">
        <v>1914</v>
      </c>
      <c r="E4" s="2229" t="s">
        <v>1915</v>
      </c>
      <c r="F4" s="1394"/>
      <c r="G4" s="2230" t="s">
        <v>1940</v>
      </c>
      <c r="H4" s="1249" t="s">
        <v>1920</v>
      </c>
      <c r="I4" s="55">
        <f>ROUND(SUMIF('数据-基础表'!I9:AS9,"地上",'数据-基础表'!I5:AS5)/'数据-基础表'!A3,2)</f>
        <v>0.84</v>
      </c>
      <c r="J4" s="1394"/>
      <c r="K4" s="1394"/>
      <c r="L4" s="1394"/>
      <c r="M4" s="1394"/>
      <c r="N4" s="1429"/>
      <c r="O4" s="1394"/>
      <c r="P4" s="1394"/>
    </row>
    <row r="5" spans="1:16">
      <c r="A5" s="47" t="s">
        <v>1916</v>
      </c>
      <c r="B5" s="3102" t="s">
        <v>1917</v>
      </c>
      <c r="C5" s="3102"/>
      <c r="D5" s="48">
        <f>ROUND($D$3*E5/$E$3,2)</f>
        <v>0</v>
      </c>
      <c r="E5" s="49">
        <f>SUMIF('数据-基础表'!$11:$11,"住宅",'数据-基础表'!$5:$5)</f>
        <v>0</v>
      </c>
      <c r="F5" s="1394"/>
      <c r="G5" s="1401"/>
      <c r="H5" s="1249" t="s">
        <v>1913</v>
      </c>
      <c r="I5" s="55">
        <f>ROUND(E31/D31,2)</f>
        <v>1.35</v>
      </c>
      <c r="J5" s="1394"/>
      <c r="K5" s="1394"/>
      <c r="L5" s="1394"/>
      <c r="M5" s="1394"/>
      <c r="N5" s="1394"/>
      <c r="O5" s="1394"/>
      <c r="P5" s="1394"/>
    </row>
    <row r="6" spans="1:16" ht="15" thickBot="1">
      <c r="A6" s="2231"/>
      <c r="B6" s="3102" t="s">
        <v>1918</v>
      </c>
      <c r="C6" s="3102"/>
      <c r="D6" s="48">
        <f>ROUND($D$3*E6/$E$3,2)</f>
        <v>23323.78</v>
      </c>
      <c r="E6" s="49">
        <f>E3-E5</f>
        <v>31541.359999999997</v>
      </c>
      <c r="F6" s="1394"/>
      <c r="G6" s="2232" t="s">
        <v>1919</v>
      </c>
      <c r="H6" s="1401" t="s">
        <v>1920</v>
      </c>
      <c r="I6" s="941">
        <f>ROUND(F31/D31,2)</f>
        <v>1.18</v>
      </c>
      <c r="J6" s="1394"/>
      <c r="K6" s="1394"/>
      <c r="L6" s="1394"/>
      <c r="M6" s="1394"/>
      <c r="N6" s="1394"/>
      <c r="O6" s="1394"/>
      <c r="P6" s="1394"/>
    </row>
    <row r="7" spans="1:16" ht="15">
      <c r="A7" s="3094"/>
      <c r="B7" s="3095"/>
      <c r="C7" s="3096"/>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20240.099999999999</v>
      </c>
      <c r="E8" s="51">
        <f>SUMIF('数据-基础表'!BB10:BK10,"地上",'数据-基础表'!BB5:BK5)</f>
        <v>27371.22</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2035.71</v>
      </c>
      <c r="E12" s="51">
        <f>SUMPRODUCT(('数据-基础表'!BB10:BK10="地下")*('数据-基础表'!BB11:BK11="仓储")*('数据-基础表'!BB5:BK5))</f>
        <v>2752.95</v>
      </c>
      <c r="F12" s="1394"/>
      <c r="G12" s="2234"/>
      <c r="H12" s="2234"/>
      <c r="I12" s="1394"/>
      <c r="J12" s="1394"/>
      <c r="K12" s="1394"/>
      <c r="L12" s="1394"/>
      <c r="M12" s="1394"/>
      <c r="N12" s="1394"/>
      <c r="O12" s="1394"/>
      <c r="P12" s="1394"/>
    </row>
    <row r="13" spans="1:16">
      <c r="A13" s="2235"/>
      <c r="B13" s="2236"/>
      <c r="C13" s="48" t="s">
        <v>1929</v>
      </c>
      <c r="D13" s="48">
        <f t="shared" si="0"/>
        <v>432.45</v>
      </c>
      <c r="E13" s="51">
        <f>SUMPRODUCT(('数据-基础表'!BB10:BK10="地下")*('数据-基础表'!BB11:BK11="车库")*('数据-基础表'!BB5:BK5))</f>
        <v>584.81999999999971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22708.26</v>
      </c>
      <c r="E16" s="53">
        <f>SUM(E8:E15)</f>
        <v>30708.99</v>
      </c>
      <c r="F16" s="1394"/>
      <c r="G16" s="2234"/>
      <c r="H16" s="2237" t="s">
        <v>1942</v>
      </c>
      <c r="I16" s="2238"/>
      <c r="J16" s="1394"/>
      <c r="K16" s="3091" t="s">
        <v>1942</v>
      </c>
      <c r="L16" s="3092"/>
      <c r="M16" s="3092"/>
      <c r="N16" s="3092"/>
      <c r="O16" s="3092"/>
      <c r="P16" s="3093"/>
    </row>
    <row r="17" spans="1:19" ht="15">
      <c r="A17" s="2239" t="s">
        <v>1943</v>
      </c>
      <c r="B17" s="2240" t="s">
        <v>1944</v>
      </c>
      <c r="C17" s="2241" t="s">
        <v>1945</v>
      </c>
      <c r="D17" s="2242" t="s">
        <v>1933</v>
      </c>
      <c r="E17" s="2243" t="s">
        <v>1934</v>
      </c>
      <c r="F17" s="2244"/>
      <c r="G17" s="2245"/>
      <c r="H17" s="2246" t="s">
        <v>1946</v>
      </c>
      <c r="I17" s="2247" t="s">
        <v>1931</v>
      </c>
      <c r="J17" s="1394"/>
      <c r="K17" s="3088" t="s">
        <v>1947</v>
      </c>
      <c r="L17" s="3089"/>
      <c r="M17" s="3090"/>
      <c r="N17" s="3088" t="s">
        <v>1948</v>
      </c>
      <c r="O17" s="3089"/>
      <c r="P17" s="3090"/>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93" t="s">
        <v>3373</v>
      </c>
      <c r="D19" s="48">
        <f>ROUND($D$3*E19/$E$3,2)</f>
        <v>17871.55</v>
      </c>
      <c r="E19" s="56">
        <f t="shared" ref="E19:E26" si="1">SUM(F19:G19)</f>
        <v>24168.16</v>
      </c>
      <c r="F19" s="57">
        <f>'数据-基础表'!Q14</f>
        <v>24168.16</v>
      </c>
      <c r="G19" s="58"/>
      <c r="H19" s="723">
        <f>ROUND($D$3*I19/$E$3,2)</f>
        <v>484.41</v>
      </c>
      <c r="I19" s="51">
        <f t="shared" ref="I19:I26" si="2">IF($I$17="自定义",P19,M19)</f>
        <v>655.08000000000004</v>
      </c>
      <c r="J19" s="1394"/>
      <c r="K19" s="1393">
        <f t="shared" ref="K19:K26" si="3">ROUND(E$28*E19/E$27,2)</f>
        <v>655.08000000000004</v>
      </c>
      <c r="L19" s="1249">
        <f t="shared" ref="L19:L26" si="4">ROUND(IF(COUNTIF(C19,"*住宅*")&gt;0,E$29*E19/E$32,0),2)</f>
        <v>0</v>
      </c>
      <c r="M19" s="1405">
        <f>K19+L19</f>
        <v>655.08000000000004</v>
      </c>
      <c r="N19" s="2257"/>
      <c r="O19" s="2258"/>
      <c r="P19" s="1405">
        <f>N19+O19</f>
        <v>0</v>
      </c>
      <c r="R19" s="1249">
        <f t="shared" ref="R19:S26" si="5">D19+H19</f>
        <v>18355.96</v>
      </c>
      <c r="S19" s="1250">
        <f t="shared" si="5"/>
        <v>24823.24</v>
      </c>
    </row>
    <row r="20" spans="1:19">
      <c r="A20" s="2259"/>
      <c r="B20" s="50" t="s">
        <v>1960</v>
      </c>
      <c r="C20" s="2993" t="s">
        <v>3374</v>
      </c>
      <c r="D20" s="48">
        <f t="shared" ref="D20:D26" si="6">ROUND($D$3*E20/$E$3,2)</f>
        <v>2368.56</v>
      </c>
      <c r="E20" s="56">
        <f t="shared" si="1"/>
        <v>3203.06</v>
      </c>
      <c r="F20" s="57">
        <f>'数据-基础表'!K14</f>
        <v>3203.06</v>
      </c>
      <c r="G20" s="58"/>
      <c r="H20" s="723">
        <f t="shared" ref="H20:H26" si="7">ROUND($D$3*I20/$E$3,2)</f>
        <v>64.2</v>
      </c>
      <c r="I20" s="51">
        <f t="shared" si="2"/>
        <v>86.82</v>
      </c>
      <c r="J20" s="1394"/>
      <c r="K20" s="1393">
        <f t="shared" si="3"/>
        <v>86.82</v>
      </c>
      <c r="L20" s="1249">
        <f t="shared" si="4"/>
        <v>0</v>
      </c>
      <c r="M20" s="1405">
        <f t="shared" ref="M20:M26" si="8">K20+L20</f>
        <v>86.82</v>
      </c>
      <c r="N20" s="2257"/>
      <c r="O20" s="2258"/>
      <c r="P20" s="1405">
        <f t="shared" ref="P20:P26" si="9">N20+O20</f>
        <v>0</v>
      </c>
      <c r="R20" s="1249">
        <f t="shared" si="5"/>
        <v>2432.7599999999998</v>
      </c>
      <c r="S20" s="1250">
        <f t="shared" si="5"/>
        <v>3289.88</v>
      </c>
    </row>
    <row r="21" spans="1:19">
      <c r="A21" s="2259"/>
      <c r="B21" s="50" t="s">
        <v>1960</v>
      </c>
      <c r="C21" s="2993" t="s">
        <v>3239</v>
      </c>
      <c r="D21" s="48">
        <f t="shared" si="6"/>
        <v>432.45</v>
      </c>
      <c r="E21" s="56">
        <f t="shared" si="1"/>
        <v>584.81999999999971</v>
      </c>
      <c r="F21" s="57"/>
      <c r="G21" s="58">
        <f>'数据-基础表'!M14</f>
        <v>584.81999999999971</v>
      </c>
      <c r="H21" s="723">
        <f t="shared" si="7"/>
        <v>11.72</v>
      </c>
      <c r="I21" s="51">
        <f t="shared" si="2"/>
        <v>15.85</v>
      </c>
      <c r="J21" s="1394"/>
      <c r="K21" s="1393">
        <f t="shared" si="3"/>
        <v>15.85</v>
      </c>
      <c r="L21" s="1249">
        <f t="shared" si="4"/>
        <v>0</v>
      </c>
      <c r="M21" s="1405">
        <f t="shared" si="8"/>
        <v>15.85</v>
      </c>
      <c r="N21" s="2257"/>
      <c r="O21" s="2258"/>
      <c r="P21" s="1405">
        <f t="shared" si="9"/>
        <v>0</v>
      </c>
      <c r="R21" s="1249">
        <f t="shared" si="5"/>
        <v>444.17</v>
      </c>
      <c r="S21" s="1250">
        <f t="shared" si="5"/>
        <v>600.66999999999973</v>
      </c>
    </row>
    <row r="22" spans="1:19">
      <c r="A22" s="2259"/>
      <c r="B22" s="50" t="s">
        <v>1960</v>
      </c>
      <c r="C22" s="2994" t="s">
        <v>3375</v>
      </c>
      <c r="D22" s="48">
        <f t="shared" si="6"/>
        <v>2035.71</v>
      </c>
      <c r="E22" s="56">
        <f t="shared" si="1"/>
        <v>2752.95</v>
      </c>
      <c r="F22" s="61"/>
      <c r="G22" s="62">
        <f>'数据-基础表'!O14</f>
        <v>2752.95</v>
      </c>
      <c r="H22" s="723">
        <f t="shared" si="7"/>
        <v>55.18</v>
      </c>
      <c r="I22" s="51">
        <f t="shared" si="2"/>
        <v>74.62</v>
      </c>
      <c r="J22" s="1394"/>
      <c r="K22" s="1393">
        <f t="shared" si="3"/>
        <v>74.62</v>
      </c>
      <c r="L22" s="1249">
        <f t="shared" si="4"/>
        <v>0</v>
      </c>
      <c r="M22" s="1405">
        <f t="shared" si="8"/>
        <v>74.62</v>
      </c>
      <c r="N22" s="2257"/>
      <c r="O22" s="2258"/>
      <c r="P22" s="1405">
        <f t="shared" si="9"/>
        <v>0</v>
      </c>
      <c r="R22" s="1249">
        <f t="shared" si="5"/>
        <v>2090.89</v>
      </c>
      <c r="S22" s="1250">
        <f t="shared" si="5"/>
        <v>2827.5699999999997</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22708.27</v>
      </c>
      <c r="E27" s="1396">
        <f>IF(SUM(E19:E26)='数据-基础表'!BA5,SUM(E19:E26),IF(F27="地上面积有误","面积有误","地下面积有误"))</f>
        <v>30708.99</v>
      </c>
      <c r="F27" s="1395">
        <f>IF(SUM(F19:F26)=E8,SUM(F19:F26),"地上面积有误")</f>
        <v>27371.22</v>
      </c>
      <c r="G27" s="1397">
        <f>SUM(G19:G26)</f>
        <v>3337.7699999999995</v>
      </c>
      <c r="H27" s="1398">
        <f>SUM(H19:H26)</f>
        <v>615.51</v>
      </c>
      <c r="I27" s="1399">
        <f>SUM(I19:I26)</f>
        <v>832.37000000000012</v>
      </c>
      <c r="J27" s="1394"/>
      <c r="K27" s="1402">
        <f>SUM(K19:K26)</f>
        <v>832.37000000000012</v>
      </c>
      <c r="L27" s="1403">
        <f>SUM(L19:L26)</f>
        <v>0</v>
      </c>
      <c r="M27" s="1406">
        <f>SUM(M19:M26)</f>
        <v>832.37000000000012</v>
      </c>
      <c r="N27" s="1402">
        <f t="shared" ref="N27:O27" si="10">SUM(N19:N26)</f>
        <v>0</v>
      </c>
      <c r="O27" s="1403">
        <f t="shared" si="10"/>
        <v>0</v>
      </c>
      <c r="P27" s="1404">
        <f>SUM(P19:P26)</f>
        <v>0</v>
      </c>
      <c r="R27" s="1251">
        <f>IF(SUM(R19:R26)=$D$3,SUM(R19:R26),SUM(R19:R26)&amp;"误差"&amp;ROUND(SUM(R19:R26)-$D$3,2))</f>
        <v>23323.779999999995</v>
      </c>
      <c r="S27" s="1249">
        <f>IF(SUM(S19:S26)=$E$3,SUM(S19:S26),SUM(S19:S26)&amp;"误差"&amp;ROUND(SUM(S19:S26)-E3,2))</f>
        <v>31541.360000000001</v>
      </c>
    </row>
    <row r="28" spans="1:19">
      <c r="A28" s="2259"/>
      <c r="B28" s="50" t="s">
        <v>1962</v>
      </c>
      <c r="C28" s="1261" t="s">
        <v>1963</v>
      </c>
      <c r="D28" s="48">
        <f>ROUND($D$3*E28/$E$3,2)</f>
        <v>615.51</v>
      </c>
      <c r="E28" s="56">
        <f>SUM(F28:G28)</f>
        <v>832.37000000000012</v>
      </c>
      <c r="F28" s="64">
        <f>'数据-基础表'!BQ5+'数据-基础表'!BS5</f>
        <v>220</v>
      </c>
      <c r="G28" s="65">
        <f>'数据-基础表'!BR5+'数据-基础表'!BT5</f>
        <v>612.37000000000012</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615.51</v>
      </c>
      <c r="E30" s="1395">
        <f>SUM(E28:E29)</f>
        <v>832.37000000000012</v>
      </c>
      <c r="F30" s="1395">
        <f>SUM(F28:F29)</f>
        <v>220</v>
      </c>
      <c r="G30" s="1397">
        <f>SUM(G28:G29)</f>
        <v>612.37000000000012</v>
      </c>
      <c r="H30" s="1394"/>
      <c r="I30" s="1394"/>
      <c r="J30" s="1394"/>
      <c r="K30" s="1394"/>
      <c r="L30" s="1394"/>
      <c r="M30" s="1394"/>
      <c r="N30" s="1394"/>
      <c r="O30" s="1394"/>
      <c r="P30" s="1394"/>
    </row>
    <row r="31" spans="1:19" ht="15.75" thickBot="1">
      <c r="A31" s="2265"/>
      <c r="B31" s="2266"/>
      <c r="C31" s="1009" t="s">
        <v>1965</v>
      </c>
      <c r="D31" s="728">
        <f>D27+D30</f>
        <v>23323.78</v>
      </c>
      <c r="E31" s="728">
        <f>E27+E30</f>
        <v>31541.360000000001</v>
      </c>
      <c r="F31" s="729">
        <f>F27+F30</f>
        <v>27591.22</v>
      </c>
      <c r="G31" s="730">
        <f>G27+G30</f>
        <v>3950.1399999999994</v>
      </c>
      <c r="H31" s="1394"/>
      <c r="I31" s="1394"/>
      <c r="J31" s="1394"/>
      <c r="K31" s="1394"/>
      <c r="L31" s="1394"/>
      <c r="M31" s="1394"/>
      <c r="N31" s="1394"/>
      <c r="O31" s="1394"/>
      <c r="P31" s="1394"/>
    </row>
    <row r="32" spans="1:19">
      <c r="A32" s="2230"/>
      <c r="B32" s="2230" t="s">
        <v>1966</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3376</v>
      </c>
      <c r="O5" s="2292" t="s">
        <v>1988</v>
      </c>
      <c r="P5" s="2295" t="s">
        <v>1989</v>
      </c>
      <c r="Q5" s="69" t="s">
        <v>1990</v>
      </c>
      <c r="R5" s="2296" t="s">
        <v>1991</v>
      </c>
      <c r="S5" s="2297" t="s">
        <v>1992</v>
      </c>
      <c r="T5" s="2298" t="s">
        <v>1993</v>
      </c>
      <c r="U5" s="1269" t="s">
        <v>1994</v>
      </c>
      <c r="V5" s="1270" t="s">
        <v>1995</v>
      </c>
      <c r="W5" s="1270" t="s">
        <v>1996</v>
      </c>
      <c r="X5" s="71"/>
      <c r="Y5" s="70" t="s">
        <v>1997</v>
      </c>
      <c r="Z5" s="2299" t="s">
        <v>1994</v>
      </c>
      <c r="AA5" s="1270" t="s">
        <v>1995</v>
      </c>
      <c r="AB5" s="1270" t="s">
        <v>1996</v>
      </c>
      <c r="AC5" s="71"/>
      <c r="AD5" s="71" t="s">
        <v>1997</v>
      </c>
      <c r="AE5" s="1269" t="s">
        <v>1998</v>
      </c>
      <c r="AF5" s="1270" t="s">
        <v>1999</v>
      </c>
      <c r="AG5" s="70" t="s">
        <v>2000</v>
      </c>
      <c r="AH5" s="1269" t="s">
        <v>2001</v>
      </c>
      <c r="AI5" s="2299" t="s">
        <v>2002</v>
      </c>
      <c r="AJ5" s="2299" t="s">
        <v>2003</v>
      </c>
      <c r="AK5" s="1270" t="s">
        <v>2004</v>
      </c>
      <c r="AL5" s="1270" t="s">
        <v>2005</v>
      </c>
      <c r="AM5" s="70" t="s">
        <v>2006</v>
      </c>
      <c r="AN5" s="2300" t="s">
        <v>2007</v>
      </c>
      <c r="AO5" s="2071" t="s">
        <v>2008</v>
      </c>
      <c r="AP5" s="1251"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办公</v>
      </c>
      <c r="B6" s="2303" t="str">
        <f>IF(A6=0,"","经营性")</f>
        <v>经营性</v>
      </c>
      <c r="C6" s="3340" t="s">
        <v>3085</v>
      </c>
      <c r="D6" s="1053">
        <f>SUMIF(项目基本情况!D$12:I$12,C6,项目基本情况!D$14:I$14)</f>
        <v>70</v>
      </c>
      <c r="E6" s="1050">
        <f>IF(B6="","",SUMIF(项目基本情况!D$12:I$12,C6,项目基本情况!D$13:I$13))</f>
        <v>67152</v>
      </c>
      <c r="F6" s="72">
        <f>SUMIF(项目基本情况!D$12:I$12,C6,项目基本情况!D$15:I$15)</f>
        <v>65.36</v>
      </c>
      <c r="G6" s="73">
        <f>IF(ISERROR(ROUND(POWER(1+H6,D6-F6)*(POWER(1+H6,F6)-1)/(POWER(1+H6,D6)-1),3)),0,ROUND(POWER(1+H6,D6-F6)*(POWER(1+H6,F6)-1)/(POWER(1+H6,D6)-1),3))</f>
        <v>0.99099999999999999</v>
      </c>
      <c r="H6" s="801">
        <v>0.05</v>
      </c>
      <c r="I6" s="801">
        <v>5.5E-2</v>
      </c>
      <c r="J6" s="74">
        <v>8.5000000000000006E-2</v>
      </c>
      <c r="K6" s="1253">
        <f>SUMIF('数据-汇总表'!C$19:C$33,A6,'数据-汇总表'!E$19:E$33)</f>
        <v>24168.16</v>
      </c>
      <c r="L6" s="802">
        <v>3000</v>
      </c>
      <c r="M6" s="75">
        <f t="shared" ref="M6:M14" si="0">ROUND(K6*L6/10000,0)</f>
        <v>7250</v>
      </c>
      <c r="N6" s="800">
        <v>1</v>
      </c>
      <c r="O6" s="75" t="str">
        <f>IF($N$5="成新度","——",ROUND(M6*N6,0))</f>
        <v>——</v>
      </c>
      <c r="P6" s="76" t="str">
        <f>IF($N$5="成新度","——",M6-O6)</f>
        <v>——</v>
      </c>
      <c r="Q6" s="803">
        <v>0.2</v>
      </c>
      <c r="R6" s="77">
        <f ca="1">SUMIF('数据-汇总表'!C$19:C$33,A6,'数据-汇总表'!R$19:R$27)</f>
        <v>18355.96</v>
      </c>
      <c r="S6" s="54">
        <f>IF('数据-汇总表'!$I$17="按面积比例",SUMIF('数据-汇总表'!C$19:C$33,A6,'数据-汇总表'!K$19:K$33),SUMIF('数据-汇总表'!C$19:C$33,A6,'数据-汇总表'!N$19:N$33))</f>
        <v>655.08000000000004</v>
      </c>
      <c r="T6" s="1445">
        <f>ROUND($L$14*S6/10000,0)</f>
        <v>144</v>
      </c>
      <c r="U6" s="3341">
        <v>5.6</v>
      </c>
      <c r="V6" s="79">
        <v>0</v>
      </c>
      <c r="W6" s="79">
        <v>0.1</v>
      </c>
      <c r="X6" s="1263"/>
      <c r="Y6" s="80">
        <v>1</v>
      </c>
      <c r="Z6" s="81"/>
      <c r="AA6" s="74"/>
      <c r="AB6" s="74"/>
      <c r="AC6" s="1263"/>
      <c r="AD6" s="82"/>
      <c r="AE6" s="1264">
        <f ca="1">IF(AN6="",0,SUMIF(INDIRECT("'"&amp;AN6&amp;"'"&amp;"!E:E"),$AE$5,INDIRECT("'"&amp;AN6&amp;"'"&amp;"!F:F")))</f>
        <v>60</v>
      </c>
      <c r="AF6" s="1805"/>
      <c r="AG6" s="147">
        <f>IF(AF6="",0,AE6-AF6)</f>
        <v>0</v>
      </c>
      <c r="AH6" s="83"/>
      <c r="AI6" s="85">
        <v>365</v>
      </c>
      <c r="AJ6" s="86"/>
      <c r="AK6" s="87">
        <v>1.4999999999999999E-2</v>
      </c>
      <c r="AL6" s="88">
        <v>1.5E-3</v>
      </c>
      <c r="AM6" s="89">
        <v>0.01</v>
      </c>
      <c r="AN6" s="2305" t="s">
        <v>3377</v>
      </c>
      <c r="AO6" s="55">
        <f ca="1">SUMIF(INDIRECT("'"&amp;AN6&amp;"'"&amp;"!A:A"),"总价",INDIRECT("'"&amp;AN6&amp;"'"&amp;"!B:B"))</f>
        <v>61720</v>
      </c>
      <c r="AP6" s="2306">
        <f>IF(C6="住宅",K6*L6,0)</f>
        <v>72504480</v>
      </c>
      <c r="AQ6" s="55">
        <f>ROUND($L$14*$N$14*S6/10000,0)</f>
        <v>144</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1">
        <v>5.5E-2</v>
      </c>
      <c r="I7" s="801">
        <v>0.06</v>
      </c>
      <c r="J7" s="74">
        <v>8.5000000000000006E-2</v>
      </c>
      <c r="K7" s="1253">
        <f>SUMIF('数据-汇总表'!C$19:C$33,A7,'数据-汇总表'!E$19:E$33)</f>
        <v>3203.06</v>
      </c>
      <c r="L7" s="802">
        <v>3000</v>
      </c>
      <c r="M7" s="75">
        <f t="shared" si="0"/>
        <v>961</v>
      </c>
      <c r="N7" s="800">
        <v>1</v>
      </c>
      <c r="O7" s="75" t="str">
        <f t="shared" ref="O7:O14" si="3">IF($N$5="成新度","——",ROUND(M7*N7,0))</f>
        <v>——</v>
      </c>
      <c r="P7" s="76" t="str">
        <f t="shared" ref="P7:P14" si="4">IF($N$5="成新度","——",M7-O7)</f>
        <v>——</v>
      </c>
      <c r="Q7" s="803">
        <v>0.2</v>
      </c>
      <c r="R7" s="77">
        <f ca="1">SUMIF('数据-汇总表'!C$19:C$33,A7,'数据-汇总表'!R$19:R$27)</f>
        <v>2432.7599999999998</v>
      </c>
      <c r="S7" s="54">
        <f>IF('数据-汇总表'!$I$17="按面积比例",SUMIF('数据-汇总表'!C$19:C$33,A7,'数据-汇总表'!K$19:K$33),SUMIF('数据-汇总表'!C$19:C$33,A7,'数据-汇总表'!N$19:N$33))</f>
        <v>86.82</v>
      </c>
      <c r="T7" s="1445">
        <f t="shared" ref="T7:T13" si="5">ROUND($L$14*S7/10000,0)</f>
        <v>19</v>
      </c>
      <c r="U7" s="78">
        <f>Sheet2!E1</f>
        <v>5.53</v>
      </c>
      <c r="V7" s="79">
        <v>0</v>
      </c>
      <c r="W7" s="79">
        <v>0.1</v>
      </c>
      <c r="X7" s="1263"/>
      <c r="Y7" s="80">
        <v>1</v>
      </c>
      <c r="Z7" s="81"/>
      <c r="AA7" s="74"/>
      <c r="AB7" s="74"/>
      <c r="AC7" s="1263"/>
      <c r="AD7" s="82"/>
      <c r="AE7" s="1264">
        <f t="shared" ref="AE7:AE13" ca="1" si="6">IF(AN7="",0,SUMIF(INDIRECT("'"&amp;AN7&amp;"'"&amp;"!E:E"),$AE$5,INDIRECT("'"&amp;AN7&amp;"'"&amp;"!F:F")))</f>
        <v>35.35</v>
      </c>
      <c r="AF7" s="1805"/>
      <c r="AG7" s="147">
        <f t="shared" ref="AG7:AG13" si="7">IF(AF7="",0,AE7-AF7)</f>
        <v>0</v>
      </c>
      <c r="AH7" s="83"/>
      <c r="AI7" s="85">
        <v>365</v>
      </c>
      <c r="AJ7" s="86"/>
      <c r="AK7" s="87">
        <v>1.4999999999999999E-2</v>
      </c>
      <c r="AL7" s="88">
        <v>2E-3</v>
      </c>
      <c r="AM7" s="89">
        <v>0.02</v>
      </c>
      <c r="AN7" s="2305" t="s">
        <v>3269</v>
      </c>
      <c r="AO7" s="55">
        <f t="shared" ref="AO7:AO13" ca="1" si="8">SUMIF(INDIRECT("'"&amp;AN7&amp;"'"&amp;"!A:A"),"总价",INDIRECT("'"&amp;AN7&amp;"'"&amp;"!B:B"))</f>
        <v>6457</v>
      </c>
      <c r="AP7" s="2306">
        <f t="shared" ref="AP7:AP13" si="9">IF(C7="住宅",K7*L7,0)</f>
        <v>0</v>
      </c>
      <c r="AQ7" s="55">
        <f t="shared" ref="AQ7:AQ13" si="10">ROUND($L$14*$N$14*S7/10000,0)</f>
        <v>19</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304" t="s">
        <v>3086</v>
      </c>
      <c r="D8" s="1053">
        <f>SUMIF(项目基本情况!D$12:I$12,C8,项目基本情况!D$14:I$14)</f>
        <v>50</v>
      </c>
      <c r="E8" s="1050">
        <f>IF(B8="","",SUMIF(项目基本情况!D$12:I$12,C8,项目基本情况!D$13:I$13))</f>
        <v>59847</v>
      </c>
      <c r="F8" s="72">
        <f>SUMIF(项目基本情况!D$12:I$12,C8,项目基本情况!D$15:I$15)</f>
        <v>45.35</v>
      </c>
      <c r="G8" s="73">
        <f t="shared" si="2"/>
        <v>0.96699999999999997</v>
      </c>
      <c r="H8" s="801">
        <v>0.04</v>
      </c>
      <c r="I8" s="801">
        <v>4.4999999999999998E-2</v>
      </c>
      <c r="J8" s="74">
        <v>8.5000000000000006E-2</v>
      </c>
      <c r="K8" s="1253">
        <f>SUMIF('数据-汇总表'!C$19:C$33,A8,'数据-汇总表'!E$19:E$33)</f>
        <v>584.81999999999971</v>
      </c>
      <c r="L8" s="802">
        <v>2200</v>
      </c>
      <c r="M8" s="75">
        <f>ROUND(K8*L8/10000,0)</f>
        <v>129</v>
      </c>
      <c r="N8" s="800">
        <v>1</v>
      </c>
      <c r="O8" s="75" t="str">
        <f t="shared" si="3"/>
        <v>——</v>
      </c>
      <c r="P8" s="76" t="str">
        <f t="shared" si="4"/>
        <v>——</v>
      </c>
      <c r="Q8" s="803">
        <v>0.15</v>
      </c>
      <c r="R8" s="77">
        <f ca="1">SUMIF('数据-汇总表'!C$19:C$33,A8,'数据-汇总表'!R$19:R$27)</f>
        <v>444.17</v>
      </c>
      <c r="S8" s="54">
        <f>IF('数据-汇总表'!$I$17="按面积比例",SUMIF('数据-汇总表'!C$19:C$33,A8,'数据-汇总表'!K$19:K$33),SUMIF('数据-汇总表'!C$19:C$33,A8,'数据-汇总表'!N$19:N$33))</f>
        <v>15.85</v>
      </c>
      <c r="T8" s="1445">
        <f t="shared" si="5"/>
        <v>3</v>
      </c>
      <c r="U8" s="804">
        <v>1.7</v>
      </c>
      <c r="V8" s="805">
        <v>0</v>
      </c>
      <c r="W8" s="805">
        <v>0.1</v>
      </c>
      <c r="X8" s="1263"/>
      <c r="Y8" s="806">
        <v>1</v>
      </c>
      <c r="Z8" s="81"/>
      <c r="AA8" s="74"/>
      <c r="AB8" s="74"/>
      <c r="AC8" s="1263"/>
      <c r="AD8" s="82"/>
      <c r="AE8" s="1264">
        <f t="shared" ca="1" si="6"/>
        <v>45.35</v>
      </c>
      <c r="AF8" s="1805"/>
      <c r="AG8" s="147">
        <f t="shared" si="7"/>
        <v>0</v>
      </c>
      <c r="AH8" s="807"/>
      <c r="AI8" s="85">
        <v>365</v>
      </c>
      <c r="AJ8" s="86"/>
      <c r="AK8" s="808">
        <v>1.4999999999999999E-2</v>
      </c>
      <c r="AL8" s="809">
        <v>1.5E-3</v>
      </c>
      <c r="AM8" s="810">
        <v>0.01</v>
      </c>
      <c r="AN8" s="2305" t="s">
        <v>3271</v>
      </c>
      <c r="AO8" s="55">
        <f t="shared" ca="1" si="8"/>
        <v>461</v>
      </c>
      <c r="AP8" s="2306">
        <f t="shared" si="9"/>
        <v>0</v>
      </c>
      <c r="AQ8" s="55">
        <f t="shared" si="10"/>
        <v>3</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地下仓储</v>
      </c>
      <c r="B9" s="2303" t="str">
        <f t="shared" si="1"/>
        <v>经营性</v>
      </c>
      <c r="C9" s="2304" t="s">
        <v>3087</v>
      </c>
      <c r="D9" s="1053">
        <f>SUMIF(项目基本情况!D$12:I$12,C9,项目基本情况!D$14:I$14)</f>
        <v>50</v>
      </c>
      <c r="E9" s="1050">
        <f>IF(B9="","",SUMIF(项目基本情况!D$12:I$12,C9,项目基本情况!D$13:I$13))</f>
        <v>59847</v>
      </c>
      <c r="F9" s="72">
        <f>SUMIF(项目基本情况!D$12:I$12,C9,项目基本情况!D$15:I$15)</f>
        <v>45.35</v>
      </c>
      <c r="G9" s="73">
        <f t="shared" si="2"/>
        <v>0.97199999999999998</v>
      </c>
      <c r="H9" s="74">
        <v>4.4999999999999998E-2</v>
      </c>
      <c r="I9" s="74">
        <v>0.05</v>
      </c>
      <c r="J9" s="74">
        <v>8.5000000000000006E-2</v>
      </c>
      <c r="K9" s="1253">
        <f>SUMIF('数据-汇总表'!C$19:C$33,A9,'数据-汇总表'!E$19:E$33)</f>
        <v>2752.95</v>
      </c>
      <c r="L9" s="802">
        <v>2200</v>
      </c>
      <c r="M9" s="75">
        <f t="shared" si="0"/>
        <v>606</v>
      </c>
      <c r="N9" s="800">
        <v>1</v>
      </c>
      <c r="O9" s="75" t="str">
        <f t="shared" si="3"/>
        <v>——</v>
      </c>
      <c r="P9" s="76" t="str">
        <f t="shared" si="4"/>
        <v>——</v>
      </c>
      <c r="Q9" s="90">
        <v>0.1</v>
      </c>
      <c r="R9" s="77">
        <f ca="1">SUMIF('数据-汇总表'!C$19:C$33,A9,'数据-汇总表'!R$19:R$27)</f>
        <v>2090.89</v>
      </c>
      <c r="S9" s="54">
        <f>IF('数据-汇总表'!$I$17="按面积比例",SUMIF('数据-汇总表'!C$19:C$33,A9,'数据-汇总表'!K$19:K$33),SUMIF('数据-汇总表'!C$19:C$33,A9,'数据-汇总表'!N$19:N$33))</f>
        <v>74.62</v>
      </c>
      <c r="T9" s="1445">
        <f t="shared" si="5"/>
        <v>16</v>
      </c>
      <c r="U9" s="78">
        <v>2</v>
      </c>
      <c r="V9" s="79">
        <v>0</v>
      </c>
      <c r="W9" s="79">
        <v>0.1</v>
      </c>
      <c r="X9" s="1263"/>
      <c r="Y9" s="80">
        <v>1</v>
      </c>
      <c r="Z9" s="81"/>
      <c r="AA9" s="74"/>
      <c r="AB9" s="74"/>
      <c r="AC9" s="1263"/>
      <c r="AD9" s="82"/>
      <c r="AE9" s="1264">
        <f t="shared" ca="1" si="6"/>
        <v>45.35</v>
      </c>
      <c r="AF9" s="1805"/>
      <c r="AG9" s="147">
        <f t="shared" si="7"/>
        <v>0</v>
      </c>
      <c r="AH9" s="83"/>
      <c r="AI9" s="85">
        <v>365</v>
      </c>
      <c r="AJ9" s="86"/>
      <c r="AK9" s="87">
        <v>1.4999999999999999E-2</v>
      </c>
      <c r="AL9" s="88">
        <v>1.5E-3</v>
      </c>
      <c r="AM9" s="89">
        <v>0.01</v>
      </c>
      <c r="AN9" s="2305" t="s">
        <v>3380</v>
      </c>
      <c r="AO9" s="55">
        <f t="shared" ca="1" si="8"/>
        <v>2369</v>
      </c>
      <c r="AP9" s="2306">
        <f t="shared" si="9"/>
        <v>0</v>
      </c>
      <c r="AQ9" s="55">
        <f t="shared" si="10"/>
        <v>16</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3"/>
      <c r="E14" s="1050"/>
      <c r="F14" s="72"/>
      <c r="G14" s="73"/>
      <c r="H14" s="1252"/>
      <c r="I14" s="1252"/>
      <c r="J14" s="1252"/>
      <c r="K14" s="1253">
        <f>SUMIF('数据-汇总表'!C$19:C$33,A14,'数据-汇总表'!E$19:E$33)</f>
        <v>832.37000000000012</v>
      </c>
      <c r="L14" s="91">
        <v>2200</v>
      </c>
      <c r="M14" s="75">
        <f t="shared" si="0"/>
        <v>183</v>
      </c>
      <c r="N14" s="92">
        <v>1</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7"/>
      <c r="D16" s="2310"/>
      <c r="E16" s="97"/>
      <c r="F16" s="97"/>
      <c r="G16" s="98">
        <f>ROUND(SUMPRODUCT(G6:G13,K6:K13)/SUMPRODUCT((G6:G13&gt;0)*(K6:K13)),3)</f>
        <v>0.98599999999999999</v>
      </c>
      <c r="H16" s="99">
        <f>ROUND(SUMPRODUCT(H6:H13,K6:K13)/SUMPRODUCT((H6:H13&gt;0)*(K6:K13)),3)</f>
        <v>0.05</v>
      </c>
      <c r="I16" s="100"/>
      <c r="J16" s="100"/>
      <c r="K16" s="101">
        <f>SUM(K6:K15)</f>
        <v>31541.360000000001</v>
      </c>
      <c r="L16" s="102">
        <f>ROUND(M16*10000/SUM(K6:K14),0)</f>
        <v>2894</v>
      </c>
      <c r="M16" s="102">
        <f>SUM(M6:M14)</f>
        <v>9129</v>
      </c>
      <c r="N16" s="103">
        <f>ROUND(SUMPRODUCT(M6:M14,N6:N14)/M16,3)</f>
        <v>1</v>
      </c>
      <c r="O16" s="102">
        <f>SUM(O6:O14)</f>
        <v>0</v>
      </c>
      <c r="P16" s="102">
        <f>SUM(P6:P14)</f>
        <v>0</v>
      </c>
      <c r="Q16" s="104">
        <f>ROUND(SUMPRODUCT(Q6:Q13,K6:K13)/SUMPRODUCT((Q6:Q13&gt;0)*(K6:K13)),2)</f>
        <v>0.19</v>
      </c>
      <c r="R16" s="1257">
        <f ca="1">SUM(R6:R13)</f>
        <v>23323.779999999995</v>
      </c>
      <c r="S16" s="105">
        <f>SUM(S6:S13)</f>
        <v>832.37000000000012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1.5</v>
      </c>
      <c r="C20" s="2273" t="s">
        <v>2021</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1.5</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1.5</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c r="C27" s="1765" t="s">
        <v>2030</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121"/>
      <c r="C29" s="1765" t="s">
        <v>2033</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170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3342">
        <v>30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0.04</v>
      </c>
      <c r="C33" s="1764" t="s">
        <v>2038</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2">
        <v>0.05</v>
      </c>
      <c r="C34" s="1764" t="s">
        <v>2040</v>
      </c>
      <c r="D34" s="2274" t="s">
        <v>2041</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v>200</v>
      </c>
      <c r="C35" s="1764" t="s">
        <v>2043</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3">
        <v>1.4999999999999999E-2</v>
      </c>
      <c r="C36" s="1764" t="s">
        <v>2045</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0.03</v>
      </c>
      <c r="C37" s="1764" t="s">
        <v>2047</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0.03</v>
      </c>
      <c r="C38" s="1764" t="s">
        <v>2047</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2">
        <f ca="1">存贷款利率!G1</f>
        <v>4.7500000000000001E-2</v>
      </c>
      <c r="C40" s="1764" t="s">
        <v>2051</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0.05</v>
      </c>
      <c r="C44" s="1764" t="s">
        <v>2056</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v>0</v>
      </c>
      <c r="C47" s="1765" t="s">
        <v>2062</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332" t="s">
        <v>56</v>
      </c>
      <c r="C53" s="1429" t="s">
        <v>2071</v>
      </c>
      <c r="D53" s="2333" t="s">
        <v>2072</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2073</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2074</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2075</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2076</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2077</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2078</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2079</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2080</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2081</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2082</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3" t="s">
        <v>2083</v>
      </c>
      <c r="B1" s="3104"/>
      <c r="C1" s="3104"/>
      <c r="D1" s="3104"/>
      <c r="E1" s="3104"/>
      <c r="F1" s="3104"/>
      <c r="G1" s="310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5" t="s">
        <v>2086</v>
      </c>
      <c r="B3" s="1270" t="s">
        <v>2087</v>
      </c>
      <c r="C3" s="2953" t="s">
        <v>3088</v>
      </c>
      <c r="D3" s="2366"/>
      <c r="E3" s="431" t="s">
        <v>2086</v>
      </c>
      <c r="F3" s="2367" t="s">
        <v>2088</v>
      </c>
      <c r="G3" s="2368" t="s">
        <v>2089</v>
      </c>
      <c r="H3" s="2364"/>
      <c r="I3" s="2364"/>
      <c r="J3" s="2364"/>
      <c r="K3" s="2364"/>
      <c r="L3" s="2364"/>
      <c r="M3" s="2364"/>
      <c r="N3" s="2364"/>
      <c r="O3" s="2364"/>
      <c r="P3" s="2364"/>
      <c r="Q3" s="2364"/>
      <c r="R3" s="2364"/>
    </row>
    <row r="4" spans="1:29" ht="54">
      <c r="A4" s="431"/>
      <c r="B4" s="1796" t="s">
        <v>2090</v>
      </c>
      <c r="C4" s="2954" t="s">
        <v>3243</v>
      </c>
      <c r="D4" s="2366"/>
      <c r="E4" s="2369"/>
      <c r="F4" s="42" t="s">
        <v>2091</v>
      </c>
      <c r="G4" s="2370" t="s">
        <v>2092</v>
      </c>
      <c r="H4" s="2364"/>
      <c r="I4" s="2364"/>
      <c r="J4" s="2364"/>
      <c r="K4" s="2364"/>
      <c r="L4" s="2364"/>
      <c r="M4" s="2364"/>
      <c r="N4" s="2364"/>
      <c r="O4" s="2364"/>
      <c r="P4" s="2364"/>
      <c r="Q4" s="2364"/>
      <c r="R4" s="2364"/>
    </row>
    <row r="5" spans="1:29" ht="27">
      <c r="A5" s="431"/>
      <c r="B5" s="1796" t="s">
        <v>2093</v>
      </c>
      <c r="C5" s="2954" t="s">
        <v>3244</v>
      </c>
      <c r="D5" s="2366"/>
      <c r="E5" s="2369"/>
      <c r="F5" s="1796" t="s">
        <v>2094</v>
      </c>
      <c r="G5" s="2370" t="s">
        <v>2095</v>
      </c>
      <c r="H5" s="2364"/>
      <c r="I5" s="2364"/>
      <c r="J5" s="2364"/>
      <c r="K5" s="2364"/>
      <c r="L5" s="2364"/>
      <c r="M5" s="2364"/>
      <c r="N5" s="2364"/>
      <c r="O5" s="2364"/>
      <c r="P5" s="2364"/>
      <c r="Q5" s="2364"/>
      <c r="R5" s="2364"/>
    </row>
    <row r="6" spans="1:29" ht="54">
      <c r="A6" s="431"/>
      <c r="B6" s="1796" t="s">
        <v>2096</v>
      </c>
      <c r="C6" s="2955" t="s">
        <v>3245</v>
      </c>
      <c r="D6" s="2366"/>
      <c r="E6" s="2369"/>
      <c r="F6" s="1796" t="s">
        <v>2097</v>
      </c>
      <c r="G6" s="2370" t="s">
        <v>2098</v>
      </c>
      <c r="H6" s="2364"/>
      <c r="I6" s="2364"/>
      <c r="J6" s="2364"/>
      <c r="K6" s="2364"/>
      <c r="L6" s="2364"/>
      <c r="M6" s="2364"/>
      <c r="N6" s="2364"/>
      <c r="O6" s="2364"/>
      <c r="P6" s="2364"/>
      <c r="Q6" s="2364"/>
      <c r="R6" s="2364"/>
    </row>
    <row r="7" spans="1:29" ht="41.25" thickBot="1">
      <c r="A7" s="431"/>
      <c r="B7" s="1796" t="s">
        <v>2094</v>
      </c>
      <c r="C7" s="2955" t="s">
        <v>3246</v>
      </c>
      <c r="D7" s="2371"/>
      <c r="E7" s="2372"/>
      <c r="F7" s="2373" t="s">
        <v>2099</v>
      </c>
      <c r="G7" s="2374" t="s">
        <v>2100</v>
      </c>
      <c r="H7" s="2364"/>
      <c r="I7" s="2364"/>
      <c r="J7" s="2364"/>
      <c r="K7" s="2364"/>
      <c r="L7" s="2364"/>
      <c r="M7" s="2364"/>
      <c r="N7" s="2364"/>
      <c r="O7" s="2364"/>
      <c r="P7" s="2364"/>
      <c r="Q7" s="2364"/>
      <c r="R7" s="2364"/>
    </row>
    <row r="8" spans="1:29" ht="27">
      <c r="A8" s="431"/>
      <c r="B8" s="1796" t="s">
        <v>2097</v>
      </c>
      <c r="C8" s="2955" t="s">
        <v>3256</v>
      </c>
      <c r="D8" s="2371"/>
      <c r="E8" s="2371"/>
      <c r="F8" s="1135"/>
      <c r="G8" s="1135"/>
      <c r="H8" s="2364"/>
      <c r="I8" s="2364"/>
      <c r="J8" s="2364"/>
      <c r="K8" s="2364"/>
      <c r="L8" s="2364"/>
      <c r="M8" s="2364"/>
      <c r="N8" s="2364"/>
      <c r="O8" s="2364"/>
      <c r="P8" s="2364"/>
      <c r="Q8" s="2364"/>
      <c r="R8" s="2364"/>
    </row>
    <row r="9" spans="1:29" ht="54">
      <c r="A9" s="431"/>
      <c r="B9" s="1796" t="s">
        <v>2101</v>
      </c>
      <c r="C9" s="2954" t="s">
        <v>3346</v>
      </c>
      <c r="D9" s="2366"/>
      <c r="E9" s="2371"/>
      <c r="F9" s="1135"/>
      <c r="G9" s="1135"/>
      <c r="H9" s="2364"/>
      <c r="I9" s="2364"/>
      <c r="J9" s="2364"/>
      <c r="K9" s="2364"/>
      <c r="L9" s="2364"/>
      <c r="M9" s="2364"/>
      <c r="N9" s="2364"/>
      <c r="O9" s="2364"/>
      <c r="P9" s="2364"/>
      <c r="Q9" s="2364"/>
      <c r="R9" s="2364"/>
    </row>
    <row r="10" spans="1:29" s="117" customFormat="1" ht="15.75" thickBot="1">
      <c r="A10" s="2375"/>
      <c r="B10" s="2376" t="s">
        <v>2102</v>
      </c>
      <c r="C10" s="2377" t="s">
        <v>3089</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2103</v>
      </c>
      <c r="B13" s="2382"/>
      <c r="C13" s="2382"/>
      <c r="D13" s="2389"/>
      <c r="E13" s="2382"/>
      <c r="F13" s="2382"/>
      <c r="G13" s="2382"/>
    </row>
    <row r="14" spans="1:29" ht="15.75" thickBot="1">
      <c r="A14" s="2393"/>
      <c r="B14" s="2394"/>
      <c r="C14" s="2395" t="s">
        <v>2104</v>
      </c>
      <c r="D14" s="2366"/>
      <c r="E14" s="2396"/>
      <c r="F14" s="2396"/>
      <c r="G14" s="2361" t="s">
        <v>2105</v>
      </c>
    </row>
    <row r="15" spans="1:29" ht="57">
      <c r="A15" s="68" t="s">
        <v>2106</v>
      </c>
      <c r="B15" s="1269" t="s">
        <v>2087</v>
      </c>
      <c r="C15" s="2397" t="str">
        <f>C3</f>
        <v>估价对象周边有春晖园、新于庄园、新世界丽樽等住宅项目，密集度一般，综合评价居住社区成熟度一般。</v>
      </c>
      <c r="D15" s="2366"/>
      <c r="E15" s="2398" t="s">
        <v>2107</v>
      </c>
      <c r="F15" s="1269" t="s">
        <v>2108</v>
      </c>
      <c r="G15" s="135" t="str">
        <f>G3</f>
        <v>估价对象位于XX开发区，园区建设成熟度XX，产业集聚程度XX</v>
      </c>
    </row>
    <row r="16" spans="1:29" ht="57">
      <c r="A16" s="645"/>
      <c r="B16" s="2399" t="s">
        <v>2090</v>
      </c>
      <c r="C16" s="2400" t="str">
        <f>C4</f>
        <v>估价对象周边没有大型商业中心、有少量住宅项目底商，人流量较少，商业繁华度较差。</v>
      </c>
      <c r="D16" s="2366"/>
      <c r="E16" s="2401"/>
      <c r="F16" s="2402" t="s">
        <v>2091</v>
      </c>
      <c r="G16" s="136" t="str">
        <f>G4</f>
        <v>估价对象周边道路状况、公共交通通达情况、停车便捷程度，综合评价交通便捷度较好</v>
      </c>
    </row>
    <row r="17" spans="1:18" ht="28.5">
      <c r="A17" s="645"/>
      <c r="B17" s="2399" t="s">
        <v>2093</v>
      </c>
      <c r="C17" s="2400" t="str">
        <f>C5</f>
        <v>估价对象周边办公项目较少，办公集聚程度较差。</v>
      </c>
      <c r="D17" s="2371"/>
      <c r="E17" s="2401"/>
      <c r="F17" s="2402" t="s">
        <v>2109</v>
      </c>
      <c r="G17" s="1570"/>
    </row>
    <row r="18" spans="1:18" ht="57">
      <c r="A18" s="645"/>
      <c r="B18" s="2402" t="s">
        <v>2096</v>
      </c>
      <c r="C18" s="136" t="str">
        <f>C6</f>
        <v>估价对象邻近京承高速、机场北线高速；公共交通情况差、停车较便捷，综合评价交通便捷度一般。</v>
      </c>
      <c r="D18" s="2371"/>
      <c r="E18" s="2401"/>
      <c r="F18" s="2402" t="s">
        <v>2099</v>
      </c>
      <c r="G18" s="136" t="str">
        <f>G7</f>
        <v>该园区内是否有污染型企业，绿化情况，卫生条件，整体环境状况判断</v>
      </c>
    </row>
    <row r="19" spans="1:18" ht="28.5">
      <c r="A19" s="645"/>
      <c r="B19" s="2402" t="s">
        <v>2110</v>
      </c>
      <c r="C19" s="2956" t="s">
        <v>3344</v>
      </c>
      <c r="D19" s="2366"/>
      <c r="E19" s="2401"/>
      <c r="F19" s="1796" t="s">
        <v>2094</v>
      </c>
      <c r="G19" s="136" t="str">
        <f>G5</f>
        <v>估价对象所在区域公共配套设施齐备情况</v>
      </c>
    </row>
    <row r="20" spans="1:18" ht="57">
      <c r="A20" s="645"/>
      <c r="B20" s="2402" t="s">
        <v>2111</v>
      </c>
      <c r="C20" s="2400" t="str">
        <f>C9</f>
        <v>估价对象所在区域邻近温榆河，自然环境一般；无人文环境场所；综合评价自然及人文环境状况一般。</v>
      </c>
      <c r="D20" s="2371"/>
      <c r="E20" s="2401"/>
      <c r="F20" s="1796" t="s">
        <v>2112</v>
      </c>
      <c r="G20" s="136" t="str">
        <f>G6</f>
        <v>估价对象所在区域基础设施水平</v>
      </c>
    </row>
    <row r="21" spans="1:18" ht="28.5">
      <c r="A21" s="645"/>
      <c r="B21" s="1796" t="s">
        <v>2094</v>
      </c>
      <c r="C21" s="136" t="str">
        <f>C7</f>
        <v>估价对象所在区域公共配套设施齐备情况一般。</v>
      </c>
      <c r="D21" s="2366"/>
      <c r="E21" s="2401"/>
      <c r="F21" s="2402" t="s">
        <v>2113</v>
      </c>
      <c r="G21" s="2403"/>
    </row>
    <row r="22" spans="1:18" ht="13.5" customHeight="1">
      <c r="A22" s="645"/>
      <c r="B22" s="1796" t="s">
        <v>2097</v>
      </c>
      <c r="C22" s="136" t="str">
        <f>C8</f>
        <v>估价对象所在区域基础设施水平达“七通”。</v>
      </c>
      <c r="D22" s="2366"/>
      <c r="E22" s="2401"/>
      <c r="F22" s="2402" t="s">
        <v>2102</v>
      </c>
      <c r="G22" s="1570"/>
    </row>
    <row r="23" spans="1:18" s="2364" customFormat="1" ht="15.75" thickBot="1">
      <c r="A23" s="645"/>
      <c r="B23" s="2402" t="s">
        <v>2113</v>
      </c>
      <c r="C23" s="2403" t="s">
        <v>3090</v>
      </c>
      <c r="D23" s="2390"/>
      <c r="E23" s="2404"/>
      <c r="F23" s="2405" t="s">
        <v>2114</v>
      </c>
      <c r="G23" s="2406"/>
      <c r="H23" s="2390"/>
      <c r="I23" s="2391"/>
      <c r="J23" s="2390"/>
      <c r="K23" s="2390"/>
      <c r="L23" s="2391"/>
      <c r="M23" s="2390"/>
      <c r="N23" s="2390"/>
      <c r="O23" s="2391"/>
      <c r="P23" s="2390"/>
      <c r="Q23" s="2390"/>
      <c r="R23" s="2392"/>
    </row>
    <row r="24" spans="1:18" s="2364" customFormat="1" ht="15.75" thickBot="1">
      <c r="A24" s="2407"/>
      <c r="B24" s="2405" t="s">
        <v>2115</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31541.359999999997</v>
      </c>
      <c r="C1" s="1743"/>
      <c r="D1" s="1743"/>
      <c r="E1" s="1743"/>
      <c r="F1" s="1743"/>
      <c r="G1" s="1741"/>
    </row>
    <row r="2" spans="1:10" ht="16.5">
      <c r="A2" s="1744" t="s">
        <v>1353</v>
      </c>
      <c r="B2" s="1744">
        <f>SUM(C14:C23)</f>
        <v>23323.78</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148991</v>
      </c>
      <c r="C5" s="1744">
        <f ca="1">ROUND(B5*10000/$B$1,0)</f>
        <v>47237</v>
      </c>
      <c r="D5" s="1744">
        <f ca="1">ROUND(B5*10000/$B$2,0)</f>
        <v>63879</v>
      </c>
      <c r="E5" s="1743"/>
      <c r="F5" s="1741"/>
      <c r="G5" s="1741"/>
    </row>
    <row r="6" spans="1:10" ht="16.5">
      <c r="A6" s="1744" t="s">
        <v>1356</v>
      </c>
      <c r="B6" s="1744">
        <f ca="1">SUM(G14:G23)</f>
        <v>148991</v>
      </c>
      <c r="C6" s="1744">
        <f ca="1">ROUND(B6*10000/$B$1,0)</f>
        <v>47237</v>
      </c>
      <c r="D6" s="1744">
        <f ca="1">ROUND(B6*10000/$B$2,0)</f>
        <v>63879</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31541.359999999997</v>
      </c>
      <c r="C14" s="1742">
        <f>结果表!C118</f>
        <v>23323.78</v>
      </c>
      <c r="D14" s="1742">
        <f ca="1">结果表!H118</f>
        <v>148991</v>
      </c>
      <c r="E14" s="1742">
        <f ca="1">ROUND(D14*10000/B14,0)</f>
        <v>47237</v>
      </c>
      <c r="F14" s="1742">
        <f ca="1">ROUND(D14*10000/C14,0)</f>
        <v>63879</v>
      </c>
      <c r="G14" s="1742">
        <f ca="1">结果表!D122</f>
        <v>148991</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8" sqref="D28:E2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2116</v>
      </c>
      <c r="B1" s="2413"/>
      <c r="C1" s="2414"/>
      <c r="D1" s="2413"/>
      <c r="E1" s="2413"/>
      <c r="F1" s="2415" t="s">
        <v>2117</v>
      </c>
      <c r="G1" s="3345" t="s">
        <v>3064</v>
      </c>
      <c r="H1" s="2416" t="str">
        <f>IF(G1="现房","——","估价对象范围")</f>
        <v>估价对象范围</v>
      </c>
      <c r="I1" s="2417" t="s">
        <v>3371</v>
      </c>
    </row>
    <row r="2" spans="1:12" ht="21.75" customHeight="1" thickBot="1">
      <c r="A2" s="3177" t="str">
        <f>项目基本情况!S2</f>
        <v>北京市顺义区高丽营镇于庄村西出让国有建设用地使用权及在建建筑物房地产</v>
      </c>
      <c r="B2" s="3178"/>
      <c r="C2" s="3178"/>
      <c r="D2" s="3178"/>
      <c r="E2" s="3178"/>
      <c r="F2" s="3178"/>
      <c r="G2" s="3178"/>
      <c r="H2" s="3178"/>
      <c r="I2" s="3179"/>
    </row>
    <row r="3" spans="1:12" ht="12.75">
      <c r="A3" s="3180" t="s">
        <v>2118</v>
      </c>
      <c r="B3" s="3181"/>
      <c r="C3" s="3181"/>
      <c r="D3" s="3181"/>
      <c r="E3" s="3181"/>
      <c r="F3" s="3181"/>
      <c r="G3" s="3181"/>
      <c r="H3" s="3181"/>
      <c r="I3" s="3181"/>
    </row>
    <row r="4" spans="1:12" ht="14.25">
      <c r="A4" s="2420" t="s">
        <v>2119</v>
      </c>
      <c r="B4" s="2421" t="s">
        <v>2120</v>
      </c>
      <c r="C4" s="2422" t="s">
        <v>3372</v>
      </c>
      <c r="D4" s="2422" t="s">
        <v>3383</v>
      </c>
      <c r="E4" s="3161" t="s">
        <v>2121</v>
      </c>
      <c r="F4" s="3174"/>
      <c r="G4" s="3174"/>
      <c r="H4" s="3174"/>
      <c r="I4" s="316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52" t="s">
        <v>2122</v>
      </c>
      <c r="B5" s="3078">
        <v>25</v>
      </c>
      <c r="C5" s="3182"/>
      <c r="D5" s="3170"/>
      <c r="E5" s="140" t="s">
        <v>2123</v>
      </c>
      <c r="F5" s="2424"/>
      <c r="G5" s="2424"/>
      <c r="H5" s="2424"/>
      <c r="I5" s="1832"/>
    </row>
    <row r="6" spans="1:12" ht="12.75">
      <c r="A6" s="3152"/>
      <c r="B6" s="3078"/>
      <c r="C6" s="3184"/>
      <c r="D6" s="3170"/>
      <c r="E6" s="140" t="s">
        <v>2124</v>
      </c>
      <c r="F6" s="2424"/>
      <c r="G6" s="2424"/>
      <c r="H6" s="2424"/>
      <c r="I6" s="1832"/>
    </row>
    <row r="7" spans="1:12" ht="12.75">
      <c r="A7" s="3152"/>
      <c r="B7" s="3078"/>
      <c r="C7" s="3183"/>
      <c r="D7" s="3170"/>
      <c r="E7" s="140" t="s">
        <v>2125</v>
      </c>
      <c r="F7" s="2424"/>
      <c r="G7" s="2424"/>
      <c r="H7" s="2424"/>
      <c r="I7" s="1832"/>
    </row>
    <row r="8" spans="1:12" ht="12.75">
      <c r="A8" s="3152" t="s">
        <v>2126</v>
      </c>
      <c r="B8" s="3078">
        <v>15</v>
      </c>
      <c r="C8" s="3182"/>
      <c r="D8" s="3170"/>
      <c r="E8" s="140" t="s">
        <v>2127</v>
      </c>
      <c r="F8" s="2424"/>
      <c r="G8" s="2424"/>
      <c r="H8" s="2424"/>
      <c r="I8" s="1832"/>
    </row>
    <row r="9" spans="1:12" ht="12.75">
      <c r="A9" s="3152"/>
      <c r="B9" s="3078"/>
      <c r="C9" s="3183"/>
      <c r="D9" s="3170"/>
      <c r="E9" s="140" t="s">
        <v>2128</v>
      </c>
      <c r="F9" s="2424"/>
      <c r="G9" s="2424"/>
      <c r="H9" s="2424"/>
      <c r="I9" s="1832"/>
    </row>
    <row r="10" spans="1:12" ht="12.75">
      <c r="A10" s="3152" t="s">
        <v>2129</v>
      </c>
      <c r="B10" s="3078">
        <v>15</v>
      </c>
      <c r="C10" s="3182"/>
      <c r="D10" s="3170"/>
      <c r="E10" s="140" t="s">
        <v>2130</v>
      </c>
      <c r="F10" s="2424"/>
      <c r="G10" s="2424"/>
      <c r="H10" s="2424"/>
      <c r="I10" s="1832"/>
    </row>
    <row r="11" spans="1:12" ht="12.75">
      <c r="A11" s="3152"/>
      <c r="B11" s="3078"/>
      <c r="C11" s="3183"/>
      <c r="D11" s="3170"/>
      <c r="E11" s="140" t="s">
        <v>2131</v>
      </c>
      <c r="F11" s="2424"/>
      <c r="G11" s="2424"/>
      <c r="H11" s="2424"/>
      <c r="I11" s="1832"/>
    </row>
    <row r="12" spans="1:12" ht="12.75">
      <c r="A12" s="3152" t="s">
        <v>2132</v>
      </c>
      <c r="B12" s="3078">
        <v>15</v>
      </c>
      <c r="C12" s="3182"/>
      <c r="D12" s="3170"/>
      <c r="E12" s="140" t="s">
        <v>2133</v>
      </c>
      <c r="F12" s="2424"/>
      <c r="G12" s="2424"/>
      <c r="H12" s="2424"/>
      <c r="I12" s="1832"/>
    </row>
    <row r="13" spans="1:12" ht="12.75">
      <c r="A13" s="3152"/>
      <c r="B13" s="3078"/>
      <c r="C13" s="3183"/>
      <c r="D13" s="3170"/>
      <c r="E13" s="140" t="s">
        <v>2134</v>
      </c>
      <c r="F13" s="2424"/>
      <c r="G13" s="2424"/>
      <c r="H13" s="2424"/>
      <c r="I13" s="1832"/>
    </row>
    <row r="14" spans="1:12" ht="12.75">
      <c r="A14" s="3152" t="s">
        <v>2135</v>
      </c>
      <c r="B14" s="3078">
        <v>30</v>
      </c>
      <c r="C14" s="3182">
        <v>6</v>
      </c>
      <c r="D14" s="3170">
        <v>4</v>
      </c>
      <c r="E14" s="140" t="s">
        <v>2136</v>
      </c>
      <c r="F14" s="2424"/>
      <c r="G14" s="2424"/>
      <c r="H14" s="2424"/>
      <c r="I14" s="1832"/>
    </row>
    <row r="15" spans="1:12" ht="12.75">
      <c r="A15" s="3152"/>
      <c r="B15" s="3078"/>
      <c r="C15" s="3184"/>
      <c r="D15" s="3170"/>
      <c r="E15" s="140" t="s">
        <v>2137</v>
      </c>
      <c r="F15" s="2424"/>
      <c r="G15" s="2424"/>
      <c r="H15" s="2424"/>
      <c r="I15" s="1832"/>
    </row>
    <row r="16" spans="1:12" ht="12.75">
      <c r="A16" s="3152"/>
      <c r="B16" s="3078"/>
      <c r="C16" s="3183"/>
      <c r="D16" s="3170"/>
      <c r="E16" s="140" t="s">
        <v>2138</v>
      </c>
      <c r="F16" s="2424"/>
      <c r="G16" s="2424"/>
      <c r="H16" s="2424"/>
      <c r="I16" s="1832"/>
    </row>
    <row r="17" spans="1:35" ht="15">
      <c r="A17" s="2425" t="s">
        <v>2139</v>
      </c>
      <c r="B17" s="64"/>
      <c r="C17" s="141">
        <f>SUM(C5:C16)</f>
        <v>6</v>
      </c>
      <c r="D17" s="141">
        <f>SUM(D5:D16)</f>
        <v>4</v>
      </c>
      <c r="E17" s="138"/>
      <c r="F17" s="138"/>
      <c r="G17" s="138"/>
      <c r="H17" s="138"/>
      <c r="I17" s="138"/>
      <c r="K17" s="2423"/>
      <c r="L17" s="2426" t="s">
        <v>2140</v>
      </c>
      <c r="M17" s="2426" t="s">
        <v>2141</v>
      </c>
    </row>
    <row r="18" spans="1:35" ht="15.75" thickBot="1">
      <c r="A18" s="2427" t="s">
        <v>2142</v>
      </c>
      <c r="B18" s="2428"/>
      <c r="C18" s="142">
        <f>ROUND(C17/SUM(C17:D17),2)</f>
        <v>0.6</v>
      </c>
      <c r="D18" s="142">
        <f>1-C18</f>
        <v>0.4</v>
      </c>
      <c r="E18" s="138"/>
      <c r="F18" s="138"/>
      <c r="G18" s="138"/>
      <c r="H18" s="138"/>
      <c r="I18" s="138"/>
      <c r="K18" s="2423" t="s">
        <v>2143</v>
      </c>
      <c r="L18" s="2423">
        <f>IF(C1="",'数据-汇总表'!E3,SUMIF(项目类型,C1,'数据-汇总表'!E17:E26)+SUMIF(项目类型,C1,'数据-汇总表'!I17:I26))</f>
        <v>31541.359999999997</v>
      </c>
      <c r="M18" s="2423">
        <f>IF(C1="",'数据-汇总表'!E3,SUMIF(项目类型,C1,'数据-汇总表'!E17:E26))</f>
        <v>31541.359999999997</v>
      </c>
    </row>
    <row r="19" spans="1:35" ht="15">
      <c r="A19" s="2429" t="s">
        <v>2144</v>
      </c>
      <c r="B19" s="2430" t="s">
        <v>2145</v>
      </c>
      <c r="C19" s="143">
        <f ca="1">SUMIF(INDIRECT("'"&amp;C4&amp;"'"&amp;"!A:A"),结果表!B19,INDIRECT("'"&amp;C4&amp;"'"&amp;"!B:B"))</f>
        <v>200980</v>
      </c>
      <c r="D19" s="144">
        <f ca="1">SUMIF(INDIRECT("'"&amp;D4&amp;"'"&amp;"!A:A"),结果表!B19,INDIRECT("'"&amp;D4&amp;"'"&amp;"!B:B"))</f>
        <v>71007</v>
      </c>
      <c r="E19" s="2429" t="s">
        <v>2146</v>
      </c>
      <c r="F19" s="2430" t="s">
        <v>2145</v>
      </c>
      <c r="G19" s="145">
        <f ca="1">ROUND(C19*$C$18+D19*$D$18,0)</f>
        <v>148991</v>
      </c>
      <c r="H19" s="2431" t="s">
        <v>2147</v>
      </c>
      <c r="I19" s="138"/>
      <c r="K19" s="2423" t="s">
        <v>2148</v>
      </c>
      <c r="L19" s="2423">
        <f>IF(C1="",'数据-汇总表'!D3,SUMIF(项目类型,C1,'数据-汇总表'!D17:D26)+SUMIF(项目类型,C1,'数据-汇总表'!H17:H27))</f>
        <v>23323.78</v>
      </c>
      <c r="M19" s="2423">
        <f>IF(C1="",'数据-汇总表'!D3,SUMIF(项目类型,C1,'数据-汇总表'!D17:D26))</f>
        <v>23323.78</v>
      </c>
    </row>
    <row r="20" spans="1:35" ht="15">
      <c r="A20" s="2432"/>
      <c r="B20" s="1249" t="s">
        <v>2149</v>
      </c>
      <c r="C20" s="146">
        <f ca="1">SUMIF(INDIRECT("'"&amp;C4&amp;"'"&amp;"!A:A"),结果表!B20,INDIRECT("'"&amp;C4&amp;"'"&amp;"!B:B"))</f>
        <v>63720</v>
      </c>
      <c r="D20" s="147">
        <f ca="1">SUMIF(INDIRECT("'"&amp;D4&amp;"'"&amp;"!A:A"),结果表!B20,INDIRECT("'"&amp;D4&amp;"'"&amp;"!B:B"))</f>
        <v>22512</v>
      </c>
      <c r="E20" s="2432"/>
      <c r="F20" s="1249" t="s">
        <v>2149</v>
      </c>
      <c r="G20" s="148">
        <f ca="1">ROUND(C20*$C$18+D20*$D$18,0)</f>
        <v>47237</v>
      </c>
      <c r="H20" s="982" t="s">
        <v>2150</v>
      </c>
      <c r="I20" s="138"/>
    </row>
    <row r="21" spans="1:35" ht="15" customHeight="1" thickBot="1">
      <c r="A21" s="1002"/>
      <c r="B21" s="2433" t="s">
        <v>2151</v>
      </c>
      <c r="C21" s="788">
        <f ca="1">ROUND(C19*10000/L19,0)</f>
        <v>86170</v>
      </c>
      <c r="D21" s="789">
        <f ca="1">ROUND(D19*10000/L19,0)</f>
        <v>30444</v>
      </c>
      <c r="E21" s="1002"/>
      <c r="F21" s="2433" t="s">
        <v>2151</v>
      </c>
      <c r="G21" s="149">
        <f ca="1">ROUND(G19*10000/L19,0)</f>
        <v>63879</v>
      </c>
      <c r="H21" s="2434" t="s">
        <v>2150</v>
      </c>
      <c r="I21" s="138"/>
    </row>
    <row r="22" spans="1:35" ht="15" thickBot="1">
      <c r="A22" s="2277" t="s">
        <v>2152</v>
      </c>
      <c r="B22" s="2435"/>
      <c r="C22" s="2436"/>
      <c r="D22" s="790">
        <f ca="1">IF(C19&lt;D19,D19/C19-1,C19/D19-1)</f>
        <v>1.8304251693495006</v>
      </c>
      <c r="E22" s="138"/>
      <c r="F22" s="138"/>
      <c r="G22" s="138"/>
      <c r="H22" s="138"/>
      <c r="I22" s="138"/>
    </row>
    <row r="23" spans="1:35" ht="13.5" thickBot="1">
      <c r="A23" s="2413"/>
      <c r="B23" s="2413"/>
      <c r="C23" s="2413"/>
      <c r="D23" s="2413"/>
      <c r="E23" s="138"/>
      <c r="F23" s="138"/>
      <c r="G23" s="138"/>
      <c r="H23" s="138"/>
      <c r="I23" s="138"/>
    </row>
    <row r="24" spans="1:35" ht="14.25">
      <c r="A24" s="3191" t="s">
        <v>2153</v>
      </c>
      <c r="B24" s="2430" t="s">
        <v>2145</v>
      </c>
      <c r="C24" s="145">
        <f>IF(B30=0,0,D30)</f>
        <v>0</v>
      </c>
      <c r="D24" s="2437"/>
      <c r="E24" s="138"/>
      <c r="F24" s="138"/>
      <c r="G24" s="138"/>
      <c r="H24" s="138"/>
      <c r="I24" s="138"/>
    </row>
    <row r="25" spans="1:35" ht="14.25">
      <c r="A25" s="3192"/>
      <c r="B25" s="1249"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2158</v>
      </c>
      <c r="B30" s="151"/>
      <c r="C30" s="151"/>
      <c r="D30" s="151"/>
      <c r="E30" s="2922" t="s">
        <v>3035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2159</v>
      </c>
      <c r="B32" s="2443"/>
      <c r="C32" s="153">
        <f ca="1">IF(D32="总价",G19-C24,G20-C25)</f>
        <v>148991</v>
      </c>
      <c r="D32" s="2444" t="s">
        <v>2160</v>
      </c>
      <c r="E32" s="138"/>
      <c r="F32" s="138"/>
      <c r="G32" s="138"/>
      <c r="H32" s="138"/>
      <c r="I32" s="138"/>
    </row>
    <row r="33" spans="1:15" ht="15">
      <c r="A33" s="959" t="s">
        <v>2161</v>
      </c>
      <c r="B33" s="2445"/>
      <c r="C33" s="2446" t="s">
        <v>3384</v>
      </c>
      <c r="D33" s="2447" t="s">
        <v>3372</v>
      </c>
      <c r="E33" s="2448" t="s">
        <v>2162</v>
      </c>
      <c r="F33" s="2449" t="str">
        <f>IF(D32="楼面单价","取值（单价）","取值（总价）")</f>
        <v>取值（总价）</v>
      </c>
      <c r="G33" s="138"/>
      <c r="H33" s="138"/>
      <c r="I33" s="138"/>
    </row>
    <row r="34" spans="1:15" ht="15">
      <c r="A34" s="2450"/>
      <c r="B34" s="2451" t="s">
        <v>2163</v>
      </c>
      <c r="C34" s="157">
        <f ca="1">IF(C33="自定义",F34,C32-C35)</f>
        <v>138115</v>
      </c>
      <c r="D34" s="1057">
        <f ca="1">IF(C33="自定义",ROUND(C34/C32,3),IF(C33="收益比率",SUMIF(INDIRECT("'"&amp;D33&amp;"'"&amp;"!b:b"),"土地收益比率",INDIRECT("'"&amp;D33&amp;"'"&amp;"!c:c")),SUMIF(INDIRECT("'"&amp;D33&amp;"'"&amp;"!b:b"),"土地成本比率",INDIRECT("'"&amp;D33&amp;"'"&amp;"!c:c"))))</f>
        <v>0.92700000000000005</v>
      </c>
      <c r="E34" s="2452" t="s">
        <v>2164</v>
      </c>
      <c r="F34" s="1737"/>
      <c r="G34" s="138"/>
      <c r="H34" s="138"/>
      <c r="I34" s="138"/>
    </row>
    <row r="35" spans="1:15" ht="15.75" thickBot="1">
      <c r="A35" s="2453"/>
      <c r="B35" s="2454" t="s">
        <v>2165</v>
      </c>
      <c r="C35" s="1443">
        <f ca="1">IF(C33="自定义",F35,ROUND(C32*D35,0))</f>
        <v>10876</v>
      </c>
      <c r="D35" s="1444">
        <f ca="1">IF(C33="自定义",ROUND(C35/C32,3),IF(C33="收益比率",SUMIF(INDIRECT("'"&amp;D33&amp;"'"&amp;"!b:b"),"建筑物收益比率",INDIRECT("'"&amp;D33&amp;"'"&amp;"!c:c")),SUMIF(INDIRECT("'"&amp;D33&amp;"'"&amp;"!b:b"),"建筑物成本比率",INDIRECT("'"&amp;D33&amp;"'"&amp;"!c:c"))))</f>
        <v>7.2999999999999995E-2</v>
      </c>
      <c r="E35" s="2455" t="s">
        <v>2166</v>
      </c>
      <c r="F35" s="163"/>
      <c r="G35" s="138"/>
      <c r="H35" s="138"/>
      <c r="I35" s="138"/>
    </row>
    <row r="36" spans="1:15" ht="15.75" thickBot="1">
      <c r="A36" s="3171" t="s">
        <v>2167</v>
      </c>
      <c r="B36" s="2456" t="s">
        <v>2168</v>
      </c>
      <c r="C36" s="154"/>
      <c r="D36" s="2457"/>
      <c r="E36" s="2458"/>
      <c r="F36" s="2459"/>
      <c r="G36" s="138"/>
      <c r="H36" s="138"/>
      <c r="I36" s="138"/>
    </row>
    <row r="37" spans="1:15" ht="15.75" thickBot="1">
      <c r="A37" s="3172"/>
      <c r="B37" s="2263" t="s">
        <v>2169</v>
      </c>
      <c r="C37" s="156"/>
      <c r="D37" s="1394"/>
      <c r="E37" s="1394"/>
      <c r="F37" s="2459"/>
      <c r="G37" s="138"/>
      <c r="H37" s="138"/>
      <c r="I37" s="138"/>
    </row>
    <row r="38" spans="1:15" ht="15.75" thickBot="1">
      <c r="A38" s="3173"/>
      <c r="B38" s="2460" t="s">
        <v>2170</v>
      </c>
      <c r="C38" s="726"/>
      <c r="D38" s="2461" t="s">
        <v>2171</v>
      </c>
      <c r="E38" s="1394"/>
      <c r="F38" s="2459"/>
      <c r="G38" s="138"/>
      <c r="H38" s="138"/>
      <c r="I38" s="138"/>
    </row>
    <row r="39" spans="1:15" ht="15">
      <c r="A39" s="2432" t="s">
        <v>2172</v>
      </c>
      <c r="B39" s="2462" t="s">
        <v>2173</v>
      </c>
      <c r="C39" s="2463" t="s">
        <v>2174</v>
      </c>
      <c r="D39" s="2463" t="s">
        <v>2175</v>
      </c>
      <c r="E39" s="2464" t="s">
        <v>2176</v>
      </c>
      <c r="F39" s="2459"/>
      <c r="G39" s="138"/>
      <c r="H39" s="138"/>
      <c r="I39" s="138"/>
    </row>
    <row r="40" spans="1:15" ht="14.25">
      <c r="A40" s="2465" t="s">
        <v>2177</v>
      </c>
      <c r="B40" s="158"/>
      <c r="C40" s="159"/>
      <c r="D40" s="159"/>
      <c r="E40" s="160"/>
      <c r="F40" s="2459"/>
      <c r="G40" s="138"/>
      <c r="H40" s="138"/>
      <c r="I40" s="138"/>
    </row>
    <row r="41" spans="1:15" ht="14.25">
      <c r="A41" s="2465" t="s">
        <v>2178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88" t="s">
        <v>2181</v>
      </c>
      <c r="B45" s="3189"/>
      <c r="C45" s="3190"/>
      <c r="D45" s="164">
        <f ca="1">ROUND(H101*F45,0)</f>
        <v>148991</v>
      </c>
      <c r="E45" s="165" t="s">
        <v>2182</v>
      </c>
      <c r="F45" s="166">
        <v>1</v>
      </c>
      <c r="G45" s="167" t="s">
        <v>2183</v>
      </c>
      <c r="H45" s="138"/>
      <c r="I45" s="138"/>
      <c r="J45" s="3107" t="s">
        <v>2184</v>
      </c>
      <c r="K45" s="3107"/>
      <c r="L45" s="3107"/>
      <c r="M45" s="3107"/>
      <c r="N45" s="3107"/>
      <c r="O45" s="3107"/>
    </row>
    <row r="46" spans="1:15" ht="14.25" customHeight="1">
      <c r="A46" s="3185" t="s">
        <v>2185</v>
      </c>
      <c r="B46" s="3186"/>
      <c r="C46" s="3186"/>
      <c r="D46" s="3186"/>
      <c r="E46" s="3186"/>
      <c r="F46" s="3186"/>
      <c r="G46" s="3187"/>
      <c r="H46" s="2475"/>
      <c r="I46" s="168"/>
      <c r="J46" s="1810">
        <v>1</v>
      </c>
      <c r="K46" s="3107" t="s">
        <v>2186</v>
      </c>
      <c r="L46" s="3107"/>
      <c r="M46" s="3108"/>
      <c r="N46" s="3108"/>
      <c r="O46" s="3108"/>
    </row>
    <row r="47" spans="1:15" ht="12" customHeight="1">
      <c r="A47" s="169" t="s">
        <v>2187</v>
      </c>
      <c r="B47" s="170"/>
      <c r="C47" s="171"/>
      <c r="D47" s="172" t="s">
        <v>2188</v>
      </c>
      <c r="E47" s="24" t="s">
        <v>2189</v>
      </c>
      <c r="F47" s="173" t="s">
        <v>2190</v>
      </c>
      <c r="G47" s="174" t="s">
        <v>2191</v>
      </c>
      <c r="H47" s="2475"/>
      <c r="I47" s="168"/>
      <c r="J47" s="1810">
        <v>2</v>
      </c>
      <c r="K47" s="3107" t="s">
        <v>2192</v>
      </c>
      <c r="L47" s="3107"/>
      <c r="M47" s="3109">
        <f>'数据-取费表'!B2</f>
        <v>43292</v>
      </c>
      <c r="N47" s="3109"/>
      <c r="O47" s="3109"/>
    </row>
    <row r="48" spans="1:15" ht="25.5">
      <c r="A48" s="3175" t="s">
        <v>2193</v>
      </c>
      <c r="B48" s="3176"/>
      <c r="C48" s="3176"/>
      <c r="D48" s="140">
        <f>IF(H48="情况1",0,IF(H48="情况2",D52,IF(H48="情况3",D53,IF(H48="情况4",D54))))</f>
        <v>0</v>
      </c>
      <c r="E48" s="1799" t="str">
        <f>IF(H48="情况4","(销售额-原购置价)×税（费）率","销售额×税（费）率")</f>
        <v>销售额×税（费）率</v>
      </c>
      <c r="F48" s="175" t="str">
        <f>IF(H48="情况1","免征",'数据-取费表'!B41)</f>
        <v>免征</v>
      </c>
      <c r="G48" s="2476" t="s">
        <v>2194</v>
      </c>
      <c r="H48" s="2477" t="s">
        <v>2195</v>
      </c>
      <c r="I48" s="2475"/>
      <c r="J48" s="1810">
        <v>3</v>
      </c>
      <c r="K48" s="3107" t="s">
        <v>2196</v>
      </c>
      <c r="L48" s="3107"/>
      <c r="M48" s="3110">
        <f ca="1">H101</f>
        <v>148991</v>
      </c>
      <c r="N48" s="3110"/>
      <c r="O48" s="3110"/>
    </row>
    <row r="49" spans="1:35" ht="25.5" customHeight="1">
      <c r="A49" s="176" t="s">
        <v>2197</v>
      </c>
      <c r="B49" s="3155" t="s">
        <v>2198</v>
      </c>
      <c r="C49" s="3155"/>
      <c r="D49" s="177">
        <v>0</v>
      </c>
      <c r="E49" s="23" t="s">
        <v>2199</v>
      </c>
      <c r="F49" s="28" t="s">
        <v>34</v>
      </c>
      <c r="G49" s="3136"/>
      <c r="H49" s="138"/>
      <c r="I49" s="2478"/>
      <c r="J49" s="1810">
        <v>4</v>
      </c>
      <c r="K49" s="3107" t="str">
        <f>IF(项目基本情况!E8="房地产抵押价值","房地产抵押价值","抵押担保权已注销时的房地产抵押价值")</f>
        <v>房地产抵押价值</v>
      </c>
      <c r="L49" s="3107"/>
      <c r="M49" s="3110">
        <f ca="1">IF(项目基本情况!E8="房地产抵押价值",H107,H109)</f>
        <v>148991</v>
      </c>
      <c r="N49" s="3110"/>
      <c r="O49" s="3110"/>
    </row>
    <row r="50" spans="1:35" ht="25.5" customHeight="1">
      <c r="A50" s="178"/>
      <c r="B50" s="3155" t="s">
        <v>2200</v>
      </c>
      <c r="C50" s="3155"/>
      <c r="D50" s="179"/>
      <c r="E50" s="31"/>
      <c r="F50" s="180"/>
      <c r="G50" s="3137"/>
      <c r="H50" s="138"/>
      <c r="I50" s="2478"/>
      <c r="J50" s="3107" t="s">
        <v>2201</v>
      </c>
      <c r="K50" s="3107"/>
      <c r="L50" s="3107"/>
      <c r="M50" s="3107"/>
      <c r="N50" s="3107"/>
      <c r="O50" s="3107"/>
    </row>
    <row r="51" spans="1:35" ht="12" customHeight="1">
      <c r="A51" s="181"/>
      <c r="B51" s="3155" t="s">
        <v>2202</v>
      </c>
      <c r="C51" s="3155"/>
      <c r="D51" s="182"/>
      <c r="E51" s="30"/>
      <c r="F51" s="180"/>
      <c r="G51" s="3138"/>
      <c r="H51" s="138"/>
      <c r="I51" s="2478"/>
      <c r="J51" s="2479" t="s">
        <v>2203</v>
      </c>
      <c r="K51" s="3107" t="s">
        <v>2204</v>
      </c>
      <c r="L51" s="3107"/>
      <c r="M51" s="2479" t="s">
        <v>2205</v>
      </c>
      <c r="N51" s="2479" t="s">
        <v>2206</v>
      </c>
      <c r="O51" s="2479" t="s">
        <v>2207</v>
      </c>
    </row>
    <row r="52" spans="1:35" ht="24" customHeight="1">
      <c r="A52" s="183" t="s">
        <v>2208</v>
      </c>
      <c r="B52" s="3155" t="s">
        <v>2209</v>
      </c>
      <c r="C52" s="3155"/>
      <c r="D52" s="182">
        <f ca="1">ROUND(D45*'数据-取费表'!B41/(1+'数据-取费表'!C42),0)</f>
        <v>7804</v>
      </c>
      <c r="E52" s="11" t="s">
        <v>2210</v>
      </c>
      <c r="F52" s="184">
        <f>'数据-取费表'!B41</f>
        <v>5.5000000000000007E-2</v>
      </c>
      <c r="G52" s="2480"/>
      <c r="H52" s="138"/>
      <c r="I52" s="2478"/>
      <c r="J52" s="1810">
        <v>1</v>
      </c>
      <c r="K52" s="3130" t="s">
        <v>2211</v>
      </c>
      <c r="L52" s="3130"/>
      <c r="M52" s="1752">
        <f>D48</f>
        <v>0</v>
      </c>
      <c r="N52" s="1810" t="str">
        <f>E48</f>
        <v>销售额×税（费）率</v>
      </c>
      <c r="O52" s="1753" t="str">
        <f>F48</f>
        <v>免征</v>
      </c>
    </row>
    <row r="53" spans="1:35" ht="12" customHeight="1">
      <c r="A53" s="183" t="s">
        <v>2212</v>
      </c>
      <c r="B53" s="3156" t="s">
        <v>2213</v>
      </c>
      <c r="C53" s="3157"/>
      <c r="D53" s="182">
        <f ca="1">ROUND(D45*'数据-取费表'!B41/(1+'数据-取费表'!C42),0)</f>
        <v>7804</v>
      </c>
      <c r="E53" s="11" t="s">
        <v>2210</v>
      </c>
      <c r="F53" s="184">
        <f>'数据-取费表'!B41</f>
        <v>5.5000000000000007E-2</v>
      </c>
      <c r="G53" s="2480"/>
      <c r="H53" s="138"/>
      <c r="I53" s="2478"/>
      <c r="J53" s="1810">
        <v>2</v>
      </c>
      <c r="K53" s="3130" t="s">
        <v>2214</v>
      </c>
      <c r="L53" s="3130"/>
      <c r="M53" s="1752">
        <f t="shared" ref="M53:O54" ca="1" si="0">D55</f>
        <v>74</v>
      </c>
      <c r="N53" s="1810" t="str">
        <f t="shared" si="0"/>
        <v>销售额×税（费）率</v>
      </c>
      <c r="O53" s="1753">
        <f t="shared" si="0"/>
        <v>5.0000000000000001E-4</v>
      </c>
    </row>
    <row r="54" spans="1:35" ht="12" customHeight="1">
      <c r="A54" s="183" t="s">
        <v>2215</v>
      </c>
      <c r="B54" s="3156" t="s">
        <v>2216</v>
      </c>
      <c r="C54" s="3157"/>
      <c r="D54" s="182">
        <f ca="1">C68</f>
        <v>7804</v>
      </c>
      <c r="E54" s="30" t="s">
        <v>2217</v>
      </c>
      <c r="F54" s="184">
        <f>'数据-取费表'!B41</f>
        <v>5.5000000000000007E-2</v>
      </c>
      <c r="G54" s="2480"/>
      <c r="H54" s="2481"/>
      <c r="I54" s="2478"/>
      <c r="J54" s="1810">
        <v>3</v>
      </c>
      <c r="K54" s="3130" t="s">
        <v>2218</v>
      </c>
      <c r="L54" s="3130"/>
      <c r="M54" s="1752">
        <f t="shared" ca="1" si="0"/>
        <v>84464</v>
      </c>
      <c r="N54" s="1810" t="str">
        <f t="shared" si="0"/>
        <v>增值额×税（费）率</v>
      </c>
      <c r="O54" s="1754" t="str">
        <f t="shared" si="0"/>
        <v>——</v>
      </c>
    </row>
    <row r="55" spans="1:35" ht="24" customHeight="1">
      <c r="A55" s="3194" t="s">
        <v>2219</v>
      </c>
      <c r="B55" s="3176"/>
      <c r="C55" s="3176"/>
      <c r="D55" s="185">
        <f ca="1">IF(H55="个人住宅",0,ROUND(D45*I55,0))</f>
        <v>74</v>
      </c>
      <c r="E55" s="11" t="s">
        <v>2220</v>
      </c>
      <c r="F55" s="184">
        <f>IF(H55="正常",I55,"免征")</f>
        <v>5.0000000000000001E-4</v>
      </c>
      <c r="G55" s="2480"/>
      <c r="H55" s="2477" t="s">
        <v>2221</v>
      </c>
      <c r="I55" s="186">
        <f>'数据-取费表'!B49</f>
        <v>5.0000000000000001E-4</v>
      </c>
      <c r="J55" s="1810" t="str">
        <f>IF(H59="非个人房产","",4)</f>
        <v/>
      </c>
      <c r="K55" s="3130" t="str">
        <f>IF(H59="非个人房产","——","个人所得税")</f>
        <v>——</v>
      </c>
      <c r="L55" s="3130"/>
      <c r="M55" s="1755" t="str">
        <f>D59</f>
        <v>——</v>
      </c>
      <c r="N55" s="1808" t="str">
        <f>E59</f>
        <v>——</v>
      </c>
      <c r="O55" s="1756" t="str">
        <f>F59</f>
        <v>——</v>
      </c>
    </row>
    <row r="56" spans="1:35" ht="24.75">
      <c r="A56" s="3194" t="s">
        <v>2222</v>
      </c>
      <c r="B56" s="3176"/>
      <c r="C56" s="3176"/>
      <c r="D56" s="185">
        <f ca="1">IF(H56="个人住宅",D57,D58)</f>
        <v>84464</v>
      </c>
      <c r="E56" s="11" t="s">
        <v>2223</v>
      </c>
      <c r="F56" s="184" t="str">
        <f>IF(H56="正常",F58,"免征")</f>
        <v>——</v>
      </c>
      <c r="G56" s="2482" t="s">
        <v>2224</v>
      </c>
      <c r="H56" s="2483" t="s">
        <v>2221</v>
      </c>
      <c r="I56" s="2484"/>
      <c r="J56" s="1810" t="str">
        <f>IF(项目基本情况!K6="上海银行",IF(J55="",4,J55+1),"")</f>
        <v/>
      </c>
      <c r="K56" s="3113" t="str">
        <f>IF(项目基本情况!K6="上海银行","其他处置费用","")</f>
        <v/>
      </c>
      <c r="L56" s="3114"/>
      <c r="M56" s="1752" t="str">
        <f>IF(项目基本情况!K6="上海银行",M69,"")</f>
        <v/>
      </c>
      <c r="N56" s="3116" t="str">
        <f>IF(项目基本情况!K6="上海银行","包含处置中涉及的律师、诉讼、拍卖、评估等费用","")</f>
        <v/>
      </c>
      <c r="O56" s="3117"/>
    </row>
    <row r="57" spans="1:35" ht="12.75">
      <c r="A57" s="183" t="s">
        <v>2197</v>
      </c>
      <c r="B57" s="3161" t="s">
        <v>2225</v>
      </c>
      <c r="C57" s="3162"/>
      <c r="D57" s="187">
        <v>0</v>
      </c>
      <c r="E57" s="23" t="s">
        <v>2199</v>
      </c>
      <c r="F57" s="155"/>
      <c r="G57" s="2480"/>
      <c r="H57" s="2484"/>
      <c r="I57" s="2484"/>
      <c r="J57" s="3130">
        <f>IF(AND(J55="",J56=""),4,IF(项目基本情况!K6="上海银行",结果表!J56+1,结果表!J55+1))</f>
        <v>4</v>
      </c>
      <c r="K57" s="3130" t="s">
        <v>2226</v>
      </c>
      <c r="L57" s="2485" t="s">
        <v>2227</v>
      </c>
      <c r="M57" s="1757"/>
      <c r="N57" s="1758">
        <f ca="1">SUMIF(M52:M56,"&lt;9e307")</f>
        <v>84538</v>
      </c>
      <c r="O57" s="2486"/>
      <c r="P57" s="1751">
        <f ca="1">N57/M49</f>
        <v>0.56740340020538149</v>
      </c>
    </row>
    <row r="58" spans="1:35" ht="24.75">
      <c r="A58" s="183" t="s">
        <v>2208</v>
      </c>
      <c r="B58" s="3161" t="s">
        <v>2228</v>
      </c>
      <c r="C58" s="3174"/>
      <c r="D58" s="185">
        <f ca="1">IF(H58="转让取得",C81,C97)</f>
        <v>84464</v>
      </c>
      <c r="E58" s="11" t="s">
        <v>2223</v>
      </c>
      <c r="F58" s="24" t="s">
        <v>34</v>
      </c>
      <c r="G58" s="2480"/>
      <c r="H58" s="2483" t="s">
        <v>2229</v>
      </c>
      <c r="I58" s="2484"/>
      <c r="J58" s="3130"/>
      <c r="K58" s="3130"/>
      <c r="L58" s="2485" t="s">
        <v>2230</v>
      </c>
      <c r="M58" s="1759"/>
      <c r="N58" s="2487" t="str">
        <f ca="1">NUMBERSTRING(INT(N57*10000),2)&amp;"元整"</f>
        <v>捌亿肆仟伍佰叁拾捌万元整</v>
      </c>
      <c r="O58" s="2488"/>
    </row>
    <row r="59" spans="1:35" ht="24.75"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89" t="s">
        <v>2224</v>
      </c>
      <c r="H59" s="2483" t="s">
        <v>2232</v>
      </c>
      <c r="I59" s="191">
        <v>0.01</v>
      </c>
      <c r="J59" s="3132">
        <f>J57+1</f>
        <v>5</v>
      </c>
      <c r="K59" s="3130" t="s">
        <v>2233</v>
      </c>
      <c r="L59" s="1810" t="s">
        <v>2227</v>
      </c>
      <c r="M59" s="1760"/>
      <c r="N59" s="1761">
        <f ca="1">M49-N57</f>
        <v>64453</v>
      </c>
      <c r="O59" s="2490"/>
    </row>
    <row r="60" spans="1:35" ht="12" customHeight="1">
      <c r="A60" s="2491"/>
      <c r="B60" s="2413"/>
      <c r="C60" s="2413"/>
      <c r="D60" s="2413"/>
      <c r="E60" s="2163"/>
      <c r="F60" s="2484"/>
      <c r="G60" s="2484"/>
      <c r="H60" s="2492"/>
      <c r="I60" s="138"/>
      <c r="J60" s="3133"/>
      <c r="K60" s="3130"/>
      <c r="L60" s="2485" t="s">
        <v>2230</v>
      </c>
      <c r="M60" s="1759"/>
      <c r="N60" s="2487" t="str">
        <f ca="1">NUMBERSTRING(INT(N59*10000),2)&amp;"元整"</f>
        <v>陆亿肆仟肆佰伍拾叁万元整</v>
      </c>
      <c r="O60" s="2488"/>
    </row>
    <row r="61" spans="1:35" ht="13.5" thickBot="1">
      <c r="A61" s="3193" t="s">
        <v>2234</v>
      </c>
      <c r="B61" s="3193"/>
      <c r="C61" s="3193"/>
      <c r="D61" s="3193"/>
      <c r="E61" s="3193"/>
      <c r="F61" s="2484"/>
      <c r="G61" s="2484"/>
      <c r="H61" s="2492"/>
      <c r="I61" s="138"/>
      <c r="J61" s="1810">
        <f>J59+1</f>
        <v>6</v>
      </c>
      <c r="K61" s="3130" t="s">
        <v>2235</v>
      </c>
      <c r="L61" s="3130"/>
      <c r="M61" s="1762"/>
      <c r="N61" s="1763">
        <f ca="1">ROUND(N59*10000/'数据-汇总表'!E3,0)</f>
        <v>20434</v>
      </c>
      <c r="O61" s="2493"/>
    </row>
    <row r="62" spans="1:35" ht="12.75">
      <c r="A62" s="3150" t="s">
        <v>2236</v>
      </c>
      <c r="B62" s="3151"/>
      <c r="C62" s="1802"/>
      <c r="D62" s="1802" t="s">
        <v>2237</v>
      </c>
      <c r="E62" s="192" t="s">
        <v>2238</v>
      </c>
      <c r="F62" s="2484"/>
      <c r="G62" s="2484"/>
      <c r="H62" s="2492"/>
      <c r="I62" s="138"/>
    </row>
    <row r="63" spans="1:35" ht="12.75">
      <c r="A63" s="203" t="s">
        <v>775</v>
      </c>
      <c r="B63" s="193" t="s">
        <v>2239</v>
      </c>
      <c r="C63" s="194">
        <f ca="1">ROUND((C64+C65)/(1+'数据-取费表'!C42),0)</f>
        <v>141896</v>
      </c>
      <c r="D63" s="195"/>
      <c r="E63" s="196"/>
      <c r="F63" s="2484"/>
      <c r="G63" s="2484"/>
      <c r="H63" s="2492"/>
      <c r="I63" s="138"/>
      <c r="J63" s="3115" t="s">
        <v>2240</v>
      </c>
      <c r="K63" s="2494" t="s">
        <v>2241</v>
      </c>
      <c r="L63" s="1750">
        <f ca="1">IF(M49&gt;10000,M49*0.5%,IF(AND(M49&gt;1000,M49&lt;=10000),M49*1%,IF(AND(M49&gt;100,M49&lt;=1000),M49*3%,IF(AND(M49&gt;10,M49&lt;=100),M49*5%,M49*8%))))</f>
        <v>744.95500000000004</v>
      </c>
      <c r="M63" s="24">
        <f ca="1">ROUND(L63,1)</f>
        <v>745</v>
      </c>
      <c r="Z63" s="2418"/>
      <c r="AI63" s="2419"/>
    </row>
    <row r="64" spans="1:35" ht="14.25" customHeight="1">
      <c r="A64" s="197" t="s">
        <v>770</v>
      </c>
      <c r="B64" s="198" t="s">
        <v>2242</v>
      </c>
      <c r="C64" s="199">
        <f ca="1">D45</f>
        <v>148991</v>
      </c>
      <c r="D64" s="200" t="s">
        <v>32</v>
      </c>
      <c r="E64" s="201"/>
      <c r="F64" s="2484"/>
      <c r="G64" s="2484"/>
      <c r="H64" s="2492"/>
      <c r="I64" s="138"/>
      <c r="J64" s="3115"/>
      <c r="K64" s="2494" t="s">
        <v>2243</v>
      </c>
      <c r="L64" s="1750">
        <f ca="1">IF(M49&gt;2000,M49*0.5%,IF(AND(M49&gt;1000,M49&lt;=2000),M49*0.6%,IF(AND(M49&gt;500,M49&lt;=1000),M49*0.7%,IF(AND(M49&gt;200,M49&lt;=500),M49*0.8%,IF(AND(M49&gt;100,M49&lt;=200),M49*0.9%,IF(AND(M49&gt;50,M49&lt;=100),M49*1%,IF(AND(M49&gt;20,M49&lt;=50),M49*1.5%,IF(AND(M49&gt;10,M49&lt;=20),M49*2%,IF(AND(M49&gt;1,M49&lt;=10),M49*2.5%)))))))))</f>
        <v>744.95500000000004</v>
      </c>
      <c r="M64" s="24">
        <f t="shared" ref="M64:M65" ca="1" si="1">ROUND(L64,1)</f>
        <v>745</v>
      </c>
      <c r="N64" s="138" t="s">
        <v>2244</v>
      </c>
      <c r="Z64" s="2418"/>
      <c r="AI64" s="2419"/>
    </row>
    <row r="65" spans="1:35" ht="14.25" customHeight="1">
      <c r="A65" s="197" t="s">
        <v>771</v>
      </c>
      <c r="B65" s="198" t="s">
        <v>2245</v>
      </c>
      <c r="C65" s="202"/>
      <c r="D65" s="200"/>
      <c r="E65" s="201"/>
      <c r="F65" s="2484"/>
      <c r="G65" s="2484"/>
      <c r="H65" s="2492"/>
      <c r="I65" s="138"/>
      <c r="J65" s="3115"/>
      <c r="K65" s="2494" t="s">
        <v>2246</v>
      </c>
      <c r="L65" s="1750">
        <f ca="1">IF(M49&gt;1000,M49*0.1%,IF(AND(M49&gt;500,M49&lt;=1000),M49*0.5%,IF(AND(M49&gt;50,M49&lt;=500),M49*1%,IF(AND(M49&gt;1,M49&lt;=50),M49*1.5%))))</f>
        <v>148.99100000000001</v>
      </c>
      <c r="M65" s="24">
        <f t="shared" ca="1" si="1"/>
        <v>149</v>
      </c>
      <c r="N65" s="138" t="s">
        <v>2244</v>
      </c>
      <c r="Z65" s="2418"/>
      <c r="AI65" s="2419"/>
    </row>
    <row r="66" spans="1:35" ht="14.25" customHeight="1">
      <c r="A66" s="203" t="s">
        <v>772</v>
      </c>
      <c r="B66" s="204" t="s">
        <v>2247</v>
      </c>
      <c r="C66" s="205"/>
      <c r="D66" s="206" t="s">
        <v>32</v>
      </c>
      <c r="E66" s="1774" t="s">
        <v>1371</v>
      </c>
      <c r="F66" s="2484"/>
      <c r="G66" s="2484"/>
      <c r="H66" s="2492"/>
      <c r="I66" s="138"/>
      <c r="J66" s="3115"/>
      <c r="K66" s="2494" t="s">
        <v>2248</v>
      </c>
      <c r="L66" s="1750">
        <f ca="1">M49*0.5%</f>
        <v>744.95500000000004</v>
      </c>
      <c r="M66" s="24">
        <f ca="1">IF(L66&gt;0.5,0.5,ROUND(L66,0))</f>
        <v>0.5</v>
      </c>
      <c r="N66" s="138" t="s">
        <v>2249</v>
      </c>
      <c r="Z66" s="2418"/>
      <c r="AI66" s="2419"/>
    </row>
    <row r="67" spans="1:35" ht="14.25" customHeight="1">
      <c r="A67" s="203" t="s">
        <v>773</v>
      </c>
      <c r="B67" s="204" t="s">
        <v>2250</v>
      </c>
      <c r="C67" s="207">
        <f ca="1">C63-C66</f>
        <v>141896</v>
      </c>
      <c r="D67" s="200" t="s">
        <v>32</v>
      </c>
      <c r="E67" s="201"/>
      <c r="F67" s="2484"/>
      <c r="G67" s="2484"/>
      <c r="H67" s="2492"/>
      <c r="I67" s="138"/>
      <c r="J67" s="3115"/>
      <c r="K67" s="2494" t="s">
        <v>2251</v>
      </c>
      <c r="L67" s="1750">
        <f ca="1">IF(M49&gt;=10000,(8.25+(M49-10000)*0.01%),IF(AND(M49&gt;=8000,M49&lt;10000),(7.85+(M49-8000)*0.02%),IF(AND(M49&gt;=5000,M49&lt;8000),(6.65+(M49-5000)*0.04%),IF(AND(M49&gt;=2000,M49&lt;5000),(4.25+(PM49-2000)*0.08%),IF(AND(M49&gt;=1000,M49&lt;2000),(2.75+(M49-1000)*0.15%),IF(AND(M49&gt;=100,M49&lt;1000),(0.5+(M49-100)*0.25%),IF(AND(M49&gt;0,M49&lt;100),M49*0.5%)))))))</f>
        <v>22.149100000000001</v>
      </c>
      <c r="M67" s="24">
        <f ca="1">ROUND(L67*0.9,1)</f>
        <v>19.899999999999999</v>
      </c>
      <c r="Z67" s="2418"/>
      <c r="AI67" s="2419"/>
    </row>
    <row r="68" spans="1:35" ht="14.25" customHeight="1" thickBot="1">
      <c r="A68" s="208" t="s">
        <v>774</v>
      </c>
      <c r="B68" s="209" t="s">
        <v>2252</v>
      </c>
      <c r="C68" s="210">
        <f ca="1">IF(C67&lt;=0,0,ROUND(C67*D68,0))</f>
        <v>7804</v>
      </c>
      <c r="D68" s="211">
        <f>'数据-取费表'!B41</f>
        <v>5.5000000000000007E-2</v>
      </c>
      <c r="E68" s="212"/>
      <c r="F68" s="2484"/>
      <c r="G68" s="2484"/>
      <c r="H68" s="2492"/>
      <c r="I68" s="138"/>
      <c r="J68" s="3115"/>
      <c r="K68" s="2494" t="s">
        <v>2253</v>
      </c>
      <c r="L68" s="1750">
        <f ca="1">IF(M49&gt;10000,M49*0.5%,IF(AND(M49&gt;5000,M49&lt;=10000),M49*1%,IF(AND(M49&gt;1000,M49&lt;=5000),M49*2%,IF(AND(M49&gt;200,M49&lt;=1000),M49*3%,M49*5%))))</f>
        <v>744.95500000000004</v>
      </c>
      <c r="M68" s="24">
        <f ca="1">ROUND(L68,1)</f>
        <v>745</v>
      </c>
      <c r="Z68" s="2418"/>
      <c r="AI68" s="2419"/>
    </row>
    <row r="69" spans="1:35" s="2441" customFormat="1" ht="16.5" customHeight="1">
      <c r="A69" s="2495"/>
      <c r="B69" s="2496"/>
      <c r="C69" s="2497"/>
      <c r="D69" s="2498"/>
      <c r="E69" s="2499"/>
      <c r="F69" s="2163"/>
      <c r="G69" s="2163"/>
      <c r="H69" s="2162"/>
      <c r="I69" s="2413"/>
      <c r="J69" s="3115"/>
      <c r="K69" s="2494" t="s">
        <v>2254</v>
      </c>
      <c r="L69" s="2500"/>
      <c r="M69" s="24">
        <f ca="1">ROUND(SUM(M63:M68),0)</f>
        <v>2404</v>
      </c>
      <c r="N69" s="1751">
        <f ca="1">M69/M49</f>
        <v>1.6135202797484413E-2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9" t="s">
        <v>2255</v>
      </c>
      <c r="B70" s="3160"/>
      <c r="C70" s="3160"/>
      <c r="D70" s="3160"/>
      <c r="E70" s="3160"/>
      <c r="F70" s="3160"/>
      <c r="G70" s="3160"/>
      <c r="H70" s="316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0" t="s">
        <v>2236</v>
      </c>
      <c r="B71" s="3151"/>
      <c r="C71" s="1802"/>
      <c r="D71" s="1802" t="s">
        <v>2237</v>
      </c>
      <c r="E71" s="213" t="s">
        <v>2238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2256</v>
      </c>
      <c r="C72" s="207">
        <f ca="1">ROUND(D45/(1+'数据-取费表'!C42),0)</f>
        <v>141896</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2257</v>
      </c>
      <c r="C73" s="207">
        <f ca="1">C74+C78</f>
        <v>709</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2258</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2259</v>
      </c>
      <c r="C75" s="218"/>
      <c r="D75" s="200" t="s">
        <v>32</v>
      </c>
      <c r="E75" s="219" t="s">
        <v>2260</v>
      </c>
      <c r="F75" s="2506" t="s">
        <v>2261</v>
      </c>
      <c r="G75" s="219" t="s">
        <v>2262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2263</v>
      </c>
      <c r="C76" s="200">
        <f>IF(F75="购房发票",ROUND(C75*H75*D76,0),0)</f>
        <v>0</v>
      </c>
      <c r="D76" s="222">
        <v>0.05</v>
      </c>
      <c r="E76" s="3156" t="s">
        <v>2264</v>
      </c>
      <c r="F76" s="3155"/>
      <c r="G76" s="3155"/>
      <c r="H76" s="315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8" t="s">
        <v>2267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2268</v>
      </c>
      <c r="C78" s="225">
        <f ca="1">ROUND(D45*D78/(1+'数据-取费表'!C42),0)</f>
        <v>709</v>
      </c>
      <c r="D78" s="226">
        <f>'数据-取费表'!B43</f>
        <v>5.000000000000001E-3</v>
      </c>
      <c r="E78" s="3147" t="s">
        <v>2269</v>
      </c>
      <c r="F78" s="3148"/>
      <c r="G78" s="3148"/>
      <c r="H78" s="314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2270</v>
      </c>
      <c r="C79" s="207">
        <f ca="1">C72-C73</f>
        <v>141187</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2271</v>
      </c>
      <c r="C80" s="227">
        <f ca="1">IF(C79&lt;=0,0,C79/C73)</f>
        <v>199.13540197461214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2272</v>
      </c>
      <c r="C81" s="228">
        <f ca="1">ROUND(IF(C79&lt;=0,0,IF(C80&gt;=200%,C79*60%-C73*35%,IF(C80&gt;=100%,C79*50%-C73*15%,IF(C80&gt;=50%,C79*40%-C73*5%,IF(C80&lt;50%,C79*30%,0))))),0)</f>
        <v>84464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9" t="s">
        <v>2273</v>
      </c>
      <c r="B83" s="3160"/>
      <c r="C83" s="3160"/>
      <c r="D83" s="3160"/>
      <c r="E83" s="3160"/>
      <c r="F83" s="3160"/>
      <c r="G83" s="3160"/>
      <c r="H83" s="316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0" t="s">
        <v>2236</v>
      </c>
      <c r="B84" s="3151"/>
      <c r="C84" s="1802"/>
      <c r="D84" s="1802" t="s">
        <v>2237</v>
      </c>
      <c r="E84" s="213" t="s">
        <v>2238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2256</v>
      </c>
      <c r="C85" s="207">
        <f ca="1">ROUND(D45/(1+'数据-取费表'!C42),0)</f>
        <v>141896</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2257</v>
      </c>
      <c r="C86" s="207">
        <f ca="1">IF(H88="仅含出让金",C87+C90+C91+C92+C93+C94,C87+C91+C92+C93+C94)</f>
        <v>709</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2274</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2275</v>
      </c>
      <c r="C88" s="236"/>
      <c r="D88" s="226"/>
      <c r="E88" s="237" t="s">
        <v>2276</v>
      </c>
      <c r="F88" s="1798"/>
      <c r="G88" s="238"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2265</v>
      </c>
      <c r="C89" s="225">
        <f>ROUND(C88*D89,0)</f>
        <v>0</v>
      </c>
      <c r="D89" s="226">
        <f>'数据-取费表'!B48+'数据-取费表'!B49</f>
        <v>3.0499999999999999E-2</v>
      </c>
      <c r="E89" s="237" t="s">
        <v>2278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2279</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2280</v>
      </c>
      <c r="B91" s="198" t="s">
        <v>2281</v>
      </c>
      <c r="C91" s="225">
        <f>IF(H91="——",成本法!C33,I91)</f>
        <v>0</v>
      </c>
      <c r="D91" s="226"/>
      <c r="E91" s="3147" t="s">
        <v>2282</v>
      </c>
      <c r="F91" s="3148"/>
      <c r="G91" s="3148"/>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2284</v>
      </c>
      <c r="B92" s="198" t="s">
        <v>2285</v>
      </c>
      <c r="C92" s="225">
        <f>ROUND((C87+C90+C91)*D92,0)</f>
        <v>0</v>
      </c>
      <c r="D92" s="226">
        <v>0.1</v>
      </c>
      <c r="E92" s="3147" t="s">
        <v>2286</v>
      </c>
      <c r="F92" s="3148"/>
      <c r="G92" s="3148"/>
      <c r="H92" s="314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2287</v>
      </c>
      <c r="B93" s="198" t="s">
        <v>2268</v>
      </c>
      <c r="C93" s="225">
        <f ca="1">ROUND(D45*D93/(1+'数据-取费表'!C42),0)</f>
        <v>709</v>
      </c>
      <c r="D93" s="226">
        <f>'数据-取费表'!B43</f>
        <v>5.000000000000001E-3</v>
      </c>
      <c r="E93" s="3147" t="s">
        <v>2269</v>
      </c>
      <c r="F93" s="3148"/>
      <c r="G93" s="3148"/>
      <c r="H93" s="314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2288</v>
      </c>
      <c r="B94" s="198" t="s">
        <v>2289</v>
      </c>
      <c r="C94" s="236">
        <f>ROUND((C87+C90+C91)*D94,0)</f>
        <v>0</v>
      </c>
      <c r="D94" s="226">
        <v>0.2</v>
      </c>
      <c r="E94" s="3195" t="s">
        <v>2290</v>
      </c>
      <c r="F94" s="3196"/>
      <c r="G94" s="3196"/>
      <c r="H94" s="319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2270</v>
      </c>
      <c r="C95" s="207">
        <f ca="1">ROUND(C85-C86,0)</f>
        <v>141187</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2271</v>
      </c>
      <c r="C96" s="227">
        <f ca="1">IF(C95&lt;=0,0,C95/C86)</f>
        <v>199.13540197461214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2272</v>
      </c>
      <c r="C97" s="228">
        <f ca="1">ROUND(IF(C95&lt;=0,0,IF(C96&gt;=200%,C95*60%-C86*35%,IF(C96&gt;=100%,C95*50%-C86*15%,IF(C96&gt;=50%,C95*40%-C86*5%,IF(C96&lt;50%,C95*30%,0))))),0)</f>
        <v>84464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2291</v>
      </c>
      <c r="B99" s="2413"/>
      <c r="C99" s="2413"/>
      <c r="D99" s="2413"/>
      <c r="E99" s="2163"/>
      <c r="F99" s="2163"/>
      <c r="G99" s="2163"/>
      <c r="H99" s="2162"/>
      <c r="I99" s="138"/>
    </row>
    <row r="100" spans="1:35" ht="18.75" customHeight="1">
      <c r="A100" s="3099" t="s">
        <v>2292</v>
      </c>
      <c r="B100" s="3100"/>
      <c r="C100" s="3100"/>
      <c r="D100" s="3131"/>
      <c r="E100" s="3100" t="s">
        <v>2293</v>
      </c>
      <c r="F100" s="3100"/>
      <c r="G100" s="3100"/>
      <c r="H100" s="3131"/>
      <c r="I100" s="138"/>
    </row>
    <row r="101" spans="1:35" ht="18.75" customHeight="1">
      <c r="A101" s="3139" t="s">
        <v>2294</v>
      </c>
      <c r="B101" s="3140"/>
      <c r="C101" s="735" t="str">
        <f>C4</f>
        <v>成本法</v>
      </c>
      <c r="D101" s="736" t="str">
        <f>D4</f>
        <v>收益法（汇总）</v>
      </c>
      <c r="E101" s="3111" t="s">
        <v>2295</v>
      </c>
      <c r="F101" s="3112"/>
      <c r="G101" s="2515" t="s">
        <v>2296</v>
      </c>
      <c r="H101" s="1047">
        <f ca="1">H118</f>
        <v>148991</v>
      </c>
      <c r="I101" s="138"/>
    </row>
    <row r="102" spans="1:35" ht="18.75" customHeight="1">
      <c r="A102" s="3141" t="s">
        <v>2297</v>
      </c>
      <c r="B102" s="2515" t="s">
        <v>2296</v>
      </c>
      <c r="C102" s="735">
        <f ca="1">C19</f>
        <v>200980</v>
      </c>
      <c r="D102" s="736">
        <f ca="1">D19</f>
        <v>71007</v>
      </c>
      <c r="E102" s="3111"/>
      <c r="F102" s="3112"/>
      <c r="G102" s="2515" t="s">
        <v>2298</v>
      </c>
      <c r="H102" s="371">
        <f ca="1">I118</f>
        <v>47237</v>
      </c>
      <c r="I102" s="138"/>
    </row>
    <row r="103" spans="1:35" ht="42.75" customHeight="1">
      <c r="A103" s="3141"/>
      <c r="B103" s="2515" t="s">
        <v>2298</v>
      </c>
      <c r="C103" s="737">
        <f ca="1">C20</f>
        <v>63720</v>
      </c>
      <c r="D103" s="738">
        <f ca="1">D20</f>
        <v>22512</v>
      </c>
      <c r="E103" s="3105" t="s">
        <v>2299</v>
      </c>
      <c r="F103" s="3106"/>
      <c r="G103" s="2516" t="s">
        <v>2300</v>
      </c>
      <c r="H103" s="1047">
        <f>IF(D36="正常操作",H104+H105+H106,H105+H106)</f>
        <v>0</v>
      </c>
      <c r="I103" s="138"/>
    </row>
    <row r="104" spans="1:35" ht="18.75" customHeight="1">
      <c r="A104" s="3141" t="s">
        <v>2301</v>
      </c>
      <c r="B104" s="2517" t="s">
        <v>2296</v>
      </c>
      <c r="C104" s="739">
        <f ca="1">H118</f>
        <v>148991</v>
      </c>
      <c r="D104" s="740"/>
      <c r="E104" s="2263" t="s">
        <v>2302</v>
      </c>
      <c r="F104" s="2255"/>
      <c r="G104" s="2516" t="s">
        <v>2300</v>
      </c>
      <c r="H104" s="1048">
        <f>IF(D36="同一抵押权人同一抵押物续贷",C36&amp;"（未扣减，详见特别提示）",C36)</f>
        <v>0</v>
      </c>
      <c r="I104" s="138"/>
    </row>
    <row r="105" spans="1:35" ht="18.75" customHeight="1" thickBot="1">
      <c r="A105" s="3153"/>
      <c r="B105" s="2518" t="s">
        <v>2298</v>
      </c>
      <c r="C105" s="741">
        <f ca="1">I118</f>
        <v>47237</v>
      </c>
      <c r="D105" s="742"/>
      <c r="E105" s="2263" t="s">
        <v>2303</v>
      </c>
      <c r="F105" s="2255"/>
      <c r="G105" s="2516" t="s">
        <v>2300</v>
      </c>
      <c r="H105" s="1048">
        <f>C37</f>
        <v>0</v>
      </c>
      <c r="I105" s="138"/>
    </row>
    <row r="106" spans="1:35" ht="18.75" customHeight="1">
      <c r="A106" s="2413" t="s">
        <v>2304</v>
      </c>
      <c r="B106" s="2413"/>
      <c r="C106" s="2413"/>
      <c r="D106" s="2413"/>
      <c r="E106" s="2519" t="s">
        <v>2305</v>
      </c>
      <c r="F106" s="2255"/>
      <c r="G106" s="2516" t="s">
        <v>2300</v>
      </c>
      <c r="H106" s="1048">
        <f>C38</f>
        <v>0</v>
      </c>
      <c r="I106" s="138"/>
    </row>
    <row r="107" spans="1:35" ht="18.75" customHeight="1">
      <c r="A107" s="138"/>
      <c r="B107" s="138"/>
      <c r="C107" s="138"/>
      <c r="D107" s="138"/>
      <c r="E107" s="3142" t="str">
        <f>IF(项目基本情况!E8="已注销","——","3.房地产抵押价值")</f>
        <v>3.房地产抵押价值</v>
      </c>
      <c r="F107" s="3112"/>
      <c r="G107" s="2515" t="s">
        <v>2296</v>
      </c>
      <c r="H107" s="1047">
        <f ca="1">IF(E107="——","——",H101-H103)</f>
        <v>148991</v>
      </c>
      <c r="I107" s="138"/>
    </row>
    <row r="108" spans="1:35" ht="18.75" customHeight="1">
      <c r="A108" s="138"/>
      <c r="B108" s="138"/>
      <c r="C108" s="138"/>
      <c r="D108" s="138"/>
      <c r="E108" s="3142"/>
      <c r="F108" s="3112"/>
      <c r="G108" s="2515" t="s">
        <v>2298</v>
      </c>
      <c r="H108" s="371">
        <f ca="1">ROUND(H107*10000/'数据-汇总表'!E3,0)</f>
        <v>47237</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15" t="s">
        <v>2296</v>
      </c>
      <c r="H109" s="348" t="str">
        <f>IF(E109="——","——",H101-H105-H106)</f>
        <v>——</v>
      </c>
      <c r="I109" s="138"/>
    </row>
    <row r="110" spans="1:35" ht="18.75" customHeight="1">
      <c r="A110" s="138"/>
      <c r="B110" s="138"/>
      <c r="C110" s="138"/>
      <c r="D110" s="138"/>
      <c r="E110" s="3142"/>
      <c r="F110" s="3112"/>
      <c r="G110" s="2515"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5" t="s">
        <v>2296</v>
      </c>
      <c r="H111" s="1047" t="str">
        <f>IF(E111="——","——",N59)</f>
        <v>——</v>
      </c>
      <c r="I111" s="138"/>
    </row>
    <row r="112" spans="1:35" ht="18.75" customHeight="1" thickBot="1">
      <c r="A112" s="138"/>
      <c r="B112" s="138"/>
      <c r="C112" s="138"/>
      <c r="D112" s="138"/>
      <c r="E112" s="3145"/>
      <c r="F112" s="3146"/>
      <c r="G112" s="2520" t="s">
        <v>2298</v>
      </c>
      <c r="H112" s="789" t="str">
        <f>IF(E111="——","——",N61)</f>
        <v>——</v>
      </c>
      <c r="I112" s="138"/>
    </row>
    <row r="113" spans="1:11" ht="18.75" customHeight="1">
      <c r="A113" s="138"/>
      <c r="B113" s="138"/>
      <c r="C113" s="138"/>
      <c r="D113" s="138"/>
      <c r="E113" s="3154" t="s">
        <v>2304</v>
      </c>
      <c r="F113" s="3154"/>
      <c r="G113" s="3154"/>
      <c r="H113" s="3154"/>
      <c r="I113" s="138"/>
    </row>
    <row r="114" spans="1:11" ht="3.75" customHeight="1">
      <c r="A114" s="2413"/>
      <c r="B114" s="2413"/>
      <c r="C114" s="2413"/>
      <c r="D114" s="2413"/>
      <c r="E114" s="2491"/>
      <c r="F114" s="2491"/>
      <c r="G114" s="2491"/>
      <c r="H114" s="2491"/>
      <c r="I114" s="2413"/>
    </row>
    <row r="115" spans="1:11" ht="18.75" customHeight="1">
      <c r="A115" s="3167" t="s">
        <v>2306</v>
      </c>
      <c r="B115" s="3168"/>
      <c r="C115" s="3168"/>
      <c r="D115" s="3168"/>
      <c r="E115" s="3168"/>
      <c r="F115" s="3168"/>
      <c r="G115" s="3168"/>
      <c r="H115" s="3168"/>
      <c r="I115" s="3169"/>
    </row>
    <row r="116" spans="1:11" ht="27" customHeight="1">
      <c r="A116" s="3078" t="s">
        <v>2307</v>
      </c>
      <c r="B116" s="3121" t="s">
        <v>2308</v>
      </c>
      <c r="C116" s="3121" t="s">
        <v>2309</v>
      </c>
      <c r="D116" s="3127" t="s">
        <v>2310</v>
      </c>
      <c r="E116" s="3128"/>
      <c r="F116" s="3163" t="s">
        <v>2311</v>
      </c>
      <c r="G116" s="3163"/>
      <c r="H116" s="3078" t="s">
        <v>2312</v>
      </c>
      <c r="I116" s="3078"/>
    </row>
    <row r="117" spans="1:11" ht="18.75" customHeight="1">
      <c r="A117" s="3078"/>
      <c r="B117" s="3122"/>
      <c r="C117" s="3122"/>
      <c r="D117" s="1796" t="s">
        <v>2313</v>
      </c>
      <c r="E117" s="1796" t="s">
        <v>2314</v>
      </c>
      <c r="F117" s="1796" t="s">
        <v>2313</v>
      </c>
      <c r="G117" s="1796" t="s">
        <v>2315</v>
      </c>
      <c r="H117" s="1796" t="s">
        <v>2313</v>
      </c>
      <c r="I117" s="1796" t="s">
        <v>2315</v>
      </c>
    </row>
    <row r="118" spans="1:11" ht="24.75" customHeight="1">
      <c r="A118" s="2521" t="str">
        <f>项目基本情况!S2</f>
        <v>北京市顺义区高丽营镇于庄村西出让国有建设用地使用权及在建建筑物房地产</v>
      </c>
      <c r="B118" s="1796">
        <f>M18</f>
        <v>31541.359999999997</v>
      </c>
      <c r="C118" s="1796">
        <f>M19</f>
        <v>23323.78</v>
      </c>
      <c r="D118" s="1796">
        <f ca="1">ROUND(IF(D32="总价",C34,E118*B118/10000),0)</f>
        <v>138115</v>
      </c>
      <c r="E118" s="1796">
        <f ca="1">ROUND(IF(C33="自定义",IF(D32="楼面单价",C34,D118*10000/B118),I118-G118),0)</f>
        <v>43789</v>
      </c>
      <c r="F118" s="1796">
        <f ca="1">ROUND(IF(D32="总价",C35,G118*B118/10000),0)</f>
        <v>10876</v>
      </c>
      <c r="G118" s="1796">
        <f ca="1">ROUND(IF(D32="楼面单价",C35,F118*10000/B118),0)</f>
        <v>3448</v>
      </c>
      <c r="H118" s="1796">
        <f ca="1">ROUND(IF(D32="总价",C32,I118*B118/10000),0)</f>
        <v>148991</v>
      </c>
      <c r="I118" s="1796">
        <f ca="1">ROUND(IF(D32="楼面单价",C32,H118*10000/B118),0)</f>
        <v>47237</v>
      </c>
    </row>
    <row r="119" spans="1:11" ht="18.75" customHeight="1">
      <c r="A119" s="3078" t="s">
        <v>2316</v>
      </c>
      <c r="B119" s="3078"/>
      <c r="C119" s="3078"/>
      <c r="D119" s="3123" t="str">
        <f ca="1">NUMBERSTRING(INT(D118*10000),2)&amp;"元整"</f>
        <v>壹拾叁亿捌仟壹佰壹拾伍万元整</v>
      </c>
      <c r="E119" s="3124"/>
      <c r="F119" s="3123" t="str">
        <f ca="1">NUMBERSTRING(INT(F118*10000),2)&amp;"元整"</f>
        <v>壹亿零捌佰柒拾陆万元整</v>
      </c>
      <c r="G119" s="3124"/>
      <c r="H119" s="3123" t="str">
        <f ca="1">NUMBERSTRING(INT(H118*10000),2)&amp;"元整"</f>
        <v>壹拾肆亿捌仟玖佰玖拾壹万元整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18" t="str">
        <f>IF(D120=0,"故，本次评估不存在"&amp;A120,"故，本次评估"&amp;A120&amp;"为人民币"&amp;D120&amp;"万元整。")</f>
        <v>故，本次评估不存在估价师知悉的法定优先受偿款</v>
      </c>
    </row>
    <row r="121" spans="1:11" ht="18.75" customHeight="1">
      <c r="A121" s="3164" t="s">
        <v>2316</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148991</v>
      </c>
      <c r="E122" s="3119"/>
      <c r="F122" s="3119"/>
      <c r="G122" s="3119"/>
      <c r="H122" s="3119"/>
      <c r="I122" s="3120"/>
    </row>
    <row r="123" spans="1:11" ht="18.75" customHeight="1">
      <c r="A123" s="3078" t="s">
        <v>2316</v>
      </c>
      <c r="B123" s="3078"/>
      <c r="C123" s="3078"/>
      <c r="D123" s="3123" t="str">
        <f ca="1">NUMBERSTRING(INT(D122*10000),2)&amp;"元整"</f>
        <v>壹拾肆亿捌仟玖佰玖拾壹万元整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8" t="s">
        <v>2316</v>
      </c>
      <c r="B125" s="3078"/>
      <c r="C125" s="3078"/>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8" t="s">
        <v>2316</v>
      </c>
      <c r="B127" s="3078"/>
      <c r="C127" s="3078"/>
      <c r="D127" s="3123" t="e">
        <f>NUMBERSTRING(INT(D126*10000),2)&amp;"元整"</f>
        <v>#VALUE!</v>
      </c>
      <c r="E127" s="3125"/>
      <c r="F127" s="3125"/>
      <c r="G127" s="3125"/>
      <c r="H127" s="3125"/>
      <c r="I127" s="3124"/>
    </row>
    <row r="128" spans="1:11" ht="21.75" customHeight="1">
      <c r="A128" s="3126" t="s">
        <v>2317</v>
      </c>
      <c r="B128" s="3126"/>
      <c r="C128" s="3126"/>
      <c r="D128" s="3126"/>
      <c r="E128" s="3126"/>
      <c r="F128" s="3126"/>
      <c r="G128" s="3126"/>
      <c r="H128" s="3126"/>
      <c r="I128" s="3126"/>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2320</v>
      </c>
      <c r="G135" s="2539"/>
      <c r="H135" s="2539"/>
      <c r="I135" s="2540" t="s">
        <v>2321</v>
      </c>
    </row>
    <row r="136" spans="1:35" ht="21.75" customHeight="1">
      <c r="A136" s="794"/>
      <c r="B136" s="2541"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2323</v>
      </c>
    </row>
    <row r="139" spans="1:35" ht="21.75" customHeight="1">
      <c r="A139" s="794"/>
      <c r="B139" s="2541" t="s">
        <v>2324</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2323</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8"/>
      <c r="C1" s="242"/>
      <c r="D1" s="242"/>
      <c r="E1" s="242"/>
      <c r="F1" s="242"/>
      <c r="G1" s="1381">
        <f>MATCH(B1,'数据-取费表'!A6:A16,0)+5</f>
        <v>10</v>
      </c>
    </row>
    <row r="2" spans="1:9" s="244" customFormat="1" ht="18" customHeight="1">
      <c r="A2" s="245" t="s">
        <v>2326</v>
      </c>
      <c r="B2" s="246">
        <f ca="1">IF(D2="——",C52,C52-E2)</f>
        <v>200980</v>
      </c>
      <c r="C2" s="243" t="s">
        <v>2327</v>
      </c>
      <c r="D2" s="2544" t="s">
        <v>70</v>
      </c>
      <c r="E2" s="1442" t="e">
        <f ca="1">SUMIF(INDIRECT("'"&amp;G2&amp;"'"&amp;"!A:A"),"承租人权益价值",INDIRECT("'"&amp;G2&amp;"'"&amp;"!c:c"))</f>
        <v>#REF!</v>
      </c>
      <c r="F2" s="2545" t="s">
        <v>2327</v>
      </c>
      <c r="G2" s="2546"/>
    </row>
    <row r="3" spans="1:9" s="244" customFormat="1" ht="18" customHeight="1" thickBot="1">
      <c r="A3" s="247" t="s">
        <v>2328</v>
      </c>
      <c r="B3" s="248">
        <f ca="1">ROUND(B2*10000/(IF(B1="",'数据-汇总表'!E3,INDIRECT("'数据-取费表'!k"&amp;$G$1))),0)</f>
        <v>63720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130610</v>
      </c>
      <c r="D5" s="255" t="s">
        <v>2333</v>
      </c>
      <c r="E5" s="256" t="s">
        <v>2334</v>
      </c>
      <c r="F5" s="256" t="s">
        <v>2335</v>
      </c>
      <c r="G5" s="257"/>
    </row>
    <row r="6" spans="1:9" s="258" customFormat="1" ht="13.5" customHeight="1">
      <c r="A6" s="951" t="s">
        <v>2336</v>
      </c>
      <c r="B6" s="259" t="s">
        <v>2337</v>
      </c>
      <c r="C6" s="3346">
        <f>'土地比较法-住宅、综合'!B2</f>
        <v>126744</v>
      </c>
      <c r="D6" s="261"/>
      <c r="E6" s="262"/>
      <c r="F6" s="262"/>
      <c r="G6" s="263"/>
    </row>
    <row r="7" spans="1:9" s="258" customFormat="1" ht="13.5" customHeight="1">
      <c r="A7" s="951" t="s">
        <v>2338</v>
      </c>
      <c r="B7" s="259" t="s">
        <v>2339</v>
      </c>
      <c r="C7" s="264">
        <f>ROUND(C6*F7,0)</f>
        <v>3866</v>
      </c>
      <c r="D7" s="264"/>
      <c r="E7" s="262"/>
      <c r="F7" s="265">
        <f>'数据-取费表'!B48+'数据-取费表'!B49</f>
        <v>3.0499999999999999E-2</v>
      </c>
      <c r="G7" s="263"/>
    </row>
    <row r="8" spans="1:9" s="267" customFormat="1">
      <c r="A8" s="951" t="s">
        <v>2340</v>
      </c>
      <c r="B8" s="259" t="s">
        <v>2341</v>
      </c>
      <c r="C8" s="264">
        <f>IF(G8="已包含在土地购买价格中","0",IF(B1="",'数据-取费表'!B29,IF(G9="全部缴纳",C9+C10,H9)))</f>
        <v>0</v>
      </c>
      <c r="D8" s="266"/>
      <c r="E8" s="264"/>
      <c r="F8" s="265"/>
      <c r="G8" s="2547" t="s">
        <v>3368</v>
      </c>
    </row>
    <row r="9" spans="1:9" s="258" customFormat="1" ht="13.5" customHeight="1">
      <c r="A9" s="952" t="s">
        <v>800</v>
      </c>
      <c r="B9" s="268" t="s">
        <v>2342</v>
      </c>
      <c r="C9" s="269">
        <f ca="1">ROUND(D9*E9/10000,0)</f>
        <v>0</v>
      </c>
      <c r="D9" s="1034">
        <f ca="1">IF(B1="",'数据-汇总表'!E5,IF(INDIRECT("'数据-取费表'!c"&amp;$G$1)="住宅",INDIRECT("'数据-取费表'!k"&amp;$G$1),0))</f>
        <v>0</v>
      </c>
      <c r="E9" s="269">
        <f>'数据-取费表'!B27</f>
        <v>0</v>
      </c>
      <c r="F9" s="265"/>
      <c r="G9" s="2548" t="s">
        <v>3369</v>
      </c>
      <c r="H9" s="1392"/>
      <c r="I9" s="2549" t="s">
        <v>2343</v>
      </c>
    </row>
    <row r="10" spans="1:9" s="258" customFormat="1" ht="13.5" customHeight="1">
      <c r="A10" s="952" t="s">
        <v>801</v>
      </c>
      <c r="B10" s="268" t="s">
        <v>2344</v>
      </c>
      <c r="C10" s="269">
        <f ca="1">ROUND(D10*E10/10000,0)</f>
        <v>0</v>
      </c>
      <c r="D10" s="1034">
        <f ca="1">IF(B1="",'数据-汇总表'!E6,IF(INDIRECT("'数据-取费表'!c"&amp;$G$1)="住宅",INDIRECT("'数据-取费表'!s"&amp;$G$1),INDIRECT("'数据-取费表'!k"&amp;$G$1)+INDIRECT("'数据-取费表'!s"&amp;$G$1)))</f>
        <v>31541.359999999997</v>
      </c>
      <c r="E10" s="269">
        <f>'数据-取费表'!B28</f>
        <v>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2348</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2348</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f ca="1">D9+D10</f>
        <v>31541.359999999997</v>
      </c>
      <c r="E19" s="255">
        <f>'数据-取费表'!B31</f>
        <v>170</v>
      </c>
      <c r="F19" s="275"/>
      <c r="G19" s="2547" t="s">
        <v>3370</v>
      </c>
    </row>
    <row r="20" spans="1:7" s="258" customFormat="1" ht="13.5" customHeight="1">
      <c r="A20" s="299" t="s">
        <v>2357</v>
      </c>
      <c r="B20" s="254" t="s">
        <v>2358</v>
      </c>
      <c r="C20" s="276">
        <f>ROUND((C5+C19)*F20,0)</f>
        <v>3918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6">
        <f ca="1">ROUND(SUM(C23:C25),0)</f>
        <v>9555</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3" t="s">
        <v>2366</v>
      </c>
      <c r="B23" s="259" t="s">
        <v>2367</v>
      </c>
      <c r="C23" s="1357">
        <f ca="1">ROUND(IF('数据-取费表'!B22&lt;=1,C5*F22*'数据-取费表'!B23,C5*(POWER((1+F22),'数据-取费表'!B23)-1)),0)</f>
        <v>9416</v>
      </c>
      <c r="D23" s="282"/>
      <c r="E23" s="282"/>
      <c r="F23" s="283"/>
      <c r="G23" s="284" t="s">
        <v>2368</v>
      </c>
    </row>
    <row r="24" spans="1:7" s="258" customFormat="1" ht="13.5" customHeight="1">
      <c r="A24" s="953"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2372</v>
      </c>
      <c r="B25" s="259" t="s">
        <v>2373</v>
      </c>
      <c r="C25" s="1357">
        <f ca="1">ROUND(IF('数据-取费表'!B22&lt;=1,C20*F22*'数据-取费表'!B23/2,C20*(POWER((1+F22),'数据-取费表'!B23/2)-1)),0)</f>
        <v>139</v>
      </c>
      <c r="D25" s="282"/>
      <c r="E25" s="285"/>
      <c r="F25" s="283"/>
      <c r="G25" s="286" t="s">
        <v>2374</v>
      </c>
    </row>
    <row r="26" spans="1:7" s="258" customFormat="1">
      <c r="A26" s="953"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25560</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ROUND((C5+C19+C20)*F27*'数据-取费表'!B21/'数据-取费表'!B20,0)</f>
        <v>25560</v>
      </c>
      <c r="D28" s="279"/>
      <c r="E28" s="280"/>
      <c r="F28" s="290"/>
      <c r="G28" s="291"/>
    </row>
    <row r="29" spans="1:7" s="258" customFormat="1" ht="13.5" customHeight="1">
      <c r="A29" s="953" t="s">
        <v>792</v>
      </c>
      <c r="B29" s="292" t="s">
        <v>2381</v>
      </c>
      <c r="C29" s="282">
        <f ca="1">ROUND(C21*F27*'数据-取费表'!B21/'数据-取费表'!B20,4)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186257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10625</v>
      </c>
      <c r="D33" s="276"/>
      <c r="E33" s="256"/>
      <c r="F33" s="285"/>
      <c r="G33" s="278"/>
    </row>
    <row r="34" spans="1:7" s="302" customFormat="1" ht="13.5" customHeight="1">
      <c r="A34" s="953" t="s">
        <v>791</v>
      </c>
      <c r="B34" s="259" t="s">
        <v>2389</v>
      </c>
      <c r="C34" s="264">
        <f ca="1">IF(B1="",IF(F34=100%,'数据-取费表'!M16,'数据-取费表'!O16),IF(F34=100%,INDIRECT("'数据-取费表'!m"&amp;$G$1)+INDIRECT("'数据-取费表'!t"&amp;$G$1),INDIRECT("'数据-取费表'!o"&amp;$G$1)+INDIRECT("'数据-取费表'!aq"&amp;$G$1)))</f>
        <v>9129</v>
      </c>
      <c r="D34" s="261"/>
      <c r="E34" s="264"/>
      <c r="F34" s="301">
        <f ca="1">IF('数据-取费表'!B24=0,1,IF(B1="",'数据-取费表'!N16,INDIRECT("'数据-取费表'!n"&amp;$G$1)))</f>
        <v>1</v>
      </c>
      <c r="G34" s="263" t="s">
        <v>2390</v>
      </c>
    </row>
    <row r="35" spans="1:7" ht="13.5" customHeight="1">
      <c r="A35" s="953" t="s">
        <v>796</v>
      </c>
      <c r="B35" s="259" t="s">
        <v>2391</v>
      </c>
      <c r="C35" s="264">
        <f ca="1">ROUND(C34*F35,0)</f>
        <v>365</v>
      </c>
      <c r="D35" s="264"/>
      <c r="E35" s="264"/>
      <c r="F35" s="303">
        <f>'数据-取费表'!B33</f>
        <v>0.04</v>
      </c>
      <c r="G35" s="263" t="s">
        <v>2392</v>
      </c>
    </row>
    <row r="36" spans="1:7" ht="24">
      <c r="A36" s="953" t="s">
        <v>797</v>
      </c>
      <c r="B36" s="259" t="s">
        <v>2393</v>
      </c>
      <c r="C36" s="264">
        <f ca="1">ROUND(IF(B1="",SUMIF('数据-取费表'!C:C,"住宅",IF(F34=100%,'数据-取费表'!M:M,'数据-取费表'!O:O))*F36,IF(INDIRECT("'数据-取费表'!c"&amp;$G$1)="住宅",IF(F34=100%,INDIRECT("'数据-取费表'!m"&amp;$G$1)*F36,INDIRECT("'数据-取费表'!o"&amp;$G$1)*F36),0)),0)</f>
        <v>363</v>
      </c>
      <c r="D36" s="264"/>
      <c r="E36" s="264"/>
      <c r="F36" s="303">
        <f>'数据-取费表'!B34</f>
        <v>0.05</v>
      </c>
      <c r="G36" s="304" t="s">
        <v>2394</v>
      </c>
    </row>
    <row r="37" spans="1:7" s="302" customFormat="1" ht="13.5" customHeight="1">
      <c r="A37" s="953" t="s">
        <v>798</v>
      </c>
      <c r="B37" s="259" t="s">
        <v>2395</v>
      </c>
      <c r="C37" s="293">
        <f ca="1">ROUND(E37*D37*F34/10000,0)</f>
        <v>631</v>
      </c>
      <c r="D37" s="261">
        <f ca="1">D19</f>
        <v>31541.359999999997</v>
      </c>
      <c r="E37" s="293">
        <f>'数据-取费表'!B35</f>
        <v>200</v>
      </c>
      <c r="F37" s="303"/>
      <c r="G37" s="305" t="s">
        <v>2396</v>
      </c>
    </row>
    <row r="38" spans="1:7" ht="13.5" customHeight="1">
      <c r="A38" s="953" t="s">
        <v>799</v>
      </c>
      <c r="B38" s="259" t="s">
        <v>2397</v>
      </c>
      <c r="C38" s="264">
        <f ca="1">ROUND(C34*F38,0)</f>
        <v>137</v>
      </c>
      <c r="D38" s="264"/>
      <c r="E38" s="264"/>
      <c r="F38" s="303">
        <f>'数据-取费表'!B36</f>
        <v>1.4999999999999999E-2</v>
      </c>
      <c r="G38" s="263" t="s">
        <v>2392</v>
      </c>
    </row>
    <row r="39" spans="1:7" s="258" customFormat="1" ht="13.5" customHeight="1">
      <c r="A39" s="299" t="s">
        <v>2398</v>
      </c>
      <c r="B39" s="254" t="s">
        <v>2399</v>
      </c>
      <c r="C39" s="276">
        <f ca="1">ROUND(C33*F20,0)</f>
        <v>319</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387</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ROUND(IF('数据-取费表'!B22&lt;=1,C33*F22*'数据-取费表'!B21/2,C33*(POWER((1+F22),'数据-取费表'!B21/2)-1)),0)</f>
        <v>376</v>
      </c>
      <c r="D42" s="282"/>
      <c r="E42" s="282"/>
      <c r="F42" s="283"/>
      <c r="G42" s="3198" t="s">
        <v>2408</v>
      </c>
    </row>
    <row r="43" spans="1:7" ht="13.5" customHeight="1">
      <c r="A43" s="953" t="s">
        <v>792</v>
      </c>
      <c r="B43" s="259" t="s">
        <v>2409</v>
      </c>
      <c r="C43" s="282">
        <f ca="1">ROUND(IF('数据-取费表'!B22&lt;=1,C39*F22*'数据-取费表'!B21/2,C39*(POWER((1+F22),'数据-取费表'!B21/2)-1)),0)</f>
        <v>11</v>
      </c>
      <c r="D43" s="282"/>
      <c r="E43" s="282"/>
      <c r="F43" s="283"/>
      <c r="G43" s="3199"/>
    </row>
    <row r="44" spans="1:7" ht="13.5" customHeight="1">
      <c r="A44" s="953" t="s">
        <v>793</v>
      </c>
      <c r="B44" s="259" t="s">
        <v>2410</v>
      </c>
      <c r="C44" s="282">
        <f ca="1">ROUND(IF('数据-取费表'!B22&lt;=1,C40*F22*'数据-取费表'!B21/2,C40*(POWER((1+F22),'数据-取费表'!B21/2)-1)),4)</f>
        <v>1.1000000000000001E-3</v>
      </c>
      <c r="D44" s="282"/>
      <c r="E44" s="282"/>
      <c r="F44" s="283"/>
      <c r="G44" s="3200"/>
    </row>
    <row r="45" spans="1:7" s="258" customFormat="1" ht="13.5" customHeight="1">
      <c r="A45" s="299" t="s">
        <v>2411</v>
      </c>
      <c r="B45" s="288" t="s">
        <v>2377</v>
      </c>
      <c r="C45" s="289">
        <f ca="1">C46</f>
        <v>2079</v>
      </c>
      <c r="D45" s="279">
        <f ca="1">C47</f>
        <v>5.7000000000000002E-3</v>
      </c>
      <c r="E45" s="280" t="s">
        <v>2403</v>
      </c>
      <c r="F45" s="290"/>
      <c r="G45" s="291" t="s">
        <v>2412</v>
      </c>
    </row>
    <row r="46" spans="1:7" s="258" customFormat="1" ht="13.5" customHeight="1">
      <c r="A46" s="953" t="s">
        <v>791</v>
      </c>
      <c r="B46" s="292" t="s">
        <v>2413</v>
      </c>
      <c r="C46" s="293">
        <f ca="1">ROUND((C33+C39)*F27,0)</f>
        <v>2079</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1729">
        <f>ROUND(F30/(1+'数据-取费表'!C42),4)</f>
        <v>5.2400000000000002E-2</v>
      </c>
      <c r="D48" s="280" t="s">
        <v>2403</v>
      </c>
      <c r="E48" s="276"/>
      <c r="F48" s="281"/>
      <c r="G48" s="278" t="s">
        <v>2416</v>
      </c>
    </row>
    <row r="49" spans="1:7" ht="16.5" customHeight="1">
      <c r="A49" s="299" t="s">
        <v>2382</v>
      </c>
      <c r="B49" s="254" t="s">
        <v>2417</v>
      </c>
      <c r="C49" s="276">
        <f ca="1">ROUND((C33+C39+C41+C45)/(1-C40-D41-D45-C48),0)</f>
        <v>14723</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14723</v>
      </c>
      <c r="D51" s="276"/>
      <c r="E51" s="276"/>
      <c r="F51" s="308"/>
      <c r="G51" s="278" t="s">
        <v>2424</v>
      </c>
    </row>
    <row r="52" spans="1:7" s="252" customFormat="1" ht="16.5" thickBot="1">
      <c r="A52" s="309" t="s">
        <v>2425</v>
      </c>
      <c r="B52" s="310"/>
      <c r="C52" s="311">
        <f ca="1">C31+C51</f>
        <v>200980</v>
      </c>
      <c r="D52" s="310"/>
      <c r="E52" s="310"/>
      <c r="F52" s="310"/>
      <c r="G52" s="312"/>
    </row>
    <row r="55" spans="1:7" ht="15">
      <c r="B55" s="314" t="s">
        <v>2426</v>
      </c>
      <c r="C55" s="315"/>
    </row>
    <row r="56" spans="1:7">
      <c r="B56" s="317" t="s">
        <v>1513</v>
      </c>
      <c r="C56" s="319">
        <f ca="1">1-C57</f>
        <v>0.92700000000000005</v>
      </c>
    </row>
    <row r="57" spans="1:7">
      <c r="B57" s="317" t="s">
        <v>1514</v>
      </c>
      <c r="C57" s="318">
        <f ca="1">ROUND(C51/C52,3)</f>
        <v>7.2999999999999995E-2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2" t="str">
        <f>项目基本情况!B1</f>
        <v>北京市顺义区高丽营镇于庄村西出让国有建设用地使用权及在建建筑物房地产抵押价值预评估</v>
      </c>
      <c r="C37" s="3012"/>
      <c r="D37" s="3012"/>
      <c r="E37" s="3012"/>
      <c r="F37" s="3012"/>
      <c r="G37" s="3012"/>
      <c r="H37" s="3012"/>
      <c r="I37" s="3012"/>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8"/>
      <c r="C1" s="2550"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15488</v>
      </c>
      <c r="C2" s="243" t="s">
        <v>2327</v>
      </c>
      <c r="D2" s="2544" t="s">
        <v>70</v>
      </c>
      <c r="E2" s="1442" t="e">
        <f ca="1">SUMIF(INDIRECT("'"&amp;G2&amp;"'"&amp;"!A:A"),"承租人权益价值",INDIRECT("'"&amp;G2&amp;"'"&amp;"!c:c"))</f>
        <v>#REF!</v>
      </c>
      <c r="F2" s="2545" t="s">
        <v>2327</v>
      </c>
      <c r="G2" s="2546"/>
    </row>
    <row r="3" spans="1:8" s="244" customFormat="1" ht="18" customHeight="1" thickBot="1">
      <c r="A3" s="247" t="s">
        <v>2328</v>
      </c>
      <c r="B3" s="248">
        <f ca="1">ROUND(B2*10000/(IF(B1="",'数据-汇总表'!E3,INDIRECT("'数据-取费表'!k"&amp;$G$1))),0)</f>
        <v>4910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1" t="s">
        <v>2336</v>
      </c>
      <c r="B6" s="259" t="s">
        <v>2337</v>
      </c>
      <c r="C6" s="260"/>
      <c r="D6" s="261"/>
      <c r="E6" s="262"/>
      <c r="F6" s="262"/>
      <c r="G6" s="263"/>
    </row>
    <row r="7" spans="1:8" s="258" customFormat="1" ht="13.5" customHeight="1">
      <c r="A7" s="951" t="s">
        <v>2338</v>
      </c>
      <c r="B7" s="259" t="s">
        <v>2339</v>
      </c>
      <c r="C7" s="264">
        <f>ROUND(C6*F7,0)</f>
        <v>0</v>
      </c>
      <c r="D7" s="264"/>
      <c r="E7" s="262"/>
      <c r="F7" s="265">
        <f>'数据-取费表'!B48+'数据-取费表'!B49</f>
        <v>3.0499999999999999E-2</v>
      </c>
      <c r="G7" s="263"/>
    </row>
    <row r="8" spans="1:8" s="267" customFormat="1">
      <c r="A8" s="951" t="s">
        <v>2340</v>
      </c>
      <c r="B8" s="259" t="s">
        <v>2341</v>
      </c>
      <c r="C8" s="264">
        <f ca="1">IF(G8="已包含在土地购买价格中",0,C9+C10)</f>
        <v>0</v>
      </c>
      <c r="D8" s="266"/>
      <c r="E8" s="264"/>
      <c r="F8" s="265"/>
      <c r="G8" s="2547"/>
    </row>
    <row r="9" spans="1:8" s="258" customFormat="1" ht="13.5" customHeight="1">
      <c r="A9" s="952" t="s">
        <v>800</v>
      </c>
      <c r="B9" s="268" t="s">
        <v>2342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2344</v>
      </c>
      <c r="C10" s="269">
        <f ca="1">ROUND(D10*E10,0)</f>
        <v>0</v>
      </c>
      <c r="D10" s="1034">
        <f ca="1">IF(B1="",'数据-汇总表'!E6,IF(INDIRECT("'数据-取费表'!c"&amp;$G$1)="住宅",INDIRECT("'数据-取费表'!s"&amp;$G$1),INDIRECT("'数据-取费表'!k"&amp;$G$1)+INDIRECT("'数据-取费表'!s"&amp;$G$1)))</f>
        <v>31541.359999999997</v>
      </c>
      <c r="E10" s="269">
        <f>'数据-取费表'!B28</f>
        <v>0</v>
      </c>
      <c r="F10" s="265"/>
      <c r="G10" s="270"/>
    </row>
    <row r="11" spans="1:8" s="258" customFormat="1" ht="13.5" hidden="1" customHeight="1">
      <c r="A11" s="271" t="s">
        <v>7</v>
      </c>
      <c r="B11" s="259" t="s">
        <v>2345</v>
      </c>
      <c r="C11" s="255"/>
      <c r="D11" s="1036"/>
      <c r="E11" s="262"/>
      <c r="F11" s="262"/>
      <c r="G11" s="263"/>
    </row>
    <row r="12" spans="1:8" s="258" customFormat="1" ht="13.5" hidden="1" customHeight="1">
      <c r="A12" s="271" t="s">
        <v>8</v>
      </c>
      <c r="B12" s="259" t="s">
        <v>2428</v>
      </c>
      <c r="C12" s="255">
        <v>0</v>
      </c>
      <c r="D12" s="1036"/>
      <c r="E12" s="272"/>
      <c r="F12" s="265">
        <v>3.0499999999999999E-2</v>
      </c>
      <c r="G12" s="263"/>
    </row>
    <row r="13" spans="1:8" s="258" customFormat="1" ht="13.5" hidden="1" customHeight="1">
      <c r="A13" s="271" t="s">
        <v>9</v>
      </c>
      <c r="B13" s="259" t="s">
        <v>2429</v>
      </c>
      <c r="C13" s="255"/>
      <c r="D13" s="1036"/>
      <c r="E13" s="262"/>
      <c r="F13" s="262"/>
      <c r="G13" s="263"/>
    </row>
    <row r="14" spans="1:8" s="258" customFormat="1" ht="13.5" hidden="1" customHeight="1">
      <c r="A14" s="271" t="s">
        <v>10</v>
      </c>
      <c r="B14" s="259" t="s">
        <v>2341</v>
      </c>
      <c r="C14" s="255"/>
      <c r="D14" s="1036"/>
      <c r="E14" s="262"/>
      <c r="F14" s="262"/>
      <c r="G14" s="263" t="s">
        <v>2430</v>
      </c>
    </row>
    <row r="15" spans="1:8" s="258" customFormat="1" ht="13.5" hidden="1" customHeight="1">
      <c r="A15" s="271" t="s">
        <v>11</v>
      </c>
      <c r="B15" s="259" t="s">
        <v>2431</v>
      </c>
      <c r="C15" s="264"/>
      <c r="D15" s="1036"/>
      <c r="E15" s="262"/>
      <c r="F15" s="262"/>
      <c r="G15" s="263" t="s">
        <v>2432</v>
      </c>
    </row>
    <row r="16" spans="1:8" s="258" customFormat="1" ht="13.5" hidden="1" customHeight="1">
      <c r="A16" s="271" t="s">
        <v>12</v>
      </c>
      <c r="B16" s="259" t="s">
        <v>2341</v>
      </c>
      <c r="C16" s="264"/>
      <c r="D16" s="1036"/>
      <c r="E16" s="262"/>
      <c r="F16" s="262"/>
      <c r="G16" s="263"/>
    </row>
    <row r="17" spans="1:7" s="258" customFormat="1" ht="13.5" hidden="1" customHeight="1">
      <c r="A17" s="271" t="s">
        <v>13</v>
      </c>
      <c r="B17" s="259" t="s">
        <v>2433</v>
      </c>
      <c r="C17" s="273"/>
      <c r="D17" s="1037"/>
      <c r="E17" s="273"/>
      <c r="F17" s="273"/>
      <c r="G17" s="263" t="s">
        <v>2432</v>
      </c>
    </row>
    <row r="18" spans="1:7" s="258" customFormat="1" ht="13.5" hidden="1" customHeight="1">
      <c r="A18" s="271" t="s">
        <v>14</v>
      </c>
      <c r="B18" s="259" t="s">
        <v>2434</v>
      </c>
      <c r="C18" s="264">
        <v>0</v>
      </c>
      <c r="D18" s="1036"/>
      <c r="E18" s="262"/>
      <c r="F18" s="265">
        <v>3.0499999999999999E-2</v>
      </c>
      <c r="G18" s="263" t="s">
        <v>2435</v>
      </c>
    </row>
    <row r="19" spans="1:7" s="267" customFormat="1" ht="13.5" customHeight="1">
      <c r="A19" s="299" t="s">
        <v>2436</v>
      </c>
      <c r="B19" s="254" t="s">
        <v>2437</v>
      </c>
      <c r="C19" s="255">
        <f ca="1">IF(G19="已包含在土地取得成本中","0",ROUND(D19*E19,0))</f>
        <v>5362031</v>
      </c>
      <c r="D19" s="1038">
        <f ca="1">D9+D10</f>
        <v>31541.359999999997</v>
      </c>
      <c r="E19" s="255">
        <f>'数据-取费表'!B31</f>
        <v>170</v>
      </c>
      <c r="F19" s="275"/>
      <c r="G19" s="2547"/>
    </row>
    <row r="20" spans="1:7" s="258" customFormat="1" ht="13.5" customHeight="1">
      <c r="A20" s="299" t="s">
        <v>2438</v>
      </c>
      <c r="B20" s="254" t="s">
        <v>2439</v>
      </c>
      <c r="C20" s="276">
        <f ca="1">ROUND((C5+C19)*F20,0)</f>
        <v>160861</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2">
        <f ca="1">ROUND(SUM(C23:C25),0)</f>
        <v>392243</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3" t="s">
        <v>2336</v>
      </c>
      <c r="B23" s="259" t="s">
        <v>2447</v>
      </c>
      <c r="C23" s="1383">
        <f ca="1">ROUND(IF('数据-取费表'!B22&lt;=1,C5*F22*'数据-取费表'!B22,C5*(POWER((1+F22),'数据-取费表'!B22)-1)),0)</f>
        <v>0</v>
      </c>
      <c r="D23" s="282"/>
      <c r="E23" s="282"/>
      <c r="F23" s="283"/>
      <c r="G23" s="284" t="s">
        <v>2448</v>
      </c>
    </row>
    <row r="24" spans="1:7" s="258" customFormat="1" ht="13.5" customHeight="1">
      <c r="A24" s="953" t="s">
        <v>2338</v>
      </c>
      <c r="B24" s="259" t="s">
        <v>2449</v>
      </c>
      <c r="C24" s="1383">
        <f ca="1">ROUND(IF('数据-取费表'!B22&lt;=1,C19*F22*('数据-取费表'!B19/2+'数据-取费表'!B20),C19*(POWER((1+F22),('数据-取费表'!B19/2+'数据-取费表'!B20))-1)),0)</f>
        <v>386546</v>
      </c>
      <c r="D24" s="282"/>
      <c r="E24" s="282"/>
      <c r="F24" s="283"/>
      <c r="G24" s="284" t="s">
        <v>2450</v>
      </c>
    </row>
    <row r="25" spans="1:7" s="258" customFormat="1" ht="24">
      <c r="A25" s="953" t="s">
        <v>2340</v>
      </c>
      <c r="B25" s="259" t="s">
        <v>2451</v>
      </c>
      <c r="C25" s="1383">
        <f ca="1">ROUND(IF('数据-取费表'!B22&lt;=1,C20*F22*'数据-取费表'!B22/2,C20*(POWER((1+F22),'数据-取费表'!B22/2)-1)),0)</f>
        <v>5697</v>
      </c>
      <c r="D25" s="282"/>
      <c r="E25" s="285"/>
      <c r="F25" s="283"/>
      <c r="G25" s="286" t="s">
        <v>2452</v>
      </c>
    </row>
    <row r="26" spans="1:7" s="258" customFormat="1">
      <c r="A26" s="953"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1049349</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ROUND((C5+C19+C20)*F27,0)</f>
        <v>1049349</v>
      </c>
      <c r="D28" s="279"/>
      <c r="E28" s="280"/>
      <c r="F28" s="290"/>
      <c r="G28" s="291"/>
    </row>
    <row r="29" spans="1:7" s="258" customFormat="1" ht="13.5" customHeight="1">
      <c r="A29" s="953" t="s">
        <v>792</v>
      </c>
      <c r="B29" s="292" t="s">
        <v>2381</v>
      </c>
      <c r="C29" s="282">
        <f ca="1">ROUND(C21*F27,4)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7646557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106242303</v>
      </c>
      <c r="D33" s="276"/>
      <c r="E33" s="256"/>
      <c r="F33" s="285"/>
      <c r="G33" s="278"/>
    </row>
    <row r="34" spans="1:7" s="302" customFormat="1" ht="13.5" customHeight="1">
      <c r="A34" s="953" t="s">
        <v>791</v>
      </c>
      <c r="B34" s="259" t="s">
        <v>2389</v>
      </c>
      <c r="C34" s="264">
        <f ca="1">ROUND(IF(B1="",SUMPRODUCT('数据-取费表'!K6:K14,'数据-取费表'!L6:L14),INDIRECT("'数据-取费表'!l"&amp;$G$1)*INDIRECT("'数据-取费表'!k"&amp;$G$1)+'数据-取费表'!L14*INDIRECT("'数据-取费表'!S"&amp;$G$1)),0)</f>
        <v>91287968</v>
      </c>
      <c r="D34" s="261"/>
      <c r="E34" s="264"/>
      <c r="F34" s="301"/>
      <c r="G34" s="263"/>
    </row>
    <row r="35" spans="1:7" ht="13.5" customHeight="1">
      <c r="A35" s="953" t="s">
        <v>796</v>
      </c>
      <c r="B35" s="259" t="s">
        <v>2391</v>
      </c>
      <c r="C35" s="264">
        <f ca="1">ROUND(C34*F35,0)</f>
        <v>3651519</v>
      </c>
      <c r="D35" s="264"/>
      <c r="E35" s="264"/>
      <c r="F35" s="303">
        <f>'数据-取费表'!B33</f>
        <v>0.04</v>
      </c>
      <c r="G35" s="263" t="s">
        <v>2392</v>
      </c>
    </row>
    <row r="36" spans="1:7" ht="24">
      <c r="A36" s="953" t="s">
        <v>797</v>
      </c>
      <c r="B36" s="259" t="s">
        <v>2393</v>
      </c>
      <c r="C36" s="264">
        <f ca="1">ROUND(IF(B1="",SUM('数据-取费表'!AP6:AP13)*F36,IF(INDIRECT("'数据-取费表'!c"&amp;$G$1)="住宅",INDIRECT("'数据-取费表'!k"&amp;$G$1)*INDIRECT("'数据-取费表'!l"&amp;$G$1)*F36,0)),0)</f>
        <v>3625224</v>
      </c>
      <c r="D36" s="264"/>
      <c r="E36" s="264"/>
      <c r="F36" s="303">
        <f>'数据-取费表'!B34</f>
        <v>0.05</v>
      </c>
      <c r="G36" s="304" t="s">
        <v>2394</v>
      </c>
    </row>
    <row r="37" spans="1:7" s="302" customFormat="1" ht="13.5" customHeight="1">
      <c r="A37" s="953" t="s">
        <v>798</v>
      </c>
      <c r="B37" s="259" t="s">
        <v>2395</v>
      </c>
      <c r="C37" s="293">
        <f ca="1">ROUND(E37*D37,0)</f>
        <v>6308272</v>
      </c>
      <c r="D37" s="261">
        <f ca="1">D19</f>
        <v>31541.359999999997</v>
      </c>
      <c r="E37" s="293">
        <f>'数据-取费表'!B35</f>
        <v>200</v>
      </c>
      <c r="F37" s="303"/>
      <c r="G37" s="305"/>
    </row>
    <row r="38" spans="1:7" ht="13.5" customHeight="1">
      <c r="A38" s="953" t="s">
        <v>799</v>
      </c>
      <c r="B38" s="259" t="s">
        <v>2397</v>
      </c>
      <c r="C38" s="264">
        <f ca="1">ROUND(C34*F38,0)</f>
        <v>1369320</v>
      </c>
      <c r="D38" s="264"/>
      <c r="E38" s="264"/>
      <c r="F38" s="303">
        <f>'数据-取费表'!B36</f>
        <v>1.4999999999999999E-2</v>
      </c>
      <c r="G38" s="263" t="s">
        <v>2392</v>
      </c>
    </row>
    <row r="39" spans="1:7" s="258" customFormat="1" ht="13.5" customHeight="1">
      <c r="A39" s="299" t="s">
        <v>2398</v>
      </c>
      <c r="B39" s="254" t="s">
        <v>2399</v>
      </c>
      <c r="C39" s="276">
        <f ca="1">ROUND(C33*F20,0)</f>
        <v>3187269</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3875728</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ROUND(IF('数据-取费表'!B22&lt;=1,C33*F22*'数据-取费表'!B20/2,C33*(POWER((1+F22),'数据-取费表'!B20/2)-1)),0)</f>
        <v>3762843</v>
      </c>
      <c r="D42" s="282"/>
      <c r="E42" s="282"/>
      <c r="F42" s="283"/>
      <c r="G42" s="3198" t="s">
        <v>2455</v>
      </c>
    </row>
    <row r="43" spans="1:7" ht="13.5" customHeight="1">
      <c r="A43" s="953" t="s">
        <v>792</v>
      </c>
      <c r="B43" s="259" t="s">
        <v>2409</v>
      </c>
      <c r="C43" s="282">
        <f ca="1">ROUND(IF('数据-取费表'!B22&lt;=1,C39*F22*'数据-取费表'!B20/2,C39*(POWER((1+F22),'数据-取费表'!B20/2)-1)),0)</f>
        <v>112885</v>
      </c>
      <c r="D43" s="282"/>
      <c r="E43" s="282"/>
      <c r="F43" s="283"/>
      <c r="G43" s="3199"/>
    </row>
    <row r="44" spans="1:7" ht="13.5" customHeight="1">
      <c r="A44" s="953" t="s">
        <v>793</v>
      </c>
      <c r="B44" s="259" t="s">
        <v>2410</v>
      </c>
      <c r="C44" s="282">
        <f ca="1">ROUND(IF('数据-取费表'!B22&lt;=1,C40*F22*'数据-取费表'!B20/2,C40*(POWER((1+F22),'数据-取费表'!B20/2)-1)),4)</f>
        <v>1.1000000000000001E-3</v>
      </c>
      <c r="D44" s="282"/>
      <c r="E44" s="282"/>
      <c r="F44" s="283"/>
      <c r="G44" s="3200"/>
    </row>
    <row r="45" spans="1:7" s="258" customFormat="1" ht="13.5" customHeight="1">
      <c r="A45" s="299" t="s">
        <v>2411</v>
      </c>
      <c r="B45" s="288" t="s">
        <v>2377</v>
      </c>
      <c r="C45" s="289">
        <f ca="1">C46</f>
        <v>20791619</v>
      </c>
      <c r="D45" s="279">
        <f ca="1">C47</f>
        <v>5.7000000000000002E-3</v>
      </c>
      <c r="E45" s="280" t="s">
        <v>2403</v>
      </c>
      <c r="F45" s="290"/>
      <c r="G45" s="291" t="s">
        <v>2412</v>
      </c>
    </row>
    <row r="46" spans="1:7" s="258" customFormat="1" ht="13.5" customHeight="1">
      <c r="A46" s="953" t="s">
        <v>791</v>
      </c>
      <c r="B46" s="292" t="s">
        <v>2413</v>
      </c>
      <c r="C46" s="293">
        <f ca="1">ROUND((C33+C39)*F27,0)</f>
        <v>20791619</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147229819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147229819</v>
      </c>
      <c r="D51" s="276"/>
      <c r="E51" s="276"/>
      <c r="F51" s="308"/>
      <c r="G51" s="278" t="s">
        <v>2424</v>
      </c>
    </row>
    <row r="52" spans="1:7" s="252" customFormat="1" ht="16.5" thickBot="1">
      <c r="A52" s="309" t="s">
        <v>2425</v>
      </c>
      <c r="B52" s="310"/>
      <c r="C52" s="311">
        <f ca="1">C31+C51</f>
        <v>154876376</v>
      </c>
      <c r="D52" s="310"/>
      <c r="E52" s="310"/>
      <c r="F52" s="310"/>
      <c r="G52" s="312"/>
    </row>
    <row r="55" spans="1:7" ht="15">
      <c r="B55" s="314" t="s">
        <v>2426</v>
      </c>
      <c r="C55" s="315"/>
    </row>
    <row r="56" spans="1:7">
      <c r="B56" s="317" t="s">
        <v>1513</v>
      </c>
      <c r="C56" s="319">
        <f ca="1">1-C57</f>
        <v>4.9000000000000044E-2</v>
      </c>
    </row>
    <row r="57" spans="1:7">
      <c r="B57" s="317" t="s">
        <v>1514</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B65" sqref="B6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2326</v>
      </c>
      <c r="B2" s="671">
        <f>F66</f>
        <v>126744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2328</v>
      </c>
      <c r="B3" s="609">
        <f>ROUND(IF(D3="",B2*10000/'数据-汇总表'!E3,B2*10000/D3),0)</f>
        <v>40183</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19" t="s">
        <v>2643</v>
      </c>
      <c r="D4" s="3220"/>
      <c r="E4" s="3221" t="s">
        <v>2644</v>
      </c>
      <c r="F4" s="3222"/>
      <c r="G4" s="3219" t="s">
        <v>2645</v>
      </c>
      <c r="H4" s="3220"/>
      <c r="I4" s="3219" t="s">
        <v>2646</v>
      </c>
      <c r="J4" s="3220"/>
      <c r="K4" s="610" t="s">
        <v>2647</v>
      </c>
      <c r="L4" s="1132"/>
      <c r="M4" s="1133"/>
      <c r="N4" s="1133"/>
      <c r="O4" s="1133"/>
      <c r="P4" s="3223" t="s">
        <v>2648</v>
      </c>
      <c r="Q4" s="3224"/>
      <c r="R4" s="3206" t="s">
        <v>2644</v>
      </c>
      <c r="S4" s="3207"/>
      <c r="T4" s="3206" t="s">
        <v>2645</v>
      </c>
      <c r="U4" s="3207"/>
      <c r="V4" s="3231" t="s">
        <v>2646</v>
      </c>
      <c r="W4" s="3231"/>
      <c r="X4" s="1814"/>
      <c r="Y4" s="3206" t="s">
        <v>2648</v>
      </c>
      <c r="Z4" s="3207"/>
      <c r="AA4" s="3201" t="s">
        <v>2644</v>
      </c>
      <c r="AB4" s="3202" t="s">
        <v>2645</v>
      </c>
      <c r="AC4" s="3201" t="s">
        <v>2646</v>
      </c>
    </row>
    <row r="5" spans="1:30" ht="15">
      <c r="A5" s="404"/>
      <c r="B5" s="405"/>
      <c r="C5" s="3212" t="s">
        <v>2539</v>
      </c>
      <c r="D5" s="3213"/>
      <c r="E5" s="3210" t="str">
        <f>土地案例!A7</f>
        <v>顺义区高丽营镇于庄03-21、03-31地块R2二类居住用地</v>
      </c>
      <c r="F5" s="3211"/>
      <c r="G5" s="3212" t="str">
        <f>土地案例!A5</f>
        <v>北京市顺义区后沙峪镇马头庄村SY00-0019-6005地块B1商业用地、SY00-0019-6006地块R2二类居住用地</v>
      </c>
      <c r="H5" s="3213"/>
      <c r="I5" s="3212" t="str">
        <f>土地案例!A3</f>
        <v>北京市顺义区后沙峪镇21-18-001e地块R2二类居住用地、21-18-002地块A33基础教育用地</v>
      </c>
      <c r="J5" s="3213"/>
      <c r="K5" s="610"/>
      <c r="L5" s="1132"/>
      <c r="M5" s="1133"/>
      <c r="N5" s="1133"/>
      <c r="O5" s="1133"/>
      <c r="P5" s="3225"/>
      <c r="Q5" s="3226"/>
      <c r="R5" s="3208"/>
      <c r="S5" s="3209"/>
      <c r="T5" s="3208"/>
      <c r="U5" s="3209"/>
      <c r="V5" s="3231"/>
      <c r="W5" s="3231"/>
      <c r="X5" s="1814"/>
      <c r="Y5" s="3208"/>
      <c r="Z5" s="3209"/>
      <c r="AA5" s="3202"/>
      <c r="AB5" s="3202"/>
      <c r="AC5" s="3202"/>
    </row>
    <row r="6" spans="1:30" ht="15.75" thickBot="1">
      <c r="A6" s="406"/>
      <c r="B6" s="407"/>
      <c r="C6" s="3214" t="s">
        <v>2543</v>
      </c>
      <c r="D6" s="3215"/>
      <c r="E6" s="3216" t="s">
        <v>2543</v>
      </c>
      <c r="F6" s="3217"/>
      <c r="G6" s="3214" t="s">
        <v>2543</v>
      </c>
      <c r="H6" s="3215"/>
      <c r="I6" s="3214" t="s">
        <v>2543</v>
      </c>
      <c r="J6" s="3215"/>
      <c r="K6" s="610" t="s">
        <v>2544</v>
      </c>
      <c r="L6" s="1132"/>
      <c r="M6" s="1133"/>
      <c r="N6" s="1133"/>
      <c r="O6" s="1133"/>
      <c r="P6" s="3227"/>
      <c r="Q6" s="3228"/>
      <c r="R6" s="3208"/>
      <c r="S6" s="3209"/>
      <c r="T6" s="3229"/>
      <c r="U6" s="3230"/>
      <c r="V6" s="3231"/>
      <c r="W6" s="3231"/>
      <c r="X6" s="1814"/>
      <c r="Y6" s="3229"/>
      <c r="Z6" s="3230"/>
      <c r="AA6" s="3203"/>
      <c r="AB6" s="3203"/>
      <c r="AC6" s="3203"/>
    </row>
    <row r="7" spans="1:30" s="117" customFormat="1" ht="15.75" thickBot="1">
      <c r="A7" s="408" t="s">
        <v>2545</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204" t="s">
        <v>2546</v>
      </c>
      <c r="Q7" s="3232"/>
      <c r="R7" s="769" t="s">
        <v>17</v>
      </c>
      <c r="S7" s="770">
        <f t="shared" ref="S7:S15" si="0">F7</f>
        <v>95</v>
      </c>
      <c r="T7" s="769" t="s">
        <v>17</v>
      </c>
      <c r="U7" s="770">
        <f t="shared" ref="U7:U15" si="1">H7</f>
        <v>97</v>
      </c>
      <c r="V7" s="769" t="s">
        <v>17</v>
      </c>
      <c r="W7" s="770">
        <f t="shared" ref="W7:W15" si="2">J7</f>
        <v>99</v>
      </c>
      <c r="X7" s="771"/>
      <c r="Y7" s="3204" t="s">
        <v>2546</v>
      </c>
      <c r="Z7" s="3205"/>
      <c r="AA7" s="772">
        <f>D7/F7</f>
        <v>1.0526315789473684</v>
      </c>
      <c r="AB7" s="772">
        <f>D7/H7</f>
        <v>1.0309278350515463</v>
      </c>
      <c r="AC7" s="772">
        <f>D7/J7</f>
        <v>1.0101010101010102</v>
      </c>
    </row>
    <row r="8" spans="1:30" s="117" customFormat="1" ht="15.75" thickBot="1">
      <c r="A8" s="408" t="s">
        <v>2547</v>
      </c>
      <c r="B8" s="409"/>
      <c r="C8" s="414" t="s">
        <v>2548</v>
      </c>
      <c r="D8" s="411">
        <v>100</v>
      </c>
      <c r="E8" s="414" t="s">
        <v>3240</v>
      </c>
      <c r="F8" s="413">
        <f>SUMIF(73:73,E8,74:74)-SUMIF(73:73,C8,74:74)+100</f>
        <v>100</v>
      </c>
      <c r="G8" s="414" t="s">
        <v>3240</v>
      </c>
      <c r="H8" s="411">
        <f>SUMIF(73:73,G8,74:74)-SUMIF(73:73,C8,74:74)+100</f>
        <v>100</v>
      </c>
      <c r="I8" s="414" t="s">
        <v>3240</v>
      </c>
      <c r="J8" s="411">
        <f>SUMIF(73:73,I8,74:74)-SUMIF(73:73,C8,74:74)+100</f>
        <v>100</v>
      </c>
      <c r="K8" s="611"/>
      <c r="L8" s="1134"/>
      <c r="M8" s="1135"/>
      <c r="N8" s="1135"/>
      <c r="O8" s="1135"/>
      <c r="P8" s="3204" t="s">
        <v>2549</v>
      </c>
      <c r="Q8" s="3205"/>
      <c r="R8" s="769" t="s">
        <v>17</v>
      </c>
      <c r="S8" s="770">
        <f t="shared" si="0"/>
        <v>100</v>
      </c>
      <c r="T8" s="769" t="s">
        <v>17</v>
      </c>
      <c r="U8" s="770">
        <f t="shared" si="1"/>
        <v>100</v>
      </c>
      <c r="V8" s="769" t="s">
        <v>17</v>
      </c>
      <c r="W8" s="770">
        <f t="shared" si="2"/>
        <v>100</v>
      </c>
      <c r="X8" s="771"/>
      <c r="Y8" s="3204" t="s">
        <v>2549</v>
      </c>
      <c r="Z8" s="3205"/>
      <c r="AA8" s="772">
        <f t="shared" ref="AA8:AA45" si="3">D8/F8</f>
        <v>1</v>
      </c>
      <c r="AB8" s="772">
        <f t="shared" ref="AB8:AB45" si="4">D8/H8</f>
        <v>1</v>
      </c>
      <c r="AC8" s="772">
        <f t="shared" ref="AC8:AC45" si="5">D8/J8</f>
        <v>1</v>
      </c>
    </row>
    <row r="9" spans="1:30" s="117" customFormat="1" ht="28.5">
      <c r="A9" s="415" t="s">
        <v>2550</v>
      </c>
      <c r="B9" s="71" t="s">
        <v>2551</v>
      </c>
      <c r="C9" s="2696" t="s">
        <v>3335</v>
      </c>
      <c r="D9" s="135">
        <v>100</v>
      </c>
      <c r="E9" s="2696" t="s">
        <v>3335</v>
      </c>
      <c r="F9" s="135">
        <f>SUMIF(75:75,E9,76:76)-SUMIF(75:75,C9,76:76)+100</f>
        <v>100</v>
      </c>
      <c r="G9" s="2696" t="s">
        <v>3335</v>
      </c>
      <c r="H9" s="135">
        <f>SUMIF(75:75,G9,76:76)-SUMIF(75:75,C9,76:76)+100</f>
        <v>100</v>
      </c>
      <c r="I9" s="2696" t="s">
        <v>3335</v>
      </c>
      <c r="J9" s="135">
        <f>SUMIF(75:75,I9,76:76)-SUMIF(75:75,C9,76:76)+100</f>
        <v>100</v>
      </c>
      <c r="K9" s="611"/>
      <c r="L9" s="1134"/>
      <c r="M9" s="1135"/>
      <c r="N9" s="1135"/>
      <c r="O9" s="1136"/>
      <c r="P9" s="3218" t="s">
        <v>2552</v>
      </c>
      <c r="Q9" s="1796"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30" s="427" customFormat="1" ht="56.25">
      <c r="A10" s="421"/>
      <c r="B10" s="422" t="s">
        <v>2554</v>
      </c>
      <c r="C10" s="432" t="s">
        <v>3337</v>
      </c>
      <c r="D10" s="136">
        <v>100</v>
      </c>
      <c r="E10" s="465" t="s">
        <v>3338</v>
      </c>
      <c r="F10" s="136">
        <f>ROUND(100/'数据-取费表'!G16,0)</f>
        <v>101</v>
      </c>
      <c r="G10" s="463" t="s">
        <v>3338</v>
      </c>
      <c r="H10" s="136">
        <f>ROUND(100/'数据-取费表'!G16,0)</f>
        <v>101</v>
      </c>
      <c r="I10" s="463" t="s">
        <v>3338</v>
      </c>
      <c r="J10" s="136">
        <f>ROUND(100/'数据-取费表'!G16,0)</f>
        <v>101</v>
      </c>
      <c r="K10" s="672"/>
      <c r="L10" s="1137"/>
      <c r="M10" s="1138"/>
      <c r="N10" s="1138"/>
      <c r="O10" s="1139"/>
      <c r="P10" s="3218"/>
      <c r="Q10" s="1796" t="str">
        <f t="shared" si="6"/>
        <v>土地使用年限（年）</v>
      </c>
      <c r="R10" s="769" t="s">
        <v>17</v>
      </c>
      <c r="S10" s="770">
        <f t="shared" si="0"/>
        <v>101</v>
      </c>
      <c r="T10" s="769" t="s">
        <v>17</v>
      </c>
      <c r="U10" s="770">
        <f t="shared" si="1"/>
        <v>101</v>
      </c>
      <c r="V10" s="769" t="s">
        <v>17</v>
      </c>
      <c r="W10" s="770">
        <f t="shared" si="2"/>
        <v>101</v>
      </c>
      <c r="X10" s="771"/>
      <c r="Y10" s="3078"/>
      <c r="Z10" s="55" t="str">
        <f t="shared" si="7"/>
        <v>土地使用年限（年）</v>
      </c>
      <c r="AA10" s="772">
        <f t="shared" si="3"/>
        <v>0.99009900990099009</v>
      </c>
      <c r="AB10" s="772">
        <f t="shared" si="4"/>
        <v>0.99009900990099009</v>
      </c>
      <c r="AC10" s="772">
        <f t="shared" si="5"/>
        <v>0.99009900990099009</v>
      </c>
    </row>
    <row r="11" spans="1:30" ht="15">
      <c r="A11" s="428"/>
      <c r="B11" s="422" t="s">
        <v>2555</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0"/>
      <c r="M11" s="1133"/>
      <c r="N11" s="1133"/>
      <c r="O11" s="1141"/>
      <c r="P11" s="3218"/>
      <c r="Q11" s="1796" t="str">
        <f t="shared" si="6"/>
        <v>容积率</v>
      </c>
      <c r="R11" s="769" t="s">
        <v>17</v>
      </c>
      <c r="S11" s="770">
        <f t="shared" si="0"/>
        <v>100</v>
      </c>
      <c r="T11" s="769" t="s">
        <v>17</v>
      </c>
      <c r="U11" s="770">
        <f t="shared" si="1"/>
        <v>100</v>
      </c>
      <c r="V11" s="769" t="s">
        <v>17</v>
      </c>
      <c r="W11" s="770">
        <f t="shared" si="2"/>
        <v>100</v>
      </c>
      <c r="X11" s="771"/>
      <c r="Y11" s="3078"/>
      <c r="Z11" s="55" t="str">
        <f t="shared" si="7"/>
        <v>容积率</v>
      </c>
      <c r="AA11" s="772">
        <f t="shared" si="3"/>
        <v>1</v>
      </c>
      <c r="AB11" s="772">
        <f t="shared" si="4"/>
        <v>1</v>
      </c>
      <c r="AC11" s="772">
        <f t="shared" si="5"/>
        <v>1</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8"/>
      <c r="Q12" s="1796" t="str">
        <f t="shared" si="6"/>
        <v>配建</v>
      </c>
      <c r="R12" s="769" t="s">
        <v>17</v>
      </c>
      <c r="S12" s="770">
        <f t="shared" si="0"/>
        <v>100</v>
      </c>
      <c r="T12" s="769" t="s">
        <v>17</v>
      </c>
      <c r="U12" s="770">
        <f t="shared" si="1"/>
        <v>100</v>
      </c>
      <c r="V12" s="769" t="s">
        <v>17</v>
      </c>
      <c r="W12" s="770">
        <f t="shared" si="2"/>
        <v>100</v>
      </c>
      <c r="X12" s="771"/>
      <c r="Y12" s="3078"/>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8"/>
      <c r="Q13" s="1796">
        <f t="shared" si="6"/>
        <v>111</v>
      </c>
      <c r="R13" s="769" t="s">
        <v>17</v>
      </c>
      <c r="S13" s="770">
        <f t="shared" si="0"/>
        <v>100</v>
      </c>
      <c r="T13" s="769" t="s">
        <v>17</v>
      </c>
      <c r="U13" s="770">
        <f t="shared" si="1"/>
        <v>100</v>
      </c>
      <c r="V13" s="769" t="s">
        <v>17</v>
      </c>
      <c r="W13" s="770">
        <f t="shared" si="2"/>
        <v>100</v>
      </c>
      <c r="X13" s="771"/>
      <c r="Y13" s="3078"/>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8"/>
      <c r="Q14" s="1796">
        <f t="shared" si="6"/>
        <v>111</v>
      </c>
      <c r="R14" s="769" t="s">
        <v>17</v>
      </c>
      <c r="S14" s="770">
        <f t="shared" si="0"/>
        <v>100</v>
      </c>
      <c r="T14" s="769" t="s">
        <v>17</v>
      </c>
      <c r="U14" s="770">
        <f t="shared" si="1"/>
        <v>100</v>
      </c>
      <c r="V14" s="769" t="s">
        <v>17</v>
      </c>
      <c r="W14" s="770">
        <f t="shared" si="2"/>
        <v>100</v>
      </c>
      <c r="X14" s="771"/>
      <c r="Y14" s="3078"/>
      <c r="Z14" s="55">
        <f t="shared" si="7"/>
        <v>111</v>
      </c>
      <c r="AA14" s="772">
        <f>D14/F14</f>
        <v>1</v>
      </c>
      <c r="AB14" s="772">
        <f>D14/H14</f>
        <v>1</v>
      </c>
      <c r="AC14" s="772">
        <f>D14/J14</f>
        <v>1</v>
      </c>
    </row>
    <row r="15" spans="1:30" ht="99.75">
      <c r="A15" s="440" t="s">
        <v>2556</v>
      </c>
      <c r="B15" s="69" t="s">
        <v>2087</v>
      </c>
      <c r="C15" s="2600" t="str">
        <f>估价对象房地状况!C15</f>
        <v>估价对象周边有春晖园、新于庄园、新世界丽樽等住宅项目，密集度一般，综合评价居住社区成熟度一般。</v>
      </c>
      <c r="D15" s="441">
        <v>100</v>
      </c>
      <c r="E15" s="2997" t="s">
        <v>3340</v>
      </c>
      <c r="F15" s="441">
        <f>SUMIF(88:88,E16,89:89)-SUMIF(88:88,C16,89:89)+100</f>
        <v>100</v>
      </c>
      <c r="G15" s="2997" t="s">
        <v>3360</v>
      </c>
      <c r="H15" s="441">
        <f>SUMIF(88:88,G16,89:89)-SUMIF(88:88,C16,89:89)+100</f>
        <v>100</v>
      </c>
      <c r="I15" s="2997" t="s">
        <v>3251</v>
      </c>
      <c r="J15" s="441">
        <f>SUMIF(88:88,I16,89:89)-SUMIF(88:88,C16,89:89)+100</f>
        <v>100</v>
      </c>
      <c r="K15" s="673">
        <v>2</v>
      </c>
      <c r="L15" s="1142"/>
      <c r="M15" s="1133"/>
      <c r="N15" s="1133"/>
      <c r="O15" s="1141"/>
      <c r="P15" s="3233" t="s">
        <v>2557</v>
      </c>
      <c r="Q15" s="1811" t="str">
        <f t="shared" si="6"/>
        <v>居住社区成熟度</v>
      </c>
      <c r="R15" s="773" t="s">
        <v>17</v>
      </c>
      <c r="S15" s="774">
        <f t="shared" si="0"/>
        <v>100</v>
      </c>
      <c r="T15" s="773" t="s">
        <v>17</v>
      </c>
      <c r="U15" s="774">
        <f t="shared" si="1"/>
        <v>100</v>
      </c>
      <c r="V15" s="773" t="s">
        <v>17</v>
      </c>
      <c r="W15" s="774">
        <f t="shared" si="2"/>
        <v>100</v>
      </c>
      <c r="X15" s="1814"/>
      <c r="Y15" s="3233" t="s">
        <v>2557</v>
      </c>
      <c r="Z15" s="1815" t="str">
        <f t="shared" si="7"/>
        <v>居住社区成熟度</v>
      </c>
      <c r="AA15" s="1812">
        <f t="shared" si="3"/>
        <v>1</v>
      </c>
      <c r="AB15" s="1812">
        <f t="shared" si="4"/>
        <v>1</v>
      </c>
      <c r="AC15" s="1812">
        <f t="shared" si="5"/>
        <v>1</v>
      </c>
    </row>
    <row r="16" spans="1:30" ht="15">
      <c r="A16" s="428"/>
      <c r="B16" s="446"/>
      <c r="C16" s="447" t="s">
        <v>3267</v>
      </c>
      <c r="D16" s="448"/>
      <c r="E16" s="2602" t="s">
        <v>3267</v>
      </c>
      <c r="F16" s="448"/>
      <c r="G16" s="2602" t="s">
        <v>3267</v>
      </c>
      <c r="H16" s="450"/>
      <c r="I16" s="2601" t="s">
        <v>3267</v>
      </c>
      <c r="J16" s="448"/>
      <c r="K16" s="672"/>
      <c r="L16" s="1142"/>
      <c r="M16" s="1133"/>
      <c r="N16" s="1133"/>
      <c r="O16" s="1141"/>
      <c r="P16" s="3234"/>
      <c r="Q16" s="1811"/>
      <c r="R16" s="773"/>
      <c r="S16" s="774"/>
      <c r="T16" s="773"/>
      <c r="U16" s="774"/>
      <c r="V16" s="773"/>
      <c r="W16" s="774"/>
      <c r="X16" s="1814"/>
      <c r="Y16" s="3234"/>
      <c r="Z16" s="1815"/>
      <c r="AA16" s="1812">
        <v>1</v>
      </c>
      <c r="AB16" s="1812">
        <v>1</v>
      </c>
      <c r="AC16" s="1812">
        <v>1</v>
      </c>
    </row>
    <row r="17" spans="1:29" ht="85.5">
      <c r="A17" s="428"/>
      <c r="B17" s="451" t="s">
        <v>2650</v>
      </c>
      <c r="C17" s="2661" t="str">
        <f>估价对象房地状况!C16</f>
        <v>估价对象周边没有大型商业中心、有少量住宅项目底商，人流量较少，商业繁华度较差。</v>
      </c>
      <c r="D17" s="450">
        <v>100</v>
      </c>
      <c r="E17" s="2998" t="s">
        <v>3341</v>
      </c>
      <c r="F17" s="450">
        <f>SUMIF(90:90,E18,91:91)-SUMIF(90:90,C18,91:91)+100</f>
        <v>100</v>
      </c>
      <c r="G17" s="2998" t="s">
        <v>3361</v>
      </c>
      <c r="H17" s="455">
        <f>SUMIF(90:90,G18,91:91)-SUMIF(90:90,C18,91:91)+100</f>
        <v>102</v>
      </c>
      <c r="I17" s="2998" t="s">
        <v>3253</v>
      </c>
      <c r="J17" s="455">
        <f>SUMIF(90:90,I18,91:91)-SUMIF(90:90,C18,91:91)+100</f>
        <v>104</v>
      </c>
      <c r="K17" s="673">
        <v>2</v>
      </c>
      <c r="L17" s="1142"/>
      <c r="M17" s="1133"/>
      <c r="N17" s="1133"/>
      <c r="O17" s="1141"/>
      <c r="P17" s="3234"/>
      <c r="Q17" s="1811" t="str">
        <f>B17</f>
        <v>商业繁华度</v>
      </c>
      <c r="R17" s="773" t="s">
        <v>17</v>
      </c>
      <c r="S17" s="774">
        <f>F17</f>
        <v>100</v>
      </c>
      <c r="T17" s="773" t="s">
        <v>17</v>
      </c>
      <c r="U17" s="774">
        <f>H17</f>
        <v>102</v>
      </c>
      <c r="V17" s="773" t="s">
        <v>17</v>
      </c>
      <c r="W17" s="774">
        <f>J17</f>
        <v>104</v>
      </c>
      <c r="X17" s="1814"/>
      <c r="Y17" s="3234"/>
      <c r="Z17" s="1815" t="str">
        <f>Q17</f>
        <v>商业繁华度</v>
      </c>
      <c r="AA17" s="1812">
        <f t="shared" si="3"/>
        <v>1</v>
      </c>
      <c r="AB17" s="1812">
        <f t="shared" si="4"/>
        <v>0.98039215686274506</v>
      </c>
      <c r="AC17" s="1812">
        <f t="shared" si="5"/>
        <v>0.96153846153846156</v>
      </c>
    </row>
    <row r="18" spans="1:29" ht="15">
      <c r="A18" s="428"/>
      <c r="B18" s="456"/>
      <c r="C18" s="2605" t="s">
        <v>3339</v>
      </c>
      <c r="D18" s="450"/>
      <c r="E18" s="2607" t="s">
        <v>3339</v>
      </c>
      <c r="F18" s="450"/>
      <c r="G18" s="2607" t="s">
        <v>3267</v>
      </c>
      <c r="H18" s="448"/>
      <c r="I18" s="2606" t="s">
        <v>3268</v>
      </c>
      <c r="J18" s="448"/>
      <c r="K18" s="672"/>
      <c r="L18" s="1142"/>
      <c r="M18" s="1133"/>
      <c r="N18" s="1133"/>
      <c r="O18" s="1141"/>
      <c r="P18" s="3234"/>
      <c r="Q18" s="1811"/>
      <c r="R18" s="773"/>
      <c r="S18" s="774"/>
      <c r="T18" s="773"/>
      <c r="U18" s="774"/>
      <c r="V18" s="773"/>
      <c r="W18" s="774"/>
      <c r="X18" s="1814"/>
      <c r="Y18" s="3234"/>
      <c r="Z18" s="1815"/>
      <c r="AA18" s="1812">
        <v>1</v>
      </c>
      <c r="AB18" s="1812">
        <v>1</v>
      </c>
      <c r="AC18" s="1812">
        <v>1</v>
      </c>
    </row>
    <row r="19" spans="1:29" ht="57">
      <c r="A19" s="428"/>
      <c r="B19" s="451" t="s">
        <v>2684</v>
      </c>
      <c r="C19" s="2661" t="str">
        <f>估价对象房地状况!C17</f>
        <v>估价对象周边办公项目较少，办公集聚程度较差。</v>
      </c>
      <c r="D19" s="455">
        <v>100</v>
      </c>
      <c r="E19" s="3000" t="s">
        <v>3342</v>
      </c>
      <c r="F19" s="455">
        <f>SUMIF(92:92,E20,93:93)-SUMIF(92:92,C20,93:93)+100</f>
        <v>100</v>
      </c>
      <c r="G19" s="3000" t="s">
        <v>3342</v>
      </c>
      <c r="H19" s="450">
        <f>SUMIF(92:92,G20,93:93)-SUMIF(92:92,C20,93:93)+100</f>
        <v>100</v>
      </c>
      <c r="I19" s="3000" t="s">
        <v>3342</v>
      </c>
      <c r="J19" s="450">
        <f>SUMIF(92:92,I20,93:93)-SUMIF(92:92,C20,93:93)+100</f>
        <v>100</v>
      </c>
      <c r="K19" s="673">
        <v>2</v>
      </c>
      <c r="L19" s="1142"/>
      <c r="M19" s="1133"/>
      <c r="N19" s="1133"/>
      <c r="O19" s="1141"/>
      <c r="P19" s="3234"/>
      <c r="Q19" s="1811" t="str">
        <f>B19</f>
        <v>办公集聚程度</v>
      </c>
      <c r="R19" s="773" t="s">
        <v>17</v>
      </c>
      <c r="S19" s="774">
        <f>F19</f>
        <v>100</v>
      </c>
      <c r="T19" s="773" t="s">
        <v>17</v>
      </c>
      <c r="U19" s="774">
        <f>H19</f>
        <v>100</v>
      </c>
      <c r="V19" s="773" t="s">
        <v>17</v>
      </c>
      <c r="W19" s="774">
        <f>J19</f>
        <v>100</v>
      </c>
      <c r="X19" s="1814"/>
      <c r="Y19" s="3234"/>
      <c r="Z19" s="1815" t="str">
        <f>Q19</f>
        <v>办公集聚程度</v>
      </c>
      <c r="AA19" s="1812">
        <f t="shared" si="3"/>
        <v>1</v>
      </c>
      <c r="AB19" s="1812">
        <f t="shared" si="4"/>
        <v>1</v>
      </c>
      <c r="AC19" s="1812">
        <f t="shared" si="5"/>
        <v>1</v>
      </c>
    </row>
    <row r="20" spans="1:29" ht="15">
      <c r="A20" s="428"/>
      <c r="B20" s="456"/>
      <c r="C20" s="447" t="s">
        <v>3339</v>
      </c>
      <c r="D20" s="448"/>
      <c r="E20" s="2602" t="s">
        <v>3339</v>
      </c>
      <c r="F20" s="448"/>
      <c r="G20" s="2602" t="s">
        <v>3339</v>
      </c>
      <c r="H20" s="448"/>
      <c r="I20" s="2601" t="s">
        <v>3339</v>
      </c>
      <c r="J20" s="448"/>
      <c r="K20" s="672"/>
      <c r="L20" s="1142"/>
      <c r="M20" s="1133"/>
      <c r="N20" s="1133"/>
      <c r="O20" s="1141"/>
      <c r="P20" s="3234"/>
      <c r="Q20" s="1811"/>
      <c r="R20" s="773"/>
      <c r="S20" s="774"/>
      <c r="T20" s="773"/>
      <c r="U20" s="774"/>
      <c r="V20" s="773"/>
      <c r="W20" s="774"/>
      <c r="X20" s="1814"/>
      <c r="Y20" s="3234"/>
      <c r="Z20" s="1815"/>
      <c r="AA20" s="1812">
        <v>1</v>
      </c>
      <c r="AB20" s="1812">
        <v>1</v>
      </c>
      <c r="AC20" s="1812">
        <v>1</v>
      </c>
    </row>
    <row r="21" spans="1:29" ht="99.75">
      <c r="A21" s="428"/>
      <c r="B21" s="451" t="s">
        <v>2706</v>
      </c>
      <c r="C21" s="2604" t="str">
        <f>估价对象房地状况!C18</f>
        <v>估价对象邻近京承高速、机场北线高速；公共交通情况差、停车较便捷，综合评价交通便捷度一般。</v>
      </c>
      <c r="D21" s="450">
        <v>100</v>
      </c>
      <c r="E21" s="2998" t="s">
        <v>3343</v>
      </c>
      <c r="F21" s="455">
        <f>SUMIF(94:94,E22,95:95)-SUMIF(94:94,C22,95:95)+100</f>
        <v>100</v>
      </c>
      <c r="G21" s="2998" t="s">
        <v>3362</v>
      </c>
      <c r="H21" s="450">
        <f>SUMIF(94:94,G22,95:95)-SUMIF(94:94,C22,95:95)+100</f>
        <v>100</v>
      </c>
      <c r="I21" s="2998" t="s">
        <v>3253</v>
      </c>
      <c r="J21" s="450">
        <f>SUMIF(94:94,I22,95:95)-SUMIF(94:94,C22,95:95)+100</f>
        <v>102</v>
      </c>
      <c r="K21" s="673">
        <v>2</v>
      </c>
      <c r="L21" s="1142"/>
      <c r="M21" s="1133"/>
      <c r="N21" s="1133"/>
      <c r="O21" s="1141"/>
      <c r="P21" s="3234"/>
      <c r="Q21" s="1811" t="str">
        <f>B21</f>
        <v>交通便捷度</v>
      </c>
      <c r="R21" s="773" t="s">
        <v>17</v>
      </c>
      <c r="S21" s="774">
        <f>F21</f>
        <v>100</v>
      </c>
      <c r="T21" s="773" t="s">
        <v>17</v>
      </c>
      <c r="U21" s="774">
        <f>H21</f>
        <v>100</v>
      </c>
      <c r="V21" s="773" t="s">
        <v>17</v>
      </c>
      <c r="W21" s="774">
        <f>J21</f>
        <v>102</v>
      </c>
      <c r="X21" s="1814"/>
      <c r="Y21" s="3234"/>
      <c r="Z21" s="1815" t="str">
        <f>Q21</f>
        <v>交通便捷度</v>
      </c>
      <c r="AA21" s="1812">
        <f t="shared" si="3"/>
        <v>1</v>
      </c>
      <c r="AB21" s="1812">
        <f t="shared" si="4"/>
        <v>1</v>
      </c>
      <c r="AC21" s="1812">
        <f t="shared" si="5"/>
        <v>0.98039215686274506</v>
      </c>
    </row>
    <row r="22" spans="1:29" ht="15">
      <c r="A22" s="428"/>
      <c r="B22" s="1386"/>
      <c r="C22" s="447" t="s">
        <v>3267</v>
      </c>
      <c r="D22" s="450"/>
      <c r="E22" s="2602" t="s">
        <v>3267</v>
      </c>
      <c r="F22" s="448"/>
      <c r="G22" s="2602" t="s">
        <v>3267</v>
      </c>
      <c r="H22" s="448"/>
      <c r="I22" s="2601" t="s">
        <v>3268</v>
      </c>
      <c r="J22" s="448"/>
      <c r="K22" s="672"/>
      <c r="L22" s="1142"/>
      <c r="M22" s="1133"/>
      <c r="N22" s="1133"/>
      <c r="O22" s="1141"/>
      <c r="P22" s="3234"/>
      <c r="Q22" s="1811"/>
      <c r="R22" s="773"/>
      <c r="S22" s="774"/>
      <c r="T22" s="773"/>
      <c r="U22" s="774"/>
      <c r="V22" s="773"/>
      <c r="W22" s="774"/>
      <c r="X22" s="1814"/>
      <c r="Y22" s="3234"/>
      <c r="Z22" s="1815"/>
      <c r="AA22" s="1812">
        <v>1</v>
      </c>
      <c r="AB22" s="1812">
        <v>1</v>
      </c>
      <c r="AC22" s="1812">
        <v>1</v>
      </c>
    </row>
    <row r="23" spans="1:29" ht="57">
      <c r="A23" s="404"/>
      <c r="B23" s="451" t="s">
        <v>2745</v>
      </c>
      <c r="C23" s="1391" t="str">
        <f>估价对象房地状况!C19</f>
        <v>区域以住宅用地为主、区域土地利用方向较一致。</v>
      </c>
      <c r="D23" s="455">
        <v>100</v>
      </c>
      <c r="E23" s="2998" t="s">
        <v>3345</v>
      </c>
      <c r="F23" s="455">
        <f>SUMIF(96:96,E24,97:97)-SUMIF(96:96,C24,97:97)+100</f>
        <v>100</v>
      </c>
      <c r="G23" s="2998" t="s">
        <v>3345</v>
      </c>
      <c r="H23" s="455">
        <f>SUMIF(96:96,G24,97:97)-SUMIF(96:96,C24,97:97)+100</f>
        <v>100</v>
      </c>
      <c r="I23" s="2998" t="s">
        <v>3345</v>
      </c>
      <c r="J23" s="455">
        <f>SUMIF(96:96,I24,97:97)-SUMIF(96:96,C24,97:97)+100</f>
        <v>98</v>
      </c>
      <c r="K23" s="673">
        <v>2</v>
      </c>
      <c r="L23" s="1142"/>
      <c r="M23" s="1133"/>
      <c r="N23" s="1133"/>
      <c r="O23" s="1141"/>
      <c r="P23" s="3234"/>
      <c r="Q23" s="1811" t="str">
        <f t="shared" ref="Q23:Q37" si="8">B23</f>
        <v>区域土地利用方向</v>
      </c>
      <c r="R23" s="773" t="s">
        <v>17</v>
      </c>
      <c r="S23" s="774">
        <f>F23</f>
        <v>100</v>
      </c>
      <c r="T23" s="773" t="s">
        <v>17</v>
      </c>
      <c r="U23" s="774">
        <f>H23</f>
        <v>100</v>
      </c>
      <c r="V23" s="773" t="s">
        <v>17</v>
      </c>
      <c r="W23" s="774">
        <f>J23</f>
        <v>98</v>
      </c>
      <c r="X23" s="1814"/>
      <c r="Y23" s="3234"/>
      <c r="Z23" s="1815" t="str">
        <f>Q23</f>
        <v>区域土地利用方向</v>
      </c>
      <c r="AA23" s="1812">
        <f t="shared" si="3"/>
        <v>1</v>
      </c>
      <c r="AB23" s="1812">
        <f t="shared" si="4"/>
        <v>1</v>
      </c>
      <c r="AC23" s="1812">
        <f t="shared" si="5"/>
        <v>1.0204081632653061</v>
      </c>
    </row>
    <row r="24" spans="1:29" ht="15">
      <c r="A24" s="404"/>
      <c r="B24" s="456"/>
      <c r="C24" s="616" t="s">
        <v>3268</v>
      </c>
      <c r="D24" s="448"/>
      <c r="E24" s="2602" t="s">
        <v>3268</v>
      </c>
      <c r="F24" s="448"/>
      <c r="G24" s="2601" t="s">
        <v>3268</v>
      </c>
      <c r="H24" s="448"/>
      <c r="I24" s="3339" t="s">
        <v>3267</v>
      </c>
      <c r="J24" s="448"/>
      <c r="K24" s="811"/>
      <c r="L24" s="1142"/>
      <c r="M24" s="1133"/>
      <c r="N24" s="1133"/>
      <c r="O24" s="1141"/>
      <c r="P24" s="3234"/>
      <c r="Q24" s="1811"/>
      <c r="R24" s="773"/>
      <c r="S24" s="774"/>
      <c r="T24" s="773"/>
      <c r="U24" s="774"/>
      <c r="V24" s="773"/>
      <c r="W24" s="774"/>
      <c r="X24" s="1814"/>
      <c r="Y24" s="3234"/>
      <c r="Z24" s="1815"/>
      <c r="AA24" s="1812"/>
      <c r="AB24" s="1812"/>
      <c r="AC24" s="1812"/>
    </row>
    <row r="25" spans="1:29" ht="99.75">
      <c r="A25" s="404"/>
      <c r="B25" s="1386" t="s">
        <v>2746</v>
      </c>
      <c r="C25" s="2661" t="str">
        <f>估价对象房地状况!C20</f>
        <v>估价对象所在区域邻近温榆河，自然环境一般；无人文环境场所；综合评价自然及人文环境状况一般。</v>
      </c>
      <c r="D25" s="450">
        <v>100</v>
      </c>
      <c r="E25" s="2998" t="s">
        <v>3347</v>
      </c>
      <c r="F25" s="450">
        <f>SUMIF(98:98,E26,99:99)-SUMIF(98:98,C26,99:99)+100</f>
        <v>100</v>
      </c>
      <c r="G25" s="2998" t="s">
        <v>3347</v>
      </c>
      <c r="H25" s="450">
        <f>SUMIF(98:98,G26,99:99)-SUMIF(98:98,C26,99:99)+100</f>
        <v>100</v>
      </c>
      <c r="I25" s="2998" t="s">
        <v>3364</v>
      </c>
      <c r="J25" s="450">
        <f>SUMIF(98:98,I26,99:99)-SUMIF(98:98,C26,99:99)+100</f>
        <v>100</v>
      </c>
      <c r="K25" s="673">
        <v>2</v>
      </c>
      <c r="L25" s="1142"/>
      <c r="M25" s="1133"/>
      <c r="N25" s="1133"/>
      <c r="O25" s="1141"/>
      <c r="P25" s="3234"/>
      <c r="Q25" s="1811" t="str">
        <f t="shared" si="8"/>
        <v>自然及人文环境状况</v>
      </c>
      <c r="R25" s="773" t="s">
        <v>17</v>
      </c>
      <c r="S25" s="774">
        <f>F25</f>
        <v>100</v>
      </c>
      <c r="T25" s="773" t="s">
        <v>17</v>
      </c>
      <c r="U25" s="774">
        <f>H25</f>
        <v>100</v>
      </c>
      <c r="V25" s="773" t="s">
        <v>17</v>
      </c>
      <c r="W25" s="774">
        <f>J25</f>
        <v>100</v>
      </c>
      <c r="X25" s="1814"/>
      <c r="Y25" s="3234"/>
      <c r="Z25" s="1815" t="str">
        <f>Q25</f>
        <v>自然及人文环境状况</v>
      </c>
      <c r="AA25" s="1812">
        <f t="shared" si="3"/>
        <v>1</v>
      </c>
      <c r="AB25" s="1812">
        <f t="shared" si="4"/>
        <v>1</v>
      </c>
      <c r="AC25" s="1812">
        <f t="shared" si="5"/>
        <v>1</v>
      </c>
    </row>
    <row r="26" spans="1:29" ht="15">
      <c r="A26" s="404"/>
      <c r="B26" s="456"/>
      <c r="C26" s="447" t="s">
        <v>3267</v>
      </c>
      <c r="D26" s="448"/>
      <c r="E26" s="2608" t="s">
        <v>3267</v>
      </c>
      <c r="F26" s="448"/>
      <c r="G26" s="2608" t="s">
        <v>3267</v>
      </c>
      <c r="H26" s="448"/>
      <c r="I26" s="447" t="s">
        <v>3267</v>
      </c>
      <c r="J26" s="448"/>
      <c r="K26" s="672"/>
      <c r="L26" s="1142"/>
      <c r="M26" s="1133"/>
      <c r="N26" s="1133"/>
      <c r="O26" s="1141"/>
      <c r="P26" s="3234"/>
      <c r="Q26" s="1811"/>
      <c r="R26" s="773"/>
      <c r="S26" s="774"/>
      <c r="T26" s="773"/>
      <c r="U26" s="774"/>
      <c r="V26" s="773"/>
      <c r="W26" s="774"/>
      <c r="X26" s="1814"/>
      <c r="Y26" s="3234"/>
      <c r="Z26" s="1815"/>
      <c r="AA26" s="1812">
        <v>1</v>
      </c>
      <c r="AB26" s="1812">
        <v>1</v>
      </c>
      <c r="AC26" s="1812">
        <v>1</v>
      </c>
    </row>
    <row r="27" spans="1:29" s="117" customFormat="1" ht="42.75">
      <c r="A27" s="649"/>
      <c r="B27" s="1386" t="s">
        <v>2651</v>
      </c>
      <c r="C27" s="2604" t="str">
        <f>估价对象房地状况!C21</f>
        <v>估价对象所在区域公共配套设施齐备情况一般。</v>
      </c>
      <c r="D27" s="450">
        <v>100</v>
      </c>
      <c r="E27" s="2998" t="s">
        <v>3348</v>
      </c>
      <c r="F27" s="450">
        <f>SUMIF(100:100,E28,101:101)-SUMIF(100:100,C28,101:101)+100</f>
        <v>100</v>
      </c>
      <c r="G27" s="2998" t="s">
        <v>3365</v>
      </c>
      <c r="H27" s="450">
        <f>SUMIF(100:100,G28,101:101)-SUMIF(100:100,C28,101:101)+100</f>
        <v>102</v>
      </c>
      <c r="I27" s="3000" t="s">
        <v>3255</v>
      </c>
      <c r="J27" s="450">
        <f>SUMIF(100:100,I28,101:101)-SUMIF(100:100,C28,101:101)+100</f>
        <v>102</v>
      </c>
      <c r="K27" s="673">
        <v>2</v>
      </c>
      <c r="L27" s="1134"/>
      <c r="M27" s="1135"/>
      <c r="N27" s="1135"/>
      <c r="O27" s="1136"/>
      <c r="P27" s="3234"/>
      <c r="Q27" s="1796" t="str">
        <f t="shared" si="8"/>
        <v>公共配套设施</v>
      </c>
      <c r="R27" s="769" t="s">
        <v>17</v>
      </c>
      <c r="S27" s="770">
        <f>F27</f>
        <v>100</v>
      </c>
      <c r="T27" s="769" t="s">
        <v>17</v>
      </c>
      <c r="U27" s="770">
        <f>H27</f>
        <v>102</v>
      </c>
      <c r="V27" s="769" t="s">
        <v>17</v>
      </c>
      <c r="W27" s="770">
        <f>J27</f>
        <v>102</v>
      </c>
      <c r="X27" s="771"/>
      <c r="Y27" s="3234"/>
      <c r="Z27" s="55" t="str">
        <f>Q27</f>
        <v>公共配套设施</v>
      </c>
      <c r="AA27" s="1812">
        <f>D27/F27</f>
        <v>1</v>
      </c>
      <c r="AB27" s="1812">
        <f>D27/H27</f>
        <v>0.98039215686274506</v>
      </c>
      <c r="AC27" s="1812">
        <f>D27/J27</f>
        <v>0.98039215686274506</v>
      </c>
    </row>
    <row r="28" spans="1:29" s="117" customFormat="1" ht="15">
      <c r="A28" s="649"/>
      <c r="B28" s="456"/>
      <c r="C28" s="2697" t="s">
        <v>3267</v>
      </c>
      <c r="D28" s="448"/>
      <c r="E28" s="2608" t="s">
        <v>3267</v>
      </c>
      <c r="F28" s="448"/>
      <c r="G28" s="2608" t="s">
        <v>3268</v>
      </c>
      <c r="H28" s="448"/>
      <c r="I28" s="447" t="s">
        <v>3268</v>
      </c>
      <c r="J28" s="448"/>
      <c r="K28" s="672"/>
      <c r="L28" s="1134"/>
      <c r="M28" s="1135"/>
      <c r="N28" s="1135"/>
      <c r="O28" s="1136"/>
      <c r="P28" s="3234"/>
      <c r="Q28" s="1796"/>
      <c r="R28" s="769"/>
      <c r="S28" s="770"/>
      <c r="T28" s="769"/>
      <c r="U28" s="770"/>
      <c r="V28" s="769"/>
      <c r="W28" s="770"/>
      <c r="X28" s="771"/>
      <c r="Y28" s="3234"/>
      <c r="Z28" s="55"/>
      <c r="AA28" s="1812">
        <v>1</v>
      </c>
      <c r="AB28" s="1812">
        <v>1</v>
      </c>
      <c r="AC28" s="1812">
        <v>1</v>
      </c>
    </row>
    <row r="29" spans="1:29" s="117" customFormat="1" ht="42.75">
      <c r="A29" s="649"/>
      <c r="B29" s="1386" t="s">
        <v>2652</v>
      </c>
      <c r="C29" s="2604" t="str">
        <f>估价对象房地状况!C22</f>
        <v>估价对象所在区域基础设施水平达“七通”。</v>
      </c>
      <c r="D29" s="450">
        <v>100</v>
      </c>
      <c r="E29" s="452" t="s">
        <v>3349</v>
      </c>
      <c r="F29" s="450">
        <f>SUMIF(102:102,E30,103:103)-SUMIF(102:102,C30,103:103)+100</f>
        <v>100</v>
      </c>
      <c r="G29" s="452" t="s">
        <v>3349</v>
      </c>
      <c r="H29" s="450">
        <f>SUMIF(102:102,G30,103:103)-SUMIF(102:102,C30,103:103)+100</f>
        <v>100</v>
      </c>
      <c r="I29" s="452" t="s">
        <v>3349</v>
      </c>
      <c r="J29" s="450">
        <f>SUMIF(102:102,I30,103:103)-SUMIF(102:102,C30,103:103)+100</f>
        <v>100</v>
      </c>
      <c r="K29" s="673">
        <v>2</v>
      </c>
      <c r="L29" s="1134"/>
      <c r="M29" s="1135"/>
      <c r="N29" s="1135"/>
      <c r="O29" s="1136"/>
      <c r="P29" s="3234"/>
      <c r="Q29" s="1796" t="str">
        <f t="shared" ref="Q29" si="9">B29</f>
        <v>基础设施水平</v>
      </c>
      <c r="R29" s="769" t="s">
        <v>17</v>
      </c>
      <c r="S29" s="770">
        <f>F29</f>
        <v>100</v>
      </c>
      <c r="T29" s="769" t="s">
        <v>17</v>
      </c>
      <c r="U29" s="770">
        <f>H29</f>
        <v>100</v>
      </c>
      <c r="V29" s="769" t="s">
        <v>17</v>
      </c>
      <c r="W29" s="770">
        <f>J29</f>
        <v>100</v>
      </c>
      <c r="X29" s="771"/>
      <c r="Y29" s="3234"/>
      <c r="Z29" s="55" t="str">
        <f>Q29</f>
        <v>基础设施水平</v>
      </c>
      <c r="AA29" s="1812">
        <f>D29/F29</f>
        <v>1</v>
      </c>
      <c r="AB29" s="1812">
        <f>D29/H29</f>
        <v>1</v>
      </c>
      <c r="AC29" s="1812">
        <f>D29/J29</f>
        <v>1</v>
      </c>
    </row>
    <row r="30" spans="1:29" s="117" customFormat="1" ht="15">
      <c r="A30" s="649"/>
      <c r="B30" s="456"/>
      <c r="C30" s="2697" t="s">
        <v>3264</v>
      </c>
      <c r="D30" s="448"/>
      <c r="E30" s="2698" t="s">
        <v>3264</v>
      </c>
      <c r="F30" s="448"/>
      <c r="G30" s="2698" t="s">
        <v>3264</v>
      </c>
      <c r="H30" s="448"/>
      <c r="I30" s="2698" t="s">
        <v>3264</v>
      </c>
      <c r="J30" s="448"/>
      <c r="K30" s="672"/>
      <c r="L30" s="1134"/>
      <c r="M30" s="1135"/>
      <c r="N30" s="1135"/>
      <c r="O30" s="1136"/>
      <c r="P30" s="3234"/>
      <c r="Q30" s="1796"/>
      <c r="R30" s="769"/>
      <c r="S30" s="770"/>
      <c r="T30" s="769"/>
      <c r="U30" s="770"/>
      <c r="V30" s="769"/>
      <c r="W30" s="770"/>
      <c r="X30" s="771"/>
      <c r="Y30" s="3234"/>
      <c r="Z30" s="55"/>
      <c r="AA30" s="1812">
        <v>1</v>
      </c>
      <c r="AB30" s="1812">
        <v>1</v>
      </c>
      <c r="AC30" s="1812">
        <v>1</v>
      </c>
    </row>
    <row r="31" spans="1:29" ht="15">
      <c r="A31" s="428"/>
      <c r="B31" s="456" t="s">
        <v>2653</v>
      </c>
      <c r="C31" s="616" t="s">
        <v>3090</v>
      </c>
      <c r="D31" s="435">
        <v>100</v>
      </c>
      <c r="E31" s="634" t="s">
        <v>3090</v>
      </c>
      <c r="F31" s="435">
        <f>SUMIF(104:104,E31,105:105)-SUMIF(104:104,C31,105:105)+100</f>
        <v>100</v>
      </c>
      <c r="G31" s="634" t="s">
        <v>3366</v>
      </c>
      <c r="H31" s="435">
        <f>SUMIF(104:104,G31,105:105)-SUMIF(104:104,C31,105:105)+100</f>
        <v>96</v>
      </c>
      <c r="I31" s="634" t="s">
        <v>3356</v>
      </c>
      <c r="J31" s="435">
        <f>SUMIF(104:104,I31,105:105)-SUMIF(104:104,C31,105:105)+100</f>
        <v>98</v>
      </c>
      <c r="K31" s="673">
        <v>2</v>
      </c>
      <c r="L31" s="1142"/>
      <c r="M31" s="1133"/>
      <c r="N31" s="1133"/>
      <c r="O31" s="1141"/>
      <c r="P31" s="3234"/>
      <c r="Q31" s="1811" t="str">
        <f t="shared" si="8"/>
        <v>临街状况</v>
      </c>
      <c r="R31" s="773" t="s">
        <v>17</v>
      </c>
      <c r="S31" s="774">
        <f t="shared" ref="S31:S45" si="10">F31</f>
        <v>100</v>
      </c>
      <c r="T31" s="773" t="s">
        <v>17</v>
      </c>
      <c r="U31" s="774">
        <f t="shared" ref="U31:U45" si="11">H31</f>
        <v>96</v>
      </c>
      <c r="V31" s="773" t="s">
        <v>17</v>
      </c>
      <c r="W31" s="774">
        <f t="shared" ref="W31:W45" si="12">J31</f>
        <v>98</v>
      </c>
      <c r="X31" s="1814"/>
      <c r="Y31" s="3234"/>
      <c r="Z31" s="1815" t="str">
        <f t="shared" ref="Z31:Z45" si="13">Q31</f>
        <v>临街状况</v>
      </c>
      <c r="AA31" s="1812">
        <f t="shared" si="3"/>
        <v>1</v>
      </c>
      <c r="AB31" s="1812">
        <f t="shared" si="4"/>
        <v>1.0416666666666667</v>
      </c>
      <c r="AC31" s="1812">
        <f t="shared" si="5"/>
        <v>1.0204081632653061</v>
      </c>
    </row>
    <row r="32" spans="1:29" ht="27.75">
      <c r="A32" s="428"/>
      <c r="B32" s="1386" t="s">
        <v>2688</v>
      </c>
      <c r="C32" s="454" t="s">
        <v>3350</v>
      </c>
      <c r="D32" s="450">
        <v>100</v>
      </c>
      <c r="E32" s="452" t="s">
        <v>3350</v>
      </c>
      <c r="F32" s="450">
        <f>SUMIF(106:106,E33,107:107)-SUMIF(106:106,C33,107:107)+100</f>
        <v>100</v>
      </c>
      <c r="G32" s="452" t="s">
        <v>3367</v>
      </c>
      <c r="H32" s="450">
        <f>SUMIF(106:106,G33,107:107)-SUMIF(106:106,C33,107:107)+100</f>
        <v>100</v>
      </c>
      <c r="I32" s="3001" t="s">
        <v>3357</v>
      </c>
      <c r="J32" s="450">
        <f>SUMIF(106:106,I33,107:107)-SUMIF(106:106,C33,107:107)+100</f>
        <v>100</v>
      </c>
      <c r="K32" s="673">
        <v>2</v>
      </c>
      <c r="L32" s="1142"/>
      <c r="M32" s="1133"/>
      <c r="N32" s="1133"/>
      <c r="O32" s="1141"/>
      <c r="P32" s="3234"/>
      <c r="Q32" s="1811" t="str">
        <f t="shared" si="8"/>
        <v>毗邻道路的类型与等级</v>
      </c>
      <c r="R32" s="773" t="s">
        <v>17</v>
      </c>
      <c r="S32" s="774">
        <f t="shared" si="10"/>
        <v>100</v>
      </c>
      <c r="T32" s="773" t="s">
        <v>17</v>
      </c>
      <c r="U32" s="774">
        <f t="shared" si="11"/>
        <v>100</v>
      </c>
      <c r="V32" s="773" t="s">
        <v>17</v>
      </c>
      <c r="W32" s="774">
        <f t="shared" si="12"/>
        <v>100</v>
      </c>
      <c r="X32" s="1814"/>
      <c r="Y32" s="3234"/>
      <c r="Z32" s="1815" t="str">
        <f t="shared" si="13"/>
        <v>毗邻道路的类型与等级</v>
      </c>
      <c r="AA32" s="1812">
        <f t="shared" si="3"/>
        <v>1</v>
      </c>
      <c r="AB32" s="1812">
        <f t="shared" si="4"/>
        <v>1</v>
      </c>
      <c r="AC32" s="1812">
        <f t="shared" si="5"/>
        <v>1</v>
      </c>
    </row>
    <row r="33" spans="1:29" ht="15">
      <c r="A33" s="428"/>
      <c r="B33" s="456"/>
      <c r="C33" s="447" t="s">
        <v>3351</v>
      </c>
      <c r="D33" s="448"/>
      <c r="E33" s="2608" t="s">
        <v>3351</v>
      </c>
      <c r="F33" s="448"/>
      <c r="G33" s="2608" t="s">
        <v>3351</v>
      </c>
      <c r="H33" s="448"/>
      <c r="I33" s="447" t="s">
        <v>3351</v>
      </c>
      <c r="J33" s="448"/>
      <c r="K33" s="613"/>
      <c r="L33" s="1142"/>
      <c r="M33" s="1133"/>
      <c r="N33" s="1133"/>
      <c r="O33" s="1141"/>
      <c r="P33" s="3234"/>
      <c r="Q33" s="1811"/>
      <c r="R33" s="773"/>
      <c r="S33" s="774"/>
      <c r="T33" s="773"/>
      <c r="U33" s="774"/>
      <c r="V33" s="773"/>
      <c r="W33" s="774"/>
      <c r="X33" s="1814"/>
      <c r="Y33" s="3234"/>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34"/>
      <c r="Q34" s="1811" t="str">
        <f t="shared" si="8"/>
        <v>土地级别</v>
      </c>
      <c r="R34" s="773" t="s">
        <v>17</v>
      </c>
      <c r="S34" s="774">
        <f t="shared" si="10"/>
        <v>100</v>
      </c>
      <c r="T34" s="773" t="s">
        <v>17</v>
      </c>
      <c r="U34" s="774">
        <f t="shared" si="11"/>
        <v>100</v>
      </c>
      <c r="V34" s="773" t="s">
        <v>17</v>
      </c>
      <c r="W34" s="774">
        <f t="shared" si="12"/>
        <v>100</v>
      </c>
      <c r="X34" s="1814"/>
      <c r="Y34" s="3234"/>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4"/>
      <c r="Q35" s="1811">
        <f t="shared" si="8"/>
        <v>111</v>
      </c>
      <c r="R35" s="773" t="s">
        <v>17</v>
      </c>
      <c r="S35" s="774">
        <f t="shared" si="10"/>
        <v>100</v>
      </c>
      <c r="T35" s="773" t="s">
        <v>17</v>
      </c>
      <c r="U35" s="774">
        <f t="shared" si="11"/>
        <v>100</v>
      </c>
      <c r="V35" s="773" t="s">
        <v>17</v>
      </c>
      <c r="W35" s="774">
        <f t="shared" si="12"/>
        <v>100</v>
      </c>
      <c r="X35" s="1814"/>
      <c r="Y35" s="3234"/>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5" t="s">
        <v>2562</v>
      </c>
      <c r="Q36" s="1811">
        <f t="shared" si="8"/>
        <v>111</v>
      </c>
      <c r="R36" s="773" t="s">
        <v>17</v>
      </c>
      <c r="S36" s="774">
        <f t="shared" si="10"/>
        <v>100</v>
      </c>
      <c r="T36" s="773" t="s">
        <v>17</v>
      </c>
      <c r="U36" s="774">
        <f t="shared" si="11"/>
        <v>100</v>
      </c>
      <c r="V36" s="773" t="s">
        <v>17</v>
      </c>
      <c r="W36" s="774">
        <f t="shared" si="12"/>
        <v>100</v>
      </c>
      <c r="X36" s="1814"/>
      <c r="Y36" s="3236" t="s">
        <v>2562</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6"/>
      <c r="Q37" s="1811">
        <f t="shared" si="8"/>
        <v>111</v>
      </c>
      <c r="R37" s="776" t="s">
        <v>17</v>
      </c>
      <c r="S37" s="777">
        <f t="shared" si="10"/>
        <v>100</v>
      </c>
      <c r="T37" s="776" t="s">
        <v>17</v>
      </c>
      <c r="U37" s="777">
        <f t="shared" si="11"/>
        <v>100</v>
      </c>
      <c r="V37" s="776" t="s">
        <v>17</v>
      </c>
      <c r="W37" s="777">
        <f t="shared" si="12"/>
        <v>100</v>
      </c>
      <c r="X37" s="778"/>
      <c r="Y37" s="3236"/>
      <c r="Z37" s="779">
        <f t="shared" si="13"/>
        <v>111</v>
      </c>
      <c r="AA37" s="1812">
        <f t="shared" si="3"/>
        <v>1</v>
      </c>
      <c r="AB37" s="1812">
        <f t="shared" si="4"/>
        <v>1</v>
      </c>
      <c r="AC37" s="1812">
        <f t="shared" si="5"/>
        <v>1</v>
      </c>
    </row>
    <row r="38" spans="1:29" ht="15">
      <c r="A38" s="472" t="s">
        <v>2560</v>
      </c>
      <c r="B38" s="456" t="s">
        <v>2748</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36"/>
      <c r="Q38" s="1811" t="str">
        <f>B38</f>
        <v>宗地面积</v>
      </c>
      <c r="R38" s="773" t="s">
        <v>17</v>
      </c>
      <c r="S38" s="774">
        <f t="shared" si="10"/>
        <v>104</v>
      </c>
      <c r="T38" s="773" t="s">
        <v>17</v>
      </c>
      <c r="U38" s="774">
        <f t="shared" si="11"/>
        <v>100</v>
      </c>
      <c r="V38" s="773" t="s">
        <v>17</v>
      </c>
      <c r="W38" s="774">
        <f t="shared" si="12"/>
        <v>104</v>
      </c>
      <c r="X38" s="1814"/>
      <c r="Y38" s="3236"/>
      <c r="Z38" s="1815" t="str">
        <f t="shared" si="13"/>
        <v>宗地面积</v>
      </c>
      <c r="AA38" s="1812">
        <f t="shared" si="3"/>
        <v>0.96153846153846156</v>
      </c>
      <c r="AB38" s="1812">
        <f t="shared" si="4"/>
        <v>1</v>
      </c>
      <c r="AC38" s="1812">
        <f t="shared" si="5"/>
        <v>0.96153846153846156</v>
      </c>
    </row>
    <row r="39" spans="1:29" ht="15">
      <c r="A39" s="472"/>
      <c r="B39" s="422" t="s">
        <v>2749</v>
      </c>
      <c r="C39" s="2610" t="s">
        <v>3352</v>
      </c>
      <c r="D39" s="435">
        <v>100</v>
      </c>
      <c r="E39" s="2610" t="s">
        <v>3352</v>
      </c>
      <c r="F39" s="435">
        <f>SUMIF(119:119,E39,120:120)-SUMIF(119:119,C39,120:120)+100</f>
        <v>100</v>
      </c>
      <c r="G39" s="2610" t="s">
        <v>3352</v>
      </c>
      <c r="H39" s="435">
        <f>SUMIF(119:119,G39,120:120)-SUMIF(119:119,C39,120:120)+100</f>
        <v>100</v>
      </c>
      <c r="I39" s="2610" t="s">
        <v>3358</v>
      </c>
      <c r="J39" s="435">
        <f>SUMIF(119:119,I39,120:120)-SUMIF(119:119,C39,120:120)+100</f>
        <v>98</v>
      </c>
      <c r="K39" s="612">
        <v>2</v>
      </c>
      <c r="L39" s="1142"/>
      <c r="M39" s="1133"/>
      <c r="N39" s="1133"/>
      <c r="O39" s="1141"/>
      <c r="P39" s="3236"/>
      <c r="Q39" s="1811" t="str">
        <f t="shared" ref="Q39:Q45" si="14">B39</f>
        <v>宗地形状</v>
      </c>
      <c r="R39" s="773" t="s">
        <v>17</v>
      </c>
      <c r="S39" s="774">
        <f t="shared" si="10"/>
        <v>100</v>
      </c>
      <c r="T39" s="773" t="s">
        <v>17</v>
      </c>
      <c r="U39" s="774">
        <f t="shared" si="11"/>
        <v>100</v>
      </c>
      <c r="V39" s="773" t="s">
        <v>17</v>
      </c>
      <c r="W39" s="774">
        <f t="shared" si="12"/>
        <v>98</v>
      </c>
      <c r="X39" s="1814"/>
      <c r="Y39" s="3236"/>
      <c r="Z39" s="1815" t="str">
        <f t="shared" si="13"/>
        <v>宗地形状</v>
      </c>
      <c r="AA39" s="1812">
        <f t="shared" si="3"/>
        <v>1</v>
      </c>
      <c r="AB39" s="1812">
        <f t="shared" si="4"/>
        <v>1</v>
      </c>
      <c r="AC39" s="1812">
        <f t="shared" si="5"/>
        <v>1.0204081632653061</v>
      </c>
    </row>
    <row r="40" spans="1:29" ht="15">
      <c r="A40" s="472"/>
      <c r="B40" s="422" t="s">
        <v>2750</v>
      </c>
      <c r="C40" s="2610" t="s">
        <v>3353</v>
      </c>
      <c r="D40" s="435">
        <v>100</v>
      </c>
      <c r="E40" s="2610" t="s">
        <v>3353</v>
      </c>
      <c r="F40" s="435">
        <f>SUMIF(121:121,E40,122:122)-SUMIF(121:121,C40,122:122)+100</f>
        <v>100</v>
      </c>
      <c r="G40" s="2610" t="s">
        <v>3353</v>
      </c>
      <c r="H40" s="435">
        <f>SUMIF(121:121,G40,122:122)-SUMIF(121:121,C40,122:122)+100</f>
        <v>100</v>
      </c>
      <c r="I40" s="2610" t="s">
        <v>3353</v>
      </c>
      <c r="J40" s="435">
        <f>SUMIF(121:121,I40,122:122)-SUMIF(121:121,C40,122:122)+100</f>
        <v>100</v>
      </c>
      <c r="K40" s="612">
        <v>2</v>
      </c>
      <c r="L40" s="1142"/>
      <c r="M40" s="1133"/>
      <c r="N40" s="1133"/>
      <c r="O40" s="1141"/>
      <c r="P40" s="3236"/>
      <c r="Q40" s="1811" t="str">
        <f t="shared" si="14"/>
        <v>临街宽度及深度</v>
      </c>
      <c r="R40" s="773" t="s">
        <v>17</v>
      </c>
      <c r="S40" s="774">
        <f t="shared" si="10"/>
        <v>100</v>
      </c>
      <c r="T40" s="773" t="s">
        <v>17</v>
      </c>
      <c r="U40" s="774">
        <f t="shared" si="11"/>
        <v>100</v>
      </c>
      <c r="V40" s="773" t="s">
        <v>17</v>
      </c>
      <c r="W40" s="774">
        <f t="shared" si="12"/>
        <v>100</v>
      </c>
      <c r="X40" s="1814"/>
      <c r="Y40" s="3236"/>
      <c r="Z40" s="1815" t="str">
        <f t="shared" si="13"/>
        <v>临街宽度及深度</v>
      </c>
      <c r="AA40" s="1812">
        <f t="shared" si="3"/>
        <v>1</v>
      </c>
      <c r="AB40" s="1812">
        <f t="shared" si="4"/>
        <v>1</v>
      </c>
      <c r="AC40" s="1812">
        <f t="shared" si="5"/>
        <v>1</v>
      </c>
    </row>
    <row r="41" spans="1:29" s="117" customFormat="1" ht="15">
      <c r="A41" s="473"/>
      <c r="B41" s="422" t="s">
        <v>2751</v>
      </c>
      <c r="C41" s="2699" t="s">
        <v>3354</v>
      </c>
      <c r="D41" s="136">
        <v>100</v>
      </c>
      <c r="E41" s="2699" t="s">
        <v>3355</v>
      </c>
      <c r="F41" s="435">
        <f>SUMIF(123:123,E41,124:124)-SUMIF(123:123,C41,124:124)+100</f>
        <v>92</v>
      </c>
      <c r="G41" s="2699" t="s">
        <v>3355</v>
      </c>
      <c r="H41" s="435">
        <f>SUMIF(123:123,G41,124:124)-SUMIF(123:123,C41,124:124)+100</f>
        <v>92</v>
      </c>
      <c r="I41" s="2699" t="s">
        <v>3359</v>
      </c>
      <c r="J41" s="435">
        <f>SUMIF(123:123,I41,124:124)-SUMIF(123:123,C41,124:124)+100</f>
        <v>98</v>
      </c>
      <c r="K41" s="612">
        <v>2</v>
      </c>
      <c r="L41" s="1134"/>
      <c r="M41" s="1135"/>
      <c r="N41" s="1135"/>
      <c r="O41" s="1136"/>
      <c r="P41" s="3236"/>
      <c r="Q41" s="1811" t="str">
        <f t="shared" si="14"/>
        <v>宗地开发程度</v>
      </c>
      <c r="R41" s="769" t="s">
        <v>17</v>
      </c>
      <c r="S41" s="770">
        <f t="shared" si="10"/>
        <v>92</v>
      </c>
      <c r="T41" s="769" t="s">
        <v>17</v>
      </c>
      <c r="U41" s="770">
        <f t="shared" si="11"/>
        <v>92</v>
      </c>
      <c r="V41" s="769" t="s">
        <v>17</v>
      </c>
      <c r="W41" s="770">
        <f t="shared" si="12"/>
        <v>98</v>
      </c>
      <c r="X41" s="771"/>
      <c r="Y41" s="3236"/>
      <c r="Z41" s="55" t="str">
        <f t="shared" si="13"/>
        <v>宗地开发程度</v>
      </c>
      <c r="AA41" s="772">
        <f t="shared" si="3"/>
        <v>1.0869565217391304</v>
      </c>
      <c r="AB41" s="772">
        <f t="shared" si="4"/>
        <v>1.0869565217391304</v>
      </c>
      <c r="AC41" s="772">
        <f t="shared" si="5"/>
        <v>1.0204081632653061</v>
      </c>
    </row>
    <row r="42" spans="1:29" ht="15">
      <c r="A42" s="472"/>
      <c r="B42" s="422" t="s">
        <v>2752</v>
      </c>
      <c r="C42" s="2610" t="s">
        <v>3268</v>
      </c>
      <c r="D42" s="435">
        <v>100</v>
      </c>
      <c r="E42" s="2610" t="s">
        <v>3268</v>
      </c>
      <c r="F42" s="435">
        <f>SUMIF(125:125,E42,126:126)-SUMIF(125:125,C42,126:126)+100</f>
        <v>100</v>
      </c>
      <c r="G42" s="2610" t="s">
        <v>3268</v>
      </c>
      <c r="H42" s="435">
        <f>SUMIF(125:125,G42,126:126)-SUMIF(125:125,C42,126:126)+100</f>
        <v>100</v>
      </c>
      <c r="I42" s="2610" t="s">
        <v>3268</v>
      </c>
      <c r="J42" s="435">
        <f>SUMIF(125:125,I42,126:126)-SUMIF(125:125,C42,126:126)+100</f>
        <v>100</v>
      </c>
      <c r="K42" s="612">
        <v>2</v>
      </c>
      <c r="L42" s="1142"/>
      <c r="M42" s="1133"/>
      <c r="N42" s="1133"/>
      <c r="O42" s="1141"/>
      <c r="P42" s="3236" t="s">
        <v>2562</v>
      </c>
      <c r="Q42" s="1811" t="str">
        <f t="shared" si="14"/>
        <v>工程地质条件</v>
      </c>
      <c r="R42" s="773" t="s">
        <v>17</v>
      </c>
      <c r="S42" s="774">
        <f t="shared" si="10"/>
        <v>100</v>
      </c>
      <c r="T42" s="773" t="s">
        <v>17</v>
      </c>
      <c r="U42" s="774">
        <f t="shared" si="11"/>
        <v>100</v>
      </c>
      <c r="V42" s="773" t="s">
        <v>17</v>
      </c>
      <c r="W42" s="774">
        <f t="shared" si="12"/>
        <v>100</v>
      </c>
      <c r="X42" s="1814"/>
      <c r="Y42" s="3236" t="s">
        <v>2562</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6"/>
      <c r="Q43" s="1811">
        <f t="shared" si="14"/>
        <v>111</v>
      </c>
      <c r="R43" s="773" t="s">
        <v>17</v>
      </c>
      <c r="S43" s="774">
        <f t="shared" si="10"/>
        <v>100</v>
      </c>
      <c r="T43" s="773" t="s">
        <v>17</v>
      </c>
      <c r="U43" s="774">
        <f t="shared" si="11"/>
        <v>100</v>
      </c>
      <c r="V43" s="773" t="s">
        <v>17</v>
      </c>
      <c r="W43" s="774">
        <f t="shared" si="12"/>
        <v>100</v>
      </c>
      <c r="X43" s="1814"/>
      <c r="Y43" s="3236"/>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6"/>
      <c r="Q44" s="1811">
        <f t="shared" si="14"/>
        <v>111</v>
      </c>
      <c r="R44" s="773" t="s">
        <v>17</v>
      </c>
      <c r="S44" s="774">
        <f t="shared" si="10"/>
        <v>100</v>
      </c>
      <c r="T44" s="773" t="s">
        <v>17</v>
      </c>
      <c r="U44" s="774">
        <f t="shared" si="11"/>
        <v>100</v>
      </c>
      <c r="V44" s="773" t="s">
        <v>17</v>
      </c>
      <c r="W44" s="774">
        <f t="shared" si="12"/>
        <v>100</v>
      </c>
      <c r="X44" s="1814"/>
      <c r="Y44" s="3236"/>
      <c r="Z44" s="1815">
        <f t="shared" si="13"/>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6"/>
      <c r="Q45" s="1811">
        <f t="shared" si="14"/>
        <v>111</v>
      </c>
      <c r="R45" s="776" t="s">
        <v>17</v>
      </c>
      <c r="S45" s="777">
        <f t="shared" si="10"/>
        <v>100</v>
      </c>
      <c r="T45" s="776" t="s">
        <v>17</v>
      </c>
      <c r="U45" s="777">
        <f t="shared" si="11"/>
        <v>100</v>
      </c>
      <c r="V45" s="776" t="s">
        <v>17</v>
      </c>
      <c r="W45" s="777">
        <f t="shared" si="12"/>
        <v>100</v>
      </c>
      <c r="X45" s="778"/>
      <c r="Y45" s="3236"/>
      <c r="Z45" s="779">
        <f t="shared" si="13"/>
        <v>111</v>
      </c>
      <c r="AA45" s="1812">
        <f t="shared" si="3"/>
        <v>1</v>
      </c>
      <c r="AB45" s="1812">
        <f t="shared" si="4"/>
        <v>1</v>
      </c>
      <c r="AC45" s="1812">
        <f t="shared" si="5"/>
        <v>1</v>
      </c>
    </row>
    <row r="46" spans="1:29" ht="15">
      <c r="A46" s="479" t="s">
        <v>2717</v>
      </c>
      <c r="B46" s="2701" t="s">
        <v>2753</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18" t="str">
        <f>A46</f>
        <v>成交单价</v>
      </c>
      <c r="Q46" s="3218"/>
      <c r="R46" s="3231">
        <f>E46</f>
        <v>44995</v>
      </c>
      <c r="S46" s="3231"/>
      <c r="T46" s="3231">
        <f>G46</f>
        <v>41193</v>
      </c>
      <c r="U46" s="3231"/>
      <c r="V46" s="3231">
        <f>I46</f>
        <v>44981</v>
      </c>
      <c r="W46" s="3231"/>
      <c r="X46" s="758"/>
      <c r="Y46" s="780"/>
      <c r="Z46" s="758"/>
      <c r="AA46" s="758"/>
      <c r="AB46" s="758"/>
      <c r="AC46" s="758"/>
    </row>
    <row r="47" spans="1:29" ht="15.75" thickBot="1">
      <c r="A47" s="486" t="s">
        <v>2666</v>
      </c>
      <c r="B47" s="683"/>
      <c r="C47" s="490">
        <f>R48</f>
        <v>46037</v>
      </c>
      <c r="D47" s="489"/>
      <c r="E47" s="490">
        <f>R47</f>
        <v>49012</v>
      </c>
      <c r="F47" s="491"/>
      <c r="G47" s="488">
        <f>T47</f>
        <v>45758</v>
      </c>
      <c r="H47" s="489"/>
      <c r="I47" s="490">
        <f>V47</f>
        <v>43341</v>
      </c>
      <c r="J47" s="489"/>
      <c r="K47" s="783"/>
      <c r="L47" s="1145"/>
      <c r="M47" s="1146"/>
      <c r="N47" s="1146"/>
      <c r="O47" s="1146"/>
      <c r="P47" s="3218" t="str">
        <f>A47</f>
        <v>比较价值（元/平方米）</v>
      </c>
      <c r="Q47" s="3218"/>
      <c r="R47" s="3237">
        <f>ROUND(PRODUCT(R46,AA7:AA45),0)</f>
        <v>49012</v>
      </c>
      <c r="S47" s="3237"/>
      <c r="T47" s="3237">
        <f>ROUND(PRODUCT(T46,AB7:AB45),0)</f>
        <v>45758</v>
      </c>
      <c r="U47" s="3237"/>
      <c r="V47" s="3237">
        <f>ROUND(PRODUCT(V46,AC7:AC45),0)</f>
        <v>43341</v>
      </c>
      <c r="W47" s="3237"/>
      <c r="X47" s="758"/>
      <c r="Y47" s="758"/>
      <c r="Z47" s="758"/>
      <c r="AA47" s="758"/>
      <c r="AB47" s="758"/>
      <c r="AC47" s="758"/>
    </row>
    <row r="48" spans="1:29" ht="15.75" thickBot="1">
      <c r="A48" s="492" t="s">
        <v>2754</v>
      </c>
      <c r="B48" s="493"/>
      <c r="C48" s="494">
        <f>R48</f>
        <v>46037</v>
      </c>
      <c r="D48" s="494"/>
      <c r="E48" s="494"/>
      <c r="F48" s="494"/>
      <c r="G48" s="494"/>
      <c r="H48" s="494"/>
      <c r="I48" s="494"/>
      <c r="J48" s="494"/>
      <c r="K48" s="784"/>
      <c r="L48" s="1145"/>
      <c r="M48" s="1146"/>
      <c r="N48" s="1146"/>
      <c r="O48" s="1146"/>
      <c r="P48" s="3238" t="str">
        <f>A48</f>
        <v>估价对象XX用房的比较价值（楼面单价，元/平方米）</v>
      </c>
      <c r="Q48" s="3239"/>
      <c r="R48" s="3240">
        <f>ROUND(AVERAGE(R47:V47),0)</f>
        <v>46037</v>
      </c>
      <c r="S48" s="3240"/>
      <c r="T48" s="3240"/>
      <c r="U48" s="3240"/>
      <c r="V48" s="3240"/>
      <c r="W48" s="324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f>IF(E46&lt;E47,E47/E46-1,E46/E47-1)</f>
        <v>8.9276586287365234E-2</v>
      </c>
      <c r="F51" s="500" t="str">
        <f>IF(OR(E51&gt;=0.3,E51&lt;=-0.3),"超过30%","")</f>
        <v/>
      </c>
      <c r="G51" s="499">
        <f>IF(G46&lt;G47,G47/G46-1,G46/G47-1)</f>
        <v>0.11081979948049425</v>
      </c>
      <c r="H51" s="500" t="str">
        <f>IF(OR(G51&gt;=0.3,G51&lt;=-0.3),"超过30%","")</f>
        <v/>
      </c>
      <c r="I51" s="499">
        <f>IF(I46&lt;I47,I47/I46-1,I46/I47-1)</f>
        <v>3.7839459172607892E-2</v>
      </c>
      <c r="J51" s="500" t="str">
        <f>IF(OR(I51&gt;=0.3,I51&lt;=-0.3),"超过30%","")</f>
        <v/>
      </c>
      <c r="K51" s="1107"/>
      <c r="L51" s="1108"/>
      <c r="M51" s="1146"/>
      <c r="N51" s="1146"/>
      <c r="O51" s="1146"/>
    </row>
    <row r="52" spans="1:15" ht="13.5" customHeight="1">
      <c r="A52" s="1146"/>
      <c r="B52" s="1146"/>
      <c r="C52" s="497" t="s">
        <v>2669</v>
      </c>
      <c r="D52" s="501"/>
      <c r="E52" s="499">
        <f>IF(E47&lt;G47,G47/E47-1,E47/G47-1)</f>
        <v>7.1113247956641423E-2</v>
      </c>
      <c r="F52" s="500" t="str">
        <f>IF(OR(E52&gt;=0.2,E52&lt;=-0.2),"超过20%","")</f>
        <v/>
      </c>
      <c r="G52" s="499">
        <f>IF(G47&lt;I47,I47/G47-1,G47/I47-1)</f>
        <v>5.5767056597678888E-2</v>
      </c>
      <c r="H52" s="500" t="str">
        <f>IF(OR(G52&gt;=0.2,G52&lt;=-0.2),"超过20%","")</f>
        <v/>
      </c>
      <c r="I52" s="499">
        <f>IF(I47&lt;E47,E47/I47-1,I47/E47-1)</f>
        <v>0.13084608107796303</v>
      </c>
      <c r="J52" s="500" t="str">
        <f>IF(OR(I52&gt;=0.2,I52&lt;=-0.2),"超过20%","")</f>
        <v/>
      </c>
      <c r="K52" s="1107"/>
      <c r="L52" s="1108"/>
      <c r="M52" s="1146"/>
      <c r="N52" s="1146"/>
      <c r="O52" s="1146"/>
    </row>
    <row r="53" spans="1:15" s="502" customFormat="1" ht="13.5" customHeight="1">
      <c r="A53" s="1147"/>
      <c r="B53" s="1147"/>
      <c r="C53" s="497" t="s">
        <v>2670</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2" t="s">
        <v>2757</v>
      </c>
      <c r="D55" s="2703" t="s">
        <v>2758</v>
      </c>
      <c r="E55" s="686" t="s">
        <v>2759</v>
      </c>
      <c r="F55" s="1109" t="s">
        <v>2760</v>
      </c>
      <c r="G55" s="3219" t="s">
        <v>2761</v>
      </c>
      <c r="H55" s="3241"/>
      <c r="I55" s="144" t="s">
        <v>2762</v>
      </c>
      <c r="J55" s="2704">
        <f>项目基本情况!F35</f>
        <v>0</v>
      </c>
      <c r="K55" s="2705" t="s">
        <v>2763</v>
      </c>
      <c r="L55" s="1108"/>
      <c r="M55" s="1146"/>
      <c r="N55" s="1146"/>
      <c r="O55" s="1146"/>
    </row>
    <row r="56" spans="1:15" s="692" customFormat="1">
      <c r="A56" s="688" t="s">
        <v>2764</v>
      </c>
      <c r="B56" s="689">
        <f>C48</f>
        <v>46037</v>
      </c>
      <c r="C56" s="690">
        <v>1</v>
      </c>
      <c r="D56" s="1165">
        <v>1</v>
      </c>
      <c r="E56" s="690">
        <f>'数据-汇总表'!E8+'数据-汇总表'!E9</f>
        <v>27371.22</v>
      </c>
      <c r="F56" s="1105">
        <f t="shared" ref="F56:F65" si="15">ROUND(B56*E56/10000,0)</f>
        <v>126009</v>
      </c>
      <c r="G56" s="3242"/>
      <c r="H56" s="3218"/>
      <c r="I56" s="1110">
        <v>1</v>
      </c>
      <c r="J56" s="1113">
        <v>1</v>
      </c>
      <c r="K56" s="1147"/>
      <c r="L56" s="943"/>
      <c r="M56" s="943"/>
      <c r="N56" s="943"/>
      <c r="O56" s="943"/>
    </row>
    <row r="57" spans="1:15" s="692" customFormat="1">
      <c r="A57" s="693" t="s">
        <v>2765</v>
      </c>
      <c r="B57" s="262">
        <f>ROUND($C$48*C57*D57,0)</f>
        <v>6906</v>
      </c>
      <c r="C57" s="200">
        <f t="shared" ref="C57:C65" si="16">IF($C$55="北京市系数",I57,J57)</f>
        <v>0.6</v>
      </c>
      <c r="D57" s="1166">
        <v>0.25</v>
      </c>
      <c r="E57" s="694"/>
      <c r="F57" s="1105">
        <f t="shared" si="15"/>
        <v>0</v>
      </c>
      <c r="G57" s="3243" t="s">
        <v>2766</v>
      </c>
      <c r="H57" s="1106" t="str">
        <f>项目基本情况!B37</f>
        <v>八级</v>
      </c>
      <c r="I57" s="1110">
        <f>SUMIF(修正!A45:A56,H57,修正!B45:B56)</f>
        <v>0.6</v>
      </c>
      <c r="J57" s="1114"/>
      <c r="K57" s="1146"/>
      <c r="L57" s="943"/>
      <c r="M57" s="943"/>
      <c r="N57" s="943"/>
      <c r="O57" s="943"/>
    </row>
    <row r="58" spans="1:15" s="692" customFormat="1">
      <c r="A58" s="693" t="s">
        <v>2767</v>
      </c>
      <c r="B58" s="262">
        <f t="shared" ref="B58:B65" si="17">ROUND($C$48*C58*D58,0)</f>
        <v>3453</v>
      </c>
      <c r="C58" s="200">
        <f t="shared" si="16"/>
        <v>0.3</v>
      </c>
      <c r="D58" s="1166">
        <v>0.25</v>
      </c>
      <c r="E58" s="694"/>
      <c r="F58" s="1105">
        <f t="shared" si="15"/>
        <v>0</v>
      </c>
      <c r="G58" s="3243"/>
      <c r="H58" s="1106" t="str">
        <f>项目基本情况!B37</f>
        <v>八级</v>
      </c>
      <c r="I58" s="1110">
        <f>SUMIF(修正!A45:A56,H58,修正!C45:C56)</f>
        <v>0.3</v>
      </c>
      <c r="J58" s="1114"/>
      <c r="K58" s="1147"/>
      <c r="L58" s="943"/>
      <c r="M58" s="943"/>
      <c r="N58" s="943"/>
      <c r="O58" s="943"/>
    </row>
    <row r="59" spans="1:15" s="692" customFormat="1">
      <c r="A59" s="693" t="s">
        <v>2768</v>
      </c>
      <c r="B59" s="262">
        <f t="shared" si="17"/>
        <v>2302</v>
      </c>
      <c r="C59" s="200">
        <f t="shared" si="16"/>
        <v>0.2</v>
      </c>
      <c r="D59" s="1166">
        <v>0.25</v>
      </c>
      <c r="E59" s="694"/>
      <c r="F59" s="1105">
        <f t="shared" si="15"/>
        <v>0</v>
      </c>
      <c r="G59" s="3243"/>
      <c r="H59" s="1106" t="str">
        <f>项目基本情况!B37</f>
        <v>八级</v>
      </c>
      <c r="I59" s="1110">
        <f>SUMIF(修正!A45:A56,H59,修正!D45:D56)</f>
        <v>0.2</v>
      </c>
      <c r="J59" s="1114"/>
      <c r="K59" s="1146"/>
      <c r="L59" s="943"/>
      <c r="M59" s="943"/>
      <c r="N59" s="943"/>
      <c r="O59" s="943"/>
    </row>
    <row r="60" spans="1:15" s="692" customFormat="1">
      <c r="A60" s="693" t="s">
        <v>2769</v>
      </c>
      <c r="B60" s="262">
        <f t="shared" si="17"/>
        <v>2302</v>
      </c>
      <c r="C60" s="200">
        <f t="shared" si="16"/>
        <v>0.2</v>
      </c>
      <c r="D60" s="1166">
        <v>0.25</v>
      </c>
      <c r="E60" s="694"/>
      <c r="F60" s="1105">
        <f t="shared" si="15"/>
        <v>0</v>
      </c>
      <c r="G60" s="3243"/>
      <c r="H60" s="1106" t="str">
        <f>项目基本情况!B37</f>
        <v>八级</v>
      </c>
      <c r="I60" s="1110">
        <f>SUMIF(修正!A45:A56,H60,修正!E45:E56)</f>
        <v>0.2</v>
      </c>
      <c r="J60" s="1114"/>
      <c r="K60" s="1147"/>
      <c r="L60" s="943"/>
      <c r="M60" s="943"/>
      <c r="N60" s="943"/>
      <c r="O60" s="943"/>
    </row>
    <row r="61" spans="1:15" s="692" customFormat="1">
      <c r="A61" s="693" t="s">
        <v>2770</v>
      </c>
      <c r="B61" s="262">
        <f t="shared" si="17"/>
        <v>2302</v>
      </c>
      <c r="C61" s="200">
        <f t="shared" si="16"/>
        <v>0.2</v>
      </c>
      <c r="D61" s="1166">
        <v>0.25</v>
      </c>
      <c r="E61" s="261">
        <f>'数据-汇总表'!E11</f>
        <v>0</v>
      </c>
      <c r="F61" s="1105">
        <f t="shared" si="15"/>
        <v>0</v>
      </c>
      <c r="G61" s="2706" t="s">
        <v>2771</v>
      </c>
      <c r="H61" s="1106" t="str">
        <f>项目基本情况!C37</f>
        <v>八级</v>
      </c>
      <c r="I61" s="1110">
        <f>SUMIF(修正!A45:A56,H61,修正!F45:F56)</f>
        <v>0.2</v>
      </c>
      <c r="J61" s="1114"/>
      <c r="K61" s="1146"/>
      <c r="L61" s="943"/>
      <c r="M61" s="943"/>
      <c r="N61" s="943"/>
      <c r="O61" s="943"/>
    </row>
    <row r="62" spans="1:15" s="692" customFormat="1">
      <c r="A62" s="693" t="s">
        <v>2772</v>
      </c>
      <c r="B62" s="262">
        <f t="shared" si="17"/>
        <v>2302</v>
      </c>
      <c r="C62" s="200">
        <f t="shared" si="16"/>
        <v>0.2</v>
      </c>
      <c r="D62" s="1166">
        <v>0.25</v>
      </c>
      <c r="E62" s="261">
        <f>'数据-汇总表'!E12</f>
        <v>2752.95</v>
      </c>
      <c r="F62" s="1105">
        <f t="shared" si="15"/>
        <v>634</v>
      </c>
      <c r="G62" s="1111" t="s">
        <v>3085</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f t="shared" si="17"/>
        <v>1726</v>
      </c>
      <c r="C63" s="200">
        <f t="shared" si="16"/>
        <v>0.15</v>
      </c>
      <c r="D63" s="1166">
        <v>0.25</v>
      </c>
      <c r="E63" s="261">
        <f>'数据-汇总表'!E13</f>
        <v>584.81999999999971</v>
      </c>
      <c r="F63" s="1105">
        <f t="shared" si="15"/>
        <v>101</v>
      </c>
      <c r="G63" s="1111" t="s">
        <v>2775</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2776</v>
      </c>
      <c r="B64" s="262">
        <f t="shared" si="17"/>
        <v>1726</v>
      </c>
      <c r="C64" s="200">
        <f t="shared" si="16"/>
        <v>0.15</v>
      </c>
      <c r="D64" s="1166">
        <v>0.25</v>
      </c>
      <c r="E64" s="261">
        <f>'数据-汇总表'!E14</f>
        <v>0</v>
      </c>
      <c r="F64" s="1105">
        <f t="shared" si="15"/>
        <v>0</v>
      </c>
      <c r="G64" s="2706" t="s">
        <v>2766</v>
      </c>
      <c r="H64" s="1106" t="str">
        <f>项目基本情况!B37</f>
        <v>八级</v>
      </c>
      <c r="I64" s="1110">
        <f>SUMIF(修正!A45:A56,H64,修正!H45:H56)</f>
        <v>0.15</v>
      </c>
      <c r="J64" s="1114"/>
      <c r="K64" s="1147"/>
      <c r="L64" s="943"/>
      <c r="M64" s="943"/>
      <c r="N64" s="943"/>
      <c r="O64" s="943"/>
    </row>
    <row r="65" spans="1:17" s="692" customFormat="1" ht="15" thickBot="1">
      <c r="A65" s="693" t="s">
        <v>2777</v>
      </c>
      <c r="B65" s="262">
        <f t="shared" si="17"/>
        <v>1726</v>
      </c>
      <c r="C65" s="200">
        <f t="shared" si="16"/>
        <v>0.15</v>
      </c>
      <c r="D65" s="1166">
        <v>0.25</v>
      </c>
      <c r="E65" s="261">
        <f>'数据-汇总表'!E15</f>
        <v>0</v>
      </c>
      <c r="F65" s="1105">
        <f t="shared" si="15"/>
        <v>0</v>
      </c>
      <c r="G65" s="2707"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30708.99</v>
      </c>
      <c r="F66" s="697">
        <f>IF(B46="楼面地价",SUM(F56:F65),ROUND(C48*E66/10000,0))</f>
        <v>126744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08" t="s">
        <v>2779</v>
      </c>
      <c r="B70" s="1361"/>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7"/>
    </row>
    <row r="71" spans="1:17" s="117" customFormat="1" ht="30" customHeight="1">
      <c r="A71" s="2709" t="s">
        <v>2780</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2585</v>
      </c>
      <c r="B75" s="528" t="s">
        <v>2551</v>
      </c>
      <c r="C75" s="2957" t="s">
        <v>3091</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2688</v>
      </c>
      <c r="C106" s="2958" t="s">
        <v>3092</v>
      </c>
      <c r="D106" s="2958" t="s">
        <v>3093</v>
      </c>
      <c r="E106" s="2958" t="s">
        <v>3094</v>
      </c>
      <c r="F106" s="2958" t="s">
        <v>3095</v>
      </c>
      <c r="G106" s="2958" t="s">
        <v>3096</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5"/>
      <c r="O118" s="1155"/>
      <c r="P118" s="45"/>
      <c r="Q118" s="504"/>
    </row>
    <row r="119" spans="1:17" ht="15" thickTop="1">
      <c r="A119" s="599"/>
      <c r="B119" s="538" t="s">
        <v>2789</v>
      </c>
      <c r="C119" s="2959" t="s">
        <v>3097</v>
      </c>
      <c r="D119" s="2959" t="s">
        <v>3098</v>
      </c>
      <c r="E119" s="2959" t="s">
        <v>3099</v>
      </c>
      <c r="F119" s="2959" t="s">
        <v>3100</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2790</v>
      </c>
      <c r="C121" s="2958" t="s">
        <v>3101</v>
      </c>
      <c r="D121" s="2958" t="s">
        <v>3102</v>
      </c>
      <c r="E121" s="2958" t="s">
        <v>3103</v>
      </c>
      <c r="F121" s="2959" t="s">
        <v>3104</v>
      </c>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2791</v>
      </c>
      <c r="C123" s="2958" t="s">
        <v>3105</v>
      </c>
      <c r="D123" s="2958" t="s">
        <v>3106</v>
      </c>
      <c r="E123" s="2958" t="s">
        <v>3107</v>
      </c>
      <c r="F123" s="2958" t="s">
        <v>3108</v>
      </c>
      <c r="G123" s="2958" t="s">
        <v>3109</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2792</v>
      </c>
      <c r="C125" s="2958" t="s">
        <v>3110</v>
      </c>
      <c r="D125" s="2958" t="s">
        <v>3111</v>
      </c>
      <c r="E125" s="2959" t="s">
        <v>3112</v>
      </c>
      <c r="F125" s="2959" t="s">
        <v>3113</v>
      </c>
      <c r="G125" s="2959" t="s">
        <v>3114</v>
      </c>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2458</v>
      </c>
      <c r="B1" s="1582"/>
      <c r="C1" s="1583"/>
      <c r="D1" s="1581"/>
      <c r="E1" s="320"/>
      <c r="F1" s="320"/>
      <c r="G1" s="1582"/>
      <c r="H1" s="320"/>
      <c r="I1" s="320"/>
      <c r="J1" s="320"/>
      <c r="K1" s="320">
        <f>MATCH(C1,'数据-取费表'!A6:A16,0)+5</f>
        <v>10</v>
      </c>
    </row>
    <row r="2" spans="1:33" ht="18" customHeight="1">
      <c r="A2" s="245" t="s">
        <v>2326</v>
      </c>
      <c r="B2" s="248">
        <f ca="1">C32</f>
        <v>6258</v>
      </c>
      <c r="C2" s="320" t="s">
        <v>2459</v>
      </c>
      <c r="D2" s="320"/>
      <c r="E2" s="320"/>
      <c r="F2" s="320"/>
      <c r="G2" s="320"/>
      <c r="H2" s="320"/>
      <c r="I2" s="320"/>
      <c r="J2" s="320"/>
      <c r="K2" s="320"/>
    </row>
    <row r="3" spans="1:33" ht="18" customHeight="1" thickBot="1">
      <c r="A3" s="247" t="s">
        <v>2328</v>
      </c>
      <c r="B3" s="248">
        <f ca="1">ROUND(B2*10000/IF(C1="",'数据-汇总表'!E3,INDIRECT("'数据-取费表'!K"&amp;$K$1)),0)</f>
        <v>1984</v>
      </c>
      <c r="C3" s="320" t="s">
        <v>2460</v>
      </c>
      <c r="D3" s="320"/>
      <c r="E3" s="320"/>
      <c r="F3" s="320"/>
      <c r="G3" s="320"/>
      <c r="H3" s="320"/>
      <c r="I3" s="320"/>
      <c r="J3" s="320"/>
      <c r="K3" s="320"/>
    </row>
    <row r="4" spans="1:33" s="958" customFormat="1" ht="16.5" customHeight="1">
      <c r="A4" s="955" t="s">
        <v>2461</v>
      </c>
      <c r="B4" s="956"/>
      <c r="C4" s="998">
        <f ca="1">SUM(C8:K8)</f>
        <v>6918</v>
      </c>
      <c r="D4" s="956"/>
      <c r="E4" s="956"/>
      <c r="F4" s="956"/>
      <c r="G4" s="956"/>
      <c r="H4" s="956"/>
      <c r="I4" s="956"/>
      <c r="J4" s="956"/>
      <c r="K4" s="957"/>
    </row>
    <row r="5" spans="1:33" s="962" customFormat="1" ht="15">
      <c r="A5" s="959" t="s">
        <v>2462</v>
      </c>
      <c r="B5" s="960" t="s">
        <v>2463</v>
      </c>
      <c r="C5" s="2551" t="s">
        <v>3085</v>
      </c>
      <c r="D5" s="2551" t="s">
        <v>1377</v>
      </c>
      <c r="E5" s="2551" t="s">
        <v>2464</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'比较法-住宅'!B3</f>
        <v>95528</v>
      </c>
      <c r="D6" s="964">
        <f ca="1">'收益法-商业'!B3</f>
        <v>20159</v>
      </c>
      <c r="E6" s="964">
        <f ca="1">'收益法-车库'!B3</f>
        <v>7883</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3203.06</v>
      </c>
      <c r="E7" s="321">
        <f>SUMIF('数据-汇总表'!$C19:$C33,假设开发法!E5,'数据-汇总表'!$E19:$E33)</f>
        <v>584.81999999999971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2468</v>
      </c>
      <c r="B8" s="177" t="s">
        <v>2469</v>
      </c>
      <c r="C8" s="999">
        <f>'比较法-住宅'!B2</f>
        <v>0</v>
      </c>
      <c r="D8" s="999">
        <f ca="1">'收益法-商业'!B2</f>
        <v>6457</v>
      </c>
      <c r="E8" s="999">
        <f ca="1">'收益法-车库'!B2</f>
        <v>461</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0.04</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0.05</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31541.359999999997</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95</v>
      </c>
      <c r="D17" s="1035">
        <f ca="1">D14</f>
        <v>31541.359999999997</v>
      </c>
      <c r="E17" s="24">
        <f>'数据-取费表'!B32</f>
        <v>30</v>
      </c>
      <c r="F17" s="980"/>
      <c r="G17" s="140" t="s">
        <v>2488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3" t="s">
        <v>3282</v>
      </c>
      <c r="H18" s="1578"/>
      <c r="I18" s="2554"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2492</v>
      </c>
      <c r="C20" s="24">
        <f ca="1">ROUND(D20*E20/10000,0)</f>
        <v>0</v>
      </c>
      <c r="D20" s="1035">
        <f ca="1">IF(C1="",'数据-汇总表'!E6,IF(INDIRECT("'数据-取费表'!c"&amp;$K$1)="住宅",INDIRECT("'数据-取费表'!s"&amp;$K$1),INDIRECT("'数据-取费表'!k"&amp;$K$1)+INDIRECT("'数据-取费表'!s"&amp;$K$1)))</f>
        <v>31541.359999999997</v>
      </c>
      <c r="E20" s="24">
        <f>'数据-取费表'!B28</f>
        <v>0</v>
      </c>
      <c r="F20" s="978"/>
      <c r="G20" s="15"/>
      <c r="H20" s="983"/>
      <c r="I20" s="983"/>
      <c r="J20" s="983"/>
      <c r="K20" s="984"/>
    </row>
    <row r="21" spans="1:33" s="977" customFormat="1" ht="13.5" customHeight="1">
      <c r="A21" s="963" t="s">
        <v>802</v>
      </c>
      <c r="B21" s="987" t="s">
        <v>2493</v>
      </c>
      <c r="C21" s="988">
        <f ca="1">C16+C17+C18</f>
        <v>95</v>
      </c>
      <c r="D21" s="989"/>
      <c r="E21" s="325"/>
      <c r="F21" s="325"/>
      <c r="G21" s="140" t="s">
        <v>2494</v>
      </c>
      <c r="H21" s="981"/>
      <c r="I21" s="981"/>
      <c r="J21" s="981"/>
      <c r="K21" s="982"/>
    </row>
    <row r="22" spans="1:33" s="977" customFormat="1" ht="13.5" customHeight="1">
      <c r="A22" s="963" t="s">
        <v>2466</v>
      </c>
      <c r="B22" s="987" t="s">
        <v>2495</v>
      </c>
      <c r="C22" s="988">
        <f ca="1">ROUND(C21*F22,0)</f>
        <v>3</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2506</v>
      </c>
      <c r="B28" s="2556" t="s">
        <v>2507</v>
      </c>
      <c r="C28" s="331">
        <f ca="1">C30</f>
        <v>19</v>
      </c>
      <c r="D28" s="324">
        <f ca="1">C29</f>
        <v>0</v>
      </c>
      <c r="E28" s="326" t="s">
        <v>15</v>
      </c>
      <c r="F28" s="332">
        <f ca="1">IF(C1="",'数据-取费表'!Q16,INDIRECT("'数据-取费表'!q"&amp;$K$1))</f>
        <v>0.19</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19</v>
      </c>
      <c r="D30" s="328"/>
      <c r="E30" s="329"/>
      <c r="F30" s="334"/>
      <c r="G30" s="140"/>
      <c r="H30" s="981"/>
      <c r="I30" s="981"/>
      <c r="J30" s="981"/>
      <c r="K30" s="982"/>
    </row>
    <row r="31" spans="1:33" s="977" customFormat="1" ht="13.5" customHeight="1" thickBot="1">
      <c r="A31" s="2557" t="s">
        <v>2511</v>
      </c>
      <c r="B31" s="1007" t="s">
        <v>2512</v>
      </c>
      <c r="C31" s="1008">
        <f ca="1">ROUND(C4*F31/(1+'数据-取费表'!C42),0)</f>
        <v>362</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6258</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G19" sqref="G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2526</v>
      </c>
      <c r="C1" s="1635" t="s">
        <v>2527</v>
      </c>
      <c r="D1" s="1622" t="s">
        <v>3085</v>
      </c>
      <c r="E1" s="2580"/>
      <c r="F1" s="2581" t="s">
        <v>2528</v>
      </c>
      <c r="G1" s="1632" t="s">
        <v>2529</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0</v>
      </c>
      <c r="C2" s="2583" t="s">
        <v>70</v>
      </c>
      <c r="D2" s="1367" t="e">
        <f ca="1">SUMIF(INDIRECT("'"&amp;F2&amp;"'"&amp;"!A:A"),"承租人权益价值",INDIRECT("'"&amp;F2&amp;"'"&amp;"!c:c"))</f>
        <v>#REF!</v>
      </c>
      <c r="E2" s="2584" t="s">
        <v>2530</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95528</v>
      </c>
      <c r="C3" s="400" t="s">
        <v>2531</v>
      </c>
      <c r="D3" s="399">
        <f>IF(D1="",'数据-汇总表'!E3,SUMIF('数据-汇总表'!$C19:$C33,D1,'数据-汇总表'!$E19:$E33))</f>
        <v>0</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2532</v>
      </c>
      <c r="B4" s="402"/>
      <c r="C4" s="3219" t="s">
        <v>2533</v>
      </c>
      <c r="D4" s="3220"/>
      <c r="E4" s="3221" t="s">
        <v>2534</v>
      </c>
      <c r="F4" s="3222"/>
      <c r="G4" s="3219" t="s">
        <v>2535</v>
      </c>
      <c r="H4" s="3220"/>
      <c r="I4" s="3219" t="s">
        <v>2536</v>
      </c>
      <c r="J4" s="3220"/>
      <c r="K4" s="2593" t="s">
        <v>2537</v>
      </c>
      <c r="L4" s="1132"/>
      <c r="M4" s="1133"/>
      <c r="N4" s="1133"/>
      <c r="O4" s="1133"/>
      <c r="P4" s="3223" t="s">
        <v>2538</v>
      </c>
      <c r="Q4" s="3224"/>
      <c r="R4" s="3206" t="s">
        <v>2534</v>
      </c>
      <c r="S4" s="3207"/>
      <c r="T4" s="3206" t="s">
        <v>2535</v>
      </c>
      <c r="U4" s="3207"/>
      <c r="V4" s="3231" t="s">
        <v>2536</v>
      </c>
      <c r="W4" s="3231"/>
      <c r="X4" s="1814"/>
      <c r="Y4" s="3206" t="s">
        <v>2538</v>
      </c>
      <c r="Z4" s="3207"/>
      <c r="AA4" s="3201" t="s">
        <v>2534</v>
      </c>
      <c r="AB4" s="3201" t="s">
        <v>2535</v>
      </c>
      <c r="AC4" s="3201" t="s">
        <v>2536</v>
      </c>
    </row>
    <row r="5" spans="1:29" ht="15">
      <c r="A5" s="404"/>
      <c r="B5" s="405"/>
      <c r="C5" s="3212" t="s">
        <v>2539</v>
      </c>
      <c r="D5" s="3213"/>
      <c r="E5" s="3244" t="s">
        <v>3247</v>
      </c>
      <c r="F5" s="3211"/>
      <c r="G5" s="3245" t="s">
        <v>3248</v>
      </c>
      <c r="H5" s="3213"/>
      <c r="I5" s="3245" t="s">
        <v>3266</v>
      </c>
      <c r="J5" s="3213"/>
      <c r="K5" s="2594"/>
      <c r="L5" s="1132"/>
      <c r="M5" s="1133"/>
      <c r="N5" s="1133"/>
      <c r="O5" s="1133"/>
      <c r="P5" s="3225"/>
      <c r="Q5" s="3226"/>
      <c r="R5" s="3208"/>
      <c r="S5" s="3209"/>
      <c r="T5" s="3208"/>
      <c r="U5" s="3209"/>
      <c r="V5" s="3231"/>
      <c r="W5" s="3231"/>
      <c r="X5" s="1814"/>
      <c r="Y5" s="3208"/>
      <c r="Z5" s="3209"/>
      <c r="AA5" s="3202"/>
      <c r="AB5" s="3202"/>
      <c r="AC5" s="3202"/>
    </row>
    <row r="6" spans="1:29" ht="15.75" thickBot="1">
      <c r="A6" s="406"/>
      <c r="B6" s="407"/>
      <c r="C6" s="3214" t="s">
        <v>2543</v>
      </c>
      <c r="D6" s="3215"/>
      <c r="E6" s="3216" t="s">
        <v>2543</v>
      </c>
      <c r="F6" s="3217"/>
      <c r="G6" s="3214" t="s">
        <v>2543</v>
      </c>
      <c r="H6" s="3215"/>
      <c r="I6" s="3214" t="s">
        <v>2543</v>
      </c>
      <c r="J6" s="3215"/>
      <c r="K6" s="2594" t="s">
        <v>2544</v>
      </c>
      <c r="L6" s="1132"/>
      <c r="M6" s="1133"/>
      <c r="N6" s="1133"/>
      <c r="O6" s="1133"/>
      <c r="P6" s="3227"/>
      <c r="Q6" s="3228"/>
      <c r="R6" s="3208"/>
      <c r="S6" s="3209"/>
      <c r="T6" s="3229"/>
      <c r="U6" s="3230"/>
      <c r="V6" s="3231"/>
      <c r="W6" s="3231"/>
      <c r="X6" s="1814"/>
      <c r="Y6" s="3229"/>
      <c r="Z6" s="3230"/>
      <c r="AA6" s="3203"/>
      <c r="AB6" s="3203"/>
      <c r="AC6" s="3203"/>
    </row>
    <row r="7" spans="1:29" s="117" customFormat="1" ht="15.75" thickBot="1">
      <c r="A7" s="408" t="s">
        <v>2545</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04" t="s">
        <v>2546</v>
      </c>
      <c r="Q7" s="3232"/>
      <c r="R7" s="769" t="s">
        <v>23</v>
      </c>
      <c r="S7" s="770">
        <f t="shared" ref="S7:S15" si="0">F7</f>
        <v>100</v>
      </c>
      <c r="T7" s="769" t="s">
        <v>23</v>
      </c>
      <c r="U7" s="770">
        <f t="shared" ref="U7:U15" si="1">H7</f>
        <v>100</v>
      </c>
      <c r="V7" s="769" t="s">
        <v>23</v>
      </c>
      <c r="W7" s="770">
        <f t="shared" ref="W7:W15" si="2">J7</f>
        <v>100</v>
      </c>
      <c r="X7" s="771"/>
      <c r="Y7" s="3204" t="s">
        <v>2546</v>
      </c>
      <c r="Z7" s="3205"/>
      <c r="AA7" s="772">
        <f>D7/F7</f>
        <v>1</v>
      </c>
      <c r="AB7" s="772">
        <f>D7/H7</f>
        <v>1</v>
      </c>
      <c r="AC7" s="772">
        <f>D7/J7</f>
        <v>1</v>
      </c>
    </row>
    <row r="8" spans="1:29" s="117" customFormat="1" ht="15.75" thickBot="1">
      <c r="A8" s="408" t="s">
        <v>2547</v>
      </c>
      <c r="B8" s="409"/>
      <c r="C8" s="414" t="s">
        <v>2548</v>
      </c>
      <c r="D8" s="411">
        <v>100</v>
      </c>
      <c r="E8" s="2596" t="s">
        <v>3240</v>
      </c>
      <c r="F8" s="413">
        <f>SUMIF(61:61,E8,62:62)-SUMIF(61:61,C8,62:62)+100</f>
        <v>100</v>
      </c>
      <c r="G8" s="414" t="s">
        <v>3240</v>
      </c>
      <c r="H8" s="411">
        <f>SUMIF(61:61,G8,62:62)-SUMIF(61:61,C8,62:62)+100</f>
        <v>100</v>
      </c>
      <c r="I8" s="2596" t="s">
        <v>3240</v>
      </c>
      <c r="J8" s="411">
        <f>SUMIF(61:61,I8,62:62)-SUMIF(61:61,C8,62:62)+100</f>
        <v>100</v>
      </c>
      <c r="K8" s="2595"/>
      <c r="L8" s="1134"/>
      <c r="M8" s="1135"/>
      <c r="N8" s="1135"/>
      <c r="O8" s="1135"/>
      <c r="P8" s="3204" t="s">
        <v>2549</v>
      </c>
      <c r="Q8" s="3205"/>
      <c r="R8" s="769" t="s">
        <v>23</v>
      </c>
      <c r="S8" s="770">
        <f t="shared" si="0"/>
        <v>100</v>
      </c>
      <c r="T8" s="769" t="s">
        <v>23</v>
      </c>
      <c r="U8" s="770">
        <f t="shared" si="1"/>
        <v>100</v>
      </c>
      <c r="V8" s="769" t="s">
        <v>23</v>
      </c>
      <c r="W8" s="770">
        <f t="shared" si="2"/>
        <v>100</v>
      </c>
      <c r="X8" s="771"/>
      <c r="Y8" s="3204" t="s">
        <v>2549</v>
      </c>
      <c r="Z8" s="3205"/>
      <c r="AA8" s="772">
        <f t="shared" ref="AA8:AA19" si="3">D8/F8</f>
        <v>1</v>
      </c>
      <c r="AB8" s="772">
        <f t="shared" ref="AB8:AB19" si="4">D8/H8</f>
        <v>1</v>
      </c>
      <c r="AC8" s="772">
        <f t="shared" ref="AC8:AC19" si="5">D8/J8</f>
        <v>1</v>
      </c>
    </row>
    <row r="9" spans="1:29" s="117" customFormat="1">
      <c r="A9" s="415" t="s">
        <v>2550</v>
      </c>
      <c r="B9" s="71" t="s">
        <v>2551</v>
      </c>
      <c r="C9" s="2995" t="s">
        <v>3241</v>
      </c>
      <c r="D9" s="135">
        <v>100</v>
      </c>
      <c r="E9" s="417" t="s">
        <v>3085</v>
      </c>
      <c r="F9" s="418">
        <f>SUMIF(63:63,E9,64:64)-SUMIF(63:63,C9,64:64)+100</f>
        <v>100</v>
      </c>
      <c r="G9" s="419" t="s">
        <v>3085</v>
      </c>
      <c r="H9" s="135">
        <f>SUMIF(63:63,G9,64:64)-SUMIF(63:63,C9,64:64)+100</f>
        <v>100</v>
      </c>
      <c r="I9" s="419" t="s">
        <v>3085</v>
      </c>
      <c r="J9" s="135">
        <f>SUMIF(63:63,I9,64:64)-SUMIF(63:63,C9,64:64)+100</f>
        <v>100</v>
      </c>
      <c r="K9" s="2595"/>
      <c r="L9" s="1134"/>
      <c r="M9" s="1135"/>
      <c r="N9" s="1135"/>
      <c r="O9" s="1135"/>
      <c r="P9" s="3242" t="s">
        <v>2552</v>
      </c>
      <c r="Q9" s="1796"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7" customFormat="1" ht="27">
      <c r="A10" s="421"/>
      <c r="B10" s="422" t="s">
        <v>2554</v>
      </c>
      <c r="C10" s="423" t="s">
        <v>3242</v>
      </c>
      <c r="D10" s="136">
        <v>100</v>
      </c>
      <c r="E10" s="424" t="s">
        <v>3242</v>
      </c>
      <c r="F10" s="425">
        <f>SUMIF(65:65,E10,66:66)-SUMIF(65:65,C10,66:66)+100</f>
        <v>100</v>
      </c>
      <c r="G10" s="423" t="s">
        <v>3242</v>
      </c>
      <c r="H10" s="136">
        <f>SUMIF(65:65,G10,66:66)-SUMIF(65:65,C10,66:66)+100</f>
        <v>100</v>
      </c>
      <c r="I10" s="423" t="s">
        <v>3242</v>
      </c>
      <c r="J10" s="136">
        <f>SUMIF(65:65,I10,66:66)-SUMIF(65:65,C10,66:66)+100</f>
        <v>100</v>
      </c>
      <c r="K10" s="426">
        <v>2</v>
      </c>
      <c r="L10" s="1137"/>
      <c r="M10" s="1138"/>
      <c r="N10" s="1138"/>
      <c r="O10" s="1138"/>
      <c r="P10" s="3242"/>
      <c r="Q10" s="1796"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2555</v>
      </c>
      <c r="C11" s="429">
        <f>'数据-汇总表'!I6</f>
        <v>1.18</v>
      </c>
      <c r="D11" s="136">
        <v>100</v>
      </c>
      <c r="E11" s="430">
        <v>1.03</v>
      </c>
      <c r="F11" s="425">
        <f>LOOKUP(E11,68:68,69:69)-LOOKUP(C11,68:68,69:69)+100</f>
        <v>100</v>
      </c>
      <c r="G11" s="429">
        <v>0.5</v>
      </c>
      <c r="H11" s="136">
        <f>LOOKUP(G11,68:68,69:69)-LOOKUP(C11,68:68,69:69)+100</f>
        <v>102</v>
      </c>
      <c r="I11" s="429">
        <v>0.33</v>
      </c>
      <c r="J11" s="136">
        <f>LOOKUP(I11,68:68,69:69)-LOOKUP(C11,68:68,69:69)+100</f>
        <v>102</v>
      </c>
      <c r="K11" s="426">
        <v>2</v>
      </c>
      <c r="L11" s="1140"/>
      <c r="M11" s="1133"/>
      <c r="N11" s="1133"/>
      <c r="O11" s="1133"/>
      <c r="P11" s="3242"/>
      <c r="Q11" s="1796" t="str">
        <f t="shared" si="6"/>
        <v>容积率</v>
      </c>
      <c r="R11" s="769" t="s">
        <v>21</v>
      </c>
      <c r="S11" s="770">
        <f t="shared" si="0"/>
        <v>100</v>
      </c>
      <c r="T11" s="769" t="s">
        <v>21</v>
      </c>
      <c r="U11" s="770">
        <f t="shared" si="1"/>
        <v>102</v>
      </c>
      <c r="V11" s="769" t="s">
        <v>21</v>
      </c>
      <c r="W11" s="770">
        <f t="shared" si="2"/>
        <v>102</v>
      </c>
      <c r="X11" s="771"/>
      <c r="Y11" s="3078"/>
      <c r="Z11" s="55" t="str">
        <f t="shared" si="7"/>
        <v>容积率</v>
      </c>
      <c r="AA11" s="772">
        <f t="shared" si="3"/>
        <v>1</v>
      </c>
      <c r="AB11" s="772">
        <f t="shared" si="4"/>
        <v>0.98039215686274506</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42"/>
      <c r="Q12" s="1796">
        <f t="shared" si="6"/>
        <v>111</v>
      </c>
      <c r="R12" s="769" t="s">
        <v>21</v>
      </c>
      <c r="S12" s="770">
        <f t="shared" si="0"/>
        <v>100</v>
      </c>
      <c r="T12" s="769" t="s">
        <v>21</v>
      </c>
      <c r="U12" s="770">
        <f t="shared" si="1"/>
        <v>100</v>
      </c>
      <c r="V12" s="769" t="s">
        <v>21</v>
      </c>
      <c r="W12" s="770">
        <f t="shared" si="2"/>
        <v>100</v>
      </c>
      <c r="X12" s="771"/>
      <c r="Y12" s="307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42"/>
      <c r="Q13" s="1796">
        <f t="shared" si="6"/>
        <v>111</v>
      </c>
      <c r="R13" s="769" t="s">
        <v>21</v>
      </c>
      <c r="S13" s="770">
        <f t="shared" si="0"/>
        <v>100</v>
      </c>
      <c r="T13" s="769" t="s">
        <v>21</v>
      </c>
      <c r="U13" s="770">
        <f t="shared" si="1"/>
        <v>100</v>
      </c>
      <c r="V13" s="769" t="s">
        <v>21</v>
      </c>
      <c r="W13" s="770">
        <f t="shared" si="2"/>
        <v>100</v>
      </c>
      <c r="X13" s="771"/>
      <c r="Y13" s="3078"/>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42"/>
      <c r="Q14" s="1796">
        <f t="shared" si="6"/>
        <v>111</v>
      </c>
      <c r="R14" s="769" t="s">
        <v>21</v>
      </c>
      <c r="S14" s="770">
        <f t="shared" si="0"/>
        <v>100</v>
      </c>
      <c r="T14" s="769" t="s">
        <v>21</v>
      </c>
      <c r="U14" s="770">
        <f t="shared" si="1"/>
        <v>100</v>
      </c>
      <c r="V14" s="769" t="s">
        <v>21</v>
      </c>
      <c r="W14" s="770">
        <f t="shared" si="2"/>
        <v>100</v>
      </c>
      <c r="X14" s="771"/>
      <c r="Y14" s="3078"/>
      <c r="Z14" s="55">
        <f t="shared" si="7"/>
        <v>111</v>
      </c>
      <c r="AA14" s="772">
        <f t="shared" si="3"/>
        <v>1</v>
      </c>
      <c r="AB14" s="772">
        <f t="shared" si="4"/>
        <v>1</v>
      </c>
      <c r="AC14" s="772">
        <f t="shared" si="5"/>
        <v>1</v>
      </c>
    </row>
    <row r="15" spans="1:29" ht="99.75">
      <c r="A15" s="440" t="s">
        <v>2556</v>
      </c>
      <c r="B15" s="69" t="s">
        <v>2087</v>
      </c>
      <c r="C15" s="2600" t="str">
        <f>估价对象房地状况!C3</f>
        <v>估价对象周边有春晖园、新于庄园、新世界丽樽等住宅项目，密集度一般，综合评价居住社区成熟度一般。</v>
      </c>
      <c r="D15" s="441">
        <v>100</v>
      </c>
      <c r="E15" s="2996" t="s">
        <v>3249</v>
      </c>
      <c r="F15" s="441">
        <f>SUMIF(76:76,E16,77:77)-SUMIF(76:76,C16,77:77)+100</f>
        <v>102</v>
      </c>
      <c r="G15" s="442" t="s">
        <v>3250</v>
      </c>
      <c r="H15" s="441">
        <f>SUMIF(76:76,G16,77:77)-SUMIF(76:76,C16,77:77)+100</f>
        <v>102</v>
      </c>
      <c r="I15" s="2997" t="s">
        <v>3251</v>
      </c>
      <c r="J15" s="441">
        <f>SUMIF(76:76,I16,77:77)-SUMIF(76:76,C16,77:77)+100</f>
        <v>102</v>
      </c>
      <c r="K15" s="445">
        <v>2</v>
      </c>
      <c r="L15" s="1142"/>
      <c r="M15" s="1133"/>
      <c r="N15" s="1133"/>
      <c r="O15" s="1133"/>
      <c r="P15" s="3252" t="s">
        <v>2557</v>
      </c>
      <c r="Q15" s="1811" t="str">
        <f t="shared" si="6"/>
        <v>居住社区成熟度</v>
      </c>
      <c r="R15" s="773" t="s">
        <v>21</v>
      </c>
      <c r="S15" s="774">
        <f t="shared" si="0"/>
        <v>102</v>
      </c>
      <c r="T15" s="773" t="s">
        <v>21</v>
      </c>
      <c r="U15" s="774">
        <f t="shared" si="1"/>
        <v>102</v>
      </c>
      <c r="V15" s="773" t="s">
        <v>21</v>
      </c>
      <c r="W15" s="774">
        <f t="shared" si="2"/>
        <v>102</v>
      </c>
      <c r="X15" s="1814"/>
      <c r="Y15" s="3233" t="s">
        <v>2557</v>
      </c>
      <c r="Z15" s="1815" t="str">
        <f t="shared" si="7"/>
        <v>居住社区成熟度</v>
      </c>
      <c r="AA15" s="1812">
        <f t="shared" si="3"/>
        <v>0.98039215686274506</v>
      </c>
      <c r="AB15" s="1812">
        <f t="shared" si="4"/>
        <v>0.98039215686274506</v>
      </c>
      <c r="AC15" s="1812">
        <f t="shared" si="5"/>
        <v>0.98039215686274506</v>
      </c>
    </row>
    <row r="16" spans="1:29" ht="15">
      <c r="A16" s="428"/>
      <c r="B16" s="446"/>
      <c r="C16" s="447" t="s">
        <v>3267</v>
      </c>
      <c r="D16" s="448"/>
      <c r="E16" s="2601" t="s">
        <v>3268</v>
      </c>
      <c r="F16" s="448"/>
      <c r="G16" s="2602" t="s">
        <v>3268</v>
      </c>
      <c r="H16" s="450"/>
      <c r="I16" s="2602" t="s">
        <v>3268</v>
      </c>
      <c r="J16" s="448"/>
      <c r="K16" s="2603"/>
      <c r="L16" s="1142"/>
      <c r="M16" s="1133"/>
      <c r="N16" s="1133"/>
      <c r="O16" s="1133"/>
      <c r="P16" s="3253"/>
      <c r="Q16" s="1811"/>
      <c r="R16" s="773"/>
      <c r="S16" s="774"/>
      <c r="T16" s="773"/>
      <c r="U16" s="774"/>
      <c r="V16" s="773"/>
      <c r="W16" s="774"/>
      <c r="X16" s="1814"/>
      <c r="Y16" s="3234"/>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4" t="s">
        <v>3252</v>
      </c>
      <c r="F17" s="450">
        <f>SUMIF(78:78,E18,79:79)-SUMIF(78:78,C18,79:79)+100</f>
        <v>102</v>
      </c>
      <c r="G17" s="452" t="s">
        <v>3252</v>
      </c>
      <c r="H17" s="455">
        <f>SUMIF(78:78,G18,79:79)-SUMIF(78:78,C18,79:79)+100</f>
        <v>102</v>
      </c>
      <c r="I17" s="2998" t="s">
        <v>3253</v>
      </c>
      <c r="J17" s="455">
        <f>SUMIF(78:78,I18,79:79)-SUMIF(78:78,C18,79:79)+100</f>
        <v>102</v>
      </c>
      <c r="K17" s="445">
        <v>2</v>
      </c>
      <c r="L17" s="1142"/>
      <c r="M17" s="1133"/>
      <c r="N17" s="1133"/>
      <c r="O17" s="1133"/>
      <c r="P17" s="3253"/>
      <c r="Q17" s="1811" t="str">
        <f>B17</f>
        <v>交通便捷度</v>
      </c>
      <c r="R17" s="773" t="s">
        <v>21</v>
      </c>
      <c r="S17" s="774">
        <f>F17</f>
        <v>102</v>
      </c>
      <c r="T17" s="773" t="s">
        <v>21</v>
      </c>
      <c r="U17" s="774">
        <f>H17</f>
        <v>102</v>
      </c>
      <c r="V17" s="773" t="s">
        <v>21</v>
      </c>
      <c r="W17" s="774">
        <f>J17</f>
        <v>102</v>
      </c>
      <c r="X17" s="1814"/>
      <c r="Y17" s="3234"/>
      <c r="Z17" s="1815" t="str">
        <f>Q17</f>
        <v>交通便捷度</v>
      </c>
      <c r="AA17" s="1812">
        <f t="shared" si="3"/>
        <v>0.98039215686274506</v>
      </c>
      <c r="AB17" s="1812">
        <f t="shared" si="4"/>
        <v>0.98039215686274506</v>
      </c>
      <c r="AC17" s="1812">
        <f t="shared" si="5"/>
        <v>0.98039215686274506</v>
      </c>
    </row>
    <row r="18" spans="1:29" ht="15">
      <c r="A18" s="428"/>
      <c r="B18" s="456"/>
      <c r="C18" s="2605" t="s">
        <v>3267</v>
      </c>
      <c r="D18" s="450"/>
      <c r="E18" s="2606" t="s">
        <v>3268</v>
      </c>
      <c r="F18" s="450"/>
      <c r="G18" s="2607" t="s">
        <v>3268</v>
      </c>
      <c r="H18" s="448"/>
      <c r="I18" s="2607" t="s">
        <v>3268</v>
      </c>
      <c r="J18" s="448"/>
      <c r="K18" s="2603"/>
      <c r="L18" s="1142"/>
      <c r="M18" s="1133"/>
      <c r="N18" s="1133"/>
      <c r="O18" s="1133"/>
      <c r="P18" s="3253"/>
      <c r="Q18" s="1811"/>
      <c r="R18" s="773"/>
      <c r="S18" s="774"/>
      <c r="T18" s="773"/>
      <c r="U18" s="774"/>
      <c r="V18" s="773"/>
      <c r="W18" s="774"/>
      <c r="X18" s="1814"/>
      <c r="Y18" s="3234"/>
      <c r="Z18" s="1815"/>
      <c r="AA18" s="1812">
        <v>1</v>
      </c>
      <c r="AB18" s="1812">
        <v>1</v>
      </c>
      <c r="AC18" s="1812">
        <v>1</v>
      </c>
    </row>
    <row r="19" spans="1:29" ht="42.75">
      <c r="A19" s="428"/>
      <c r="B19" s="451" t="s">
        <v>2094</v>
      </c>
      <c r="C19" s="2604" t="str">
        <f>估价对象房地状况!C7</f>
        <v>估价对象所在区域公共配套设施齐备情况一般。</v>
      </c>
      <c r="D19" s="455">
        <v>100</v>
      </c>
      <c r="E19" s="2999" t="s">
        <v>3254</v>
      </c>
      <c r="F19" s="455">
        <f>SUMIF(80:80,E20,81:81)-SUMIF(80:80,C20,81:81)+100</f>
        <v>102</v>
      </c>
      <c r="G19" s="3000" t="s">
        <v>3254</v>
      </c>
      <c r="H19" s="450">
        <f>SUMIF(80:80,G20,81:81)-SUMIF(80:80,C20,81:81)+100</f>
        <v>102</v>
      </c>
      <c r="I19" s="3000" t="s">
        <v>3255</v>
      </c>
      <c r="J19" s="450">
        <f>SUMIF(80:80,I20,81:81)-SUMIF(80:80,C20,81:81)+100</f>
        <v>102</v>
      </c>
      <c r="K19" s="445">
        <v>2</v>
      </c>
      <c r="L19" s="1142"/>
      <c r="M19" s="1133"/>
      <c r="N19" s="1133"/>
      <c r="O19" s="1133"/>
      <c r="P19" s="3253"/>
      <c r="Q19" s="1811" t="str">
        <f>B19</f>
        <v>公共配套设施</v>
      </c>
      <c r="R19" s="773" t="s">
        <v>21</v>
      </c>
      <c r="S19" s="774">
        <f>F19</f>
        <v>102</v>
      </c>
      <c r="T19" s="773" t="s">
        <v>21</v>
      </c>
      <c r="U19" s="774">
        <f>H19</f>
        <v>102</v>
      </c>
      <c r="V19" s="773" t="s">
        <v>21</v>
      </c>
      <c r="W19" s="774">
        <f>J19</f>
        <v>102</v>
      </c>
      <c r="X19" s="1814"/>
      <c r="Y19" s="3234"/>
      <c r="Z19" s="1815" t="str">
        <f>Q19</f>
        <v>公共配套设施</v>
      </c>
      <c r="AA19" s="1812">
        <f t="shared" si="3"/>
        <v>0.98039215686274506</v>
      </c>
      <c r="AB19" s="1812">
        <f t="shared" si="4"/>
        <v>0.98039215686274506</v>
      </c>
      <c r="AC19" s="1812">
        <f t="shared" si="5"/>
        <v>0.98039215686274506</v>
      </c>
    </row>
    <row r="20" spans="1:29" ht="15">
      <c r="A20" s="428"/>
      <c r="B20" s="456"/>
      <c r="C20" s="447" t="s">
        <v>3267</v>
      </c>
      <c r="D20" s="448"/>
      <c r="E20" s="2601" t="s">
        <v>3268</v>
      </c>
      <c r="F20" s="448"/>
      <c r="G20" s="2602" t="s">
        <v>3268</v>
      </c>
      <c r="H20" s="448"/>
      <c r="I20" s="2602" t="s">
        <v>3268</v>
      </c>
      <c r="J20" s="448"/>
      <c r="K20" s="2603"/>
      <c r="L20" s="1142"/>
      <c r="M20" s="1133"/>
      <c r="N20" s="1133"/>
      <c r="O20" s="1133"/>
      <c r="P20" s="3253"/>
      <c r="Q20" s="1811"/>
      <c r="R20" s="773"/>
      <c r="S20" s="774"/>
      <c r="T20" s="773"/>
      <c r="U20" s="774"/>
      <c r="V20" s="773"/>
      <c r="W20" s="774"/>
      <c r="X20" s="1814"/>
      <c r="Y20" s="3234"/>
      <c r="Z20" s="1815"/>
      <c r="AA20" s="1812">
        <v>1</v>
      </c>
      <c r="AB20" s="1812">
        <v>1</v>
      </c>
      <c r="AC20" s="1812">
        <v>1</v>
      </c>
    </row>
    <row r="21" spans="1:29" ht="42.75">
      <c r="A21" s="428"/>
      <c r="B21" s="1386" t="s">
        <v>2097</v>
      </c>
      <c r="C21" s="2604" t="str">
        <f>估价对象房地状况!C8</f>
        <v>估价对象所在区域基础设施水平达“七通”。</v>
      </c>
      <c r="D21" s="450">
        <v>100</v>
      </c>
      <c r="E21" s="459" t="s">
        <v>3257</v>
      </c>
      <c r="F21" s="455">
        <f>SUMIF(82:82,E22,83:83)-SUMIF(82:82,C22,83:83)+100</f>
        <v>100</v>
      </c>
      <c r="G21" s="457" t="s">
        <v>3257</v>
      </c>
      <c r="H21" s="450">
        <f>SUMIF(82:82,G22,83:83)-SUMIF(82:82,C22,83:83)+100</f>
        <v>100</v>
      </c>
      <c r="I21" s="457" t="s">
        <v>3257</v>
      </c>
      <c r="J21" s="450">
        <f>SUMIF(82:82,I22,83:83)-SUMIF(82:82,C22,83:83)+100</f>
        <v>100</v>
      </c>
      <c r="K21" s="445">
        <v>2</v>
      </c>
      <c r="L21" s="1142"/>
      <c r="M21" s="1133"/>
      <c r="N21" s="1133"/>
      <c r="O21" s="1133"/>
      <c r="P21" s="3253"/>
      <c r="Q21" s="1811" t="str">
        <f>B21</f>
        <v>基础设施水平</v>
      </c>
      <c r="R21" s="773" t="s">
        <v>17</v>
      </c>
      <c r="S21" s="774">
        <f>F21</f>
        <v>100</v>
      </c>
      <c r="T21" s="773" t="s">
        <v>17</v>
      </c>
      <c r="U21" s="774">
        <f>H21</f>
        <v>100</v>
      </c>
      <c r="V21" s="773" t="s">
        <v>17</v>
      </c>
      <c r="W21" s="774">
        <f>J21</f>
        <v>100</v>
      </c>
      <c r="X21" s="1814"/>
      <c r="Y21" s="3234"/>
      <c r="Z21" s="1815" t="str">
        <f>Q21</f>
        <v>基础设施水平</v>
      </c>
      <c r="AA21" s="1812">
        <f t="shared" ref="AA21" si="8">D21/F21</f>
        <v>1</v>
      </c>
      <c r="AB21" s="1812">
        <f t="shared" ref="AB21" si="9">D21/H21</f>
        <v>1</v>
      </c>
      <c r="AC21" s="1812">
        <f t="shared" ref="AC21" si="10">D21/J21</f>
        <v>1</v>
      </c>
    </row>
    <row r="22" spans="1:29" ht="15">
      <c r="A22" s="428"/>
      <c r="B22" s="1386"/>
      <c r="C22" s="2605" t="s">
        <v>3264</v>
      </c>
      <c r="D22" s="448"/>
      <c r="E22" s="447" t="s">
        <v>3264</v>
      </c>
      <c r="F22" s="448"/>
      <c r="G22" s="2608" t="s">
        <v>3264</v>
      </c>
      <c r="H22" s="448"/>
      <c r="I22" s="447" t="s">
        <v>3264</v>
      </c>
      <c r="J22" s="448"/>
      <c r="K22" s="2609"/>
      <c r="L22" s="1142"/>
      <c r="M22" s="1133"/>
      <c r="N22" s="1133"/>
      <c r="O22" s="1133"/>
      <c r="P22" s="3253"/>
      <c r="Q22" s="1811"/>
      <c r="R22" s="773"/>
      <c r="S22" s="774"/>
      <c r="T22" s="773"/>
      <c r="U22" s="774"/>
      <c r="V22" s="773"/>
      <c r="W22" s="774"/>
      <c r="X22" s="1814"/>
      <c r="Y22" s="3234"/>
      <c r="Z22" s="1815"/>
      <c r="AA22" s="1812">
        <v>1</v>
      </c>
      <c r="AB22" s="1812">
        <v>1</v>
      </c>
      <c r="AC22" s="1812">
        <v>1</v>
      </c>
    </row>
    <row r="23" spans="1:29" ht="99.75">
      <c r="A23" s="428"/>
      <c r="B23" s="451" t="s">
        <v>2101</v>
      </c>
      <c r="C23" s="2604" t="str">
        <f>估价对象房地状况!C9</f>
        <v>估价对象所在区域邻近温榆河，自然环境一般；无人文环境场所；综合评价自然及人文环境状况一般。</v>
      </c>
      <c r="D23" s="450">
        <v>100</v>
      </c>
      <c r="E23" s="3001" t="s">
        <v>3363</v>
      </c>
      <c r="F23" s="450">
        <f>SUMIF(84:84,E24,85:85)-SUMIF(84:84,C24,85:85)+100</f>
        <v>100</v>
      </c>
      <c r="G23" s="2998" t="s">
        <v>3363</v>
      </c>
      <c r="H23" s="450">
        <f>SUMIF(84:84,G24,85:85)-SUMIF(84:84,C24,85:85)+100</f>
        <v>100</v>
      </c>
      <c r="I23" s="2998" t="s">
        <v>3364</v>
      </c>
      <c r="J23" s="450">
        <f>SUMIF(84:84,I24,85:85)-SUMIF(84:84,C24,85:85)+100</f>
        <v>100</v>
      </c>
      <c r="K23" s="445">
        <v>2</v>
      </c>
      <c r="L23" s="1142"/>
      <c r="M23" s="1133"/>
      <c r="N23" s="1133"/>
      <c r="O23" s="1133"/>
      <c r="P23" s="3253"/>
      <c r="Q23" s="1811" t="str">
        <f>B23</f>
        <v>自然及人文环境</v>
      </c>
      <c r="R23" s="773" t="s">
        <v>21</v>
      </c>
      <c r="S23" s="774">
        <f>F23</f>
        <v>100</v>
      </c>
      <c r="T23" s="773" t="s">
        <v>21</v>
      </c>
      <c r="U23" s="774">
        <f>H23</f>
        <v>100</v>
      </c>
      <c r="V23" s="773" t="s">
        <v>21</v>
      </c>
      <c r="W23" s="774">
        <f>J23</f>
        <v>100</v>
      </c>
      <c r="X23" s="1814"/>
      <c r="Y23" s="3234"/>
      <c r="Z23" s="1815" t="str">
        <f>Q23</f>
        <v>自然及人文环境</v>
      </c>
      <c r="AA23" s="1812">
        <f>D23/F23</f>
        <v>1</v>
      </c>
      <c r="AB23" s="1812">
        <f>D23/H23</f>
        <v>1</v>
      </c>
      <c r="AC23" s="1812">
        <f>D23/J23</f>
        <v>1</v>
      </c>
    </row>
    <row r="24" spans="1:29" ht="15">
      <c r="A24" s="428"/>
      <c r="B24" s="456"/>
      <c r="C24" s="447" t="s">
        <v>3267</v>
      </c>
      <c r="D24" s="448"/>
      <c r="E24" s="2601" t="s">
        <v>3267</v>
      </c>
      <c r="F24" s="448"/>
      <c r="G24" s="2602" t="s">
        <v>3267</v>
      </c>
      <c r="H24" s="448"/>
      <c r="I24" s="2602" t="s">
        <v>3267</v>
      </c>
      <c r="J24" s="448"/>
      <c r="K24" s="2603"/>
      <c r="L24" s="1142"/>
      <c r="M24" s="1133"/>
      <c r="N24" s="1133"/>
      <c r="O24" s="1133"/>
      <c r="P24" s="3253"/>
      <c r="Q24" s="1811"/>
      <c r="R24" s="773"/>
      <c r="S24" s="774"/>
      <c r="T24" s="773"/>
      <c r="U24" s="774"/>
      <c r="V24" s="773"/>
      <c r="W24" s="774"/>
      <c r="X24" s="1814"/>
      <c r="Y24" s="3234"/>
      <c r="Z24" s="1815"/>
      <c r="AA24" s="1812">
        <v>1</v>
      </c>
      <c r="AB24" s="1812">
        <v>1</v>
      </c>
      <c r="AC24" s="1812">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53"/>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34"/>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53"/>
      <c r="Q26" s="1811" t="str">
        <f t="shared" si="11"/>
        <v>朝向</v>
      </c>
      <c r="R26" s="773" t="s">
        <v>21</v>
      </c>
      <c r="S26" s="774">
        <f t="shared" si="12"/>
        <v>100</v>
      </c>
      <c r="T26" s="773" t="s">
        <v>21</v>
      </c>
      <c r="U26" s="774">
        <f t="shared" si="13"/>
        <v>100</v>
      </c>
      <c r="V26" s="773" t="s">
        <v>21</v>
      </c>
      <c r="W26" s="774">
        <f t="shared" si="14"/>
        <v>100</v>
      </c>
      <c r="X26" s="1814"/>
      <c r="Y26" s="3234"/>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53"/>
      <c r="Q27" s="1796">
        <f t="shared" si="11"/>
        <v>111</v>
      </c>
      <c r="R27" s="769" t="s">
        <v>21</v>
      </c>
      <c r="S27" s="770">
        <f t="shared" si="12"/>
        <v>100</v>
      </c>
      <c r="T27" s="769" t="s">
        <v>21</v>
      </c>
      <c r="U27" s="770">
        <f t="shared" si="13"/>
        <v>100</v>
      </c>
      <c r="V27" s="769" t="s">
        <v>21</v>
      </c>
      <c r="W27" s="770">
        <f t="shared" si="14"/>
        <v>100</v>
      </c>
      <c r="X27" s="771"/>
      <c r="Y27" s="3234"/>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53"/>
      <c r="Q28" s="1811">
        <f t="shared" si="11"/>
        <v>111</v>
      </c>
      <c r="R28" s="773" t="s">
        <v>21</v>
      </c>
      <c r="S28" s="774">
        <f t="shared" si="12"/>
        <v>100</v>
      </c>
      <c r="T28" s="773" t="s">
        <v>21</v>
      </c>
      <c r="U28" s="774">
        <f t="shared" si="13"/>
        <v>100</v>
      </c>
      <c r="V28" s="773" t="s">
        <v>21</v>
      </c>
      <c r="W28" s="774">
        <f t="shared" si="14"/>
        <v>100</v>
      </c>
      <c r="X28" s="1814"/>
      <c r="Y28" s="3234"/>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53"/>
      <c r="Q29" s="1811">
        <f t="shared" si="11"/>
        <v>111</v>
      </c>
      <c r="R29" s="773" t="s">
        <v>21</v>
      </c>
      <c r="S29" s="774">
        <f t="shared" si="12"/>
        <v>100</v>
      </c>
      <c r="T29" s="773" t="s">
        <v>21</v>
      </c>
      <c r="U29" s="774">
        <f t="shared" si="13"/>
        <v>100</v>
      </c>
      <c r="V29" s="773" t="s">
        <v>21</v>
      </c>
      <c r="W29" s="774">
        <f t="shared" si="14"/>
        <v>100</v>
      </c>
      <c r="X29" s="1814"/>
      <c r="Y29" s="3234"/>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53"/>
      <c r="Q30" s="1811">
        <f t="shared" si="11"/>
        <v>111</v>
      </c>
      <c r="R30" s="773" t="s">
        <v>21</v>
      </c>
      <c r="S30" s="774">
        <f t="shared" si="12"/>
        <v>100</v>
      </c>
      <c r="T30" s="773" t="s">
        <v>21</v>
      </c>
      <c r="U30" s="774">
        <f t="shared" si="13"/>
        <v>100</v>
      </c>
      <c r="V30" s="773" t="s">
        <v>21</v>
      </c>
      <c r="W30" s="774">
        <f t="shared" si="14"/>
        <v>100</v>
      </c>
      <c r="X30" s="1814"/>
      <c r="Y30" s="3234"/>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53"/>
      <c r="Q31" s="1811">
        <f t="shared" si="11"/>
        <v>111</v>
      </c>
      <c r="R31" s="773" t="s">
        <v>21</v>
      </c>
      <c r="S31" s="774">
        <f t="shared" si="12"/>
        <v>100</v>
      </c>
      <c r="T31" s="773" t="s">
        <v>21</v>
      </c>
      <c r="U31" s="774">
        <f t="shared" si="13"/>
        <v>100</v>
      </c>
      <c r="V31" s="773" t="s">
        <v>21</v>
      </c>
      <c r="W31" s="774">
        <f t="shared" si="14"/>
        <v>100</v>
      </c>
      <c r="X31" s="1814"/>
      <c r="Y31" s="3234"/>
      <c r="Z31" s="1815">
        <f t="shared" si="18"/>
        <v>111</v>
      </c>
      <c r="AA31" s="1812">
        <f t="shared" si="15"/>
        <v>1</v>
      </c>
      <c r="AB31" s="1812">
        <f t="shared" si="16"/>
        <v>1</v>
      </c>
      <c r="AC31" s="1812">
        <f t="shared" si="17"/>
        <v>1</v>
      </c>
    </row>
    <row r="32" spans="1:29" ht="15">
      <c r="A32" s="440" t="s">
        <v>2560</v>
      </c>
      <c r="B32" s="71" t="s">
        <v>2561</v>
      </c>
      <c r="C32" s="2614" t="s">
        <v>3258</v>
      </c>
      <c r="D32" s="467">
        <v>100</v>
      </c>
      <c r="E32" s="2615" t="s">
        <v>3259</v>
      </c>
      <c r="F32" s="461">
        <f>SUMIF(100:100,E32,101:101)-SUMIF(100:100,C32,101:101)+100</f>
        <v>102</v>
      </c>
      <c r="G32" s="2614" t="s">
        <v>3259</v>
      </c>
      <c r="H32" s="467">
        <f>SUMIF(100:100,G32,101:101)-SUMIF(100:100,C32,101:101)+100</f>
        <v>102</v>
      </c>
      <c r="I32" s="2615" t="s">
        <v>3259</v>
      </c>
      <c r="J32" s="435">
        <f>SUMIF(100:100,I32,101:101)-SUMIF(100:100,C32,101:101)+100</f>
        <v>102</v>
      </c>
      <c r="K32" s="426">
        <v>2</v>
      </c>
      <c r="L32" s="1142"/>
      <c r="M32" s="1133"/>
      <c r="N32" s="1133"/>
      <c r="O32" s="1133"/>
      <c r="P32" s="3248" t="s">
        <v>2562</v>
      </c>
      <c r="Q32" s="1811" t="str">
        <f t="shared" si="11"/>
        <v>建筑类型</v>
      </c>
      <c r="R32" s="773" t="s">
        <v>21</v>
      </c>
      <c r="S32" s="774">
        <f t="shared" si="12"/>
        <v>102</v>
      </c>
      <c r="T32" s="773" t="s">
        <v>21</v>
      </c>
      <c r="U32" s="774">
        <f t="shared" si="13"/>
        <v>102</v>
      </c>
      <c r="V32" s="773" t="s">
        <v>21</v>
      </c>
      <c r="W32" s="774">
        <f t="shared" si="14"/>
        <v>102</v>
      </c>
      <c r="X32" s="1814"/>
      <c r="Y32" s="3236" t="s">
        <v>2562</v>
      </c>
      <c r="Z32" s="1815" t="str">
        <f t="shared" si="18"/>
        <v>建筑类型</v>
      </c>
      <c r="AA32" s="1812">
        <f t="shared" si="15"/>
        <v>0.98039215686274506</v>
      </c>
      <c r="AB32" s="1812">
        <f t="shared" si="16"/>
        <v>0.98039215686274506</v>
      </c>
      <c r="AC32" s="1812">
        <f t="shared" si="17"/>
        <v>0.98039215686274506</v>
      </c>
    </row>
    <row r="33" spans="1:29" s="471" customFormat="1" ht="15">
      <c r="A33" s="468"/>
      <c r="B33" s="422" t="s">
        <v>2563</v>
      </c>
      <c r="C33" s="469">
        <f>'数据-汇总表'!E3</f>
        <v>31541.359999999997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8"/>
      <c r="L33" s="1140"/>
      <c r="M33" s="1143"/>
      <c r="N33" s="1143"/>
      <c r="O33" s="1143"/>
      <c r="P33" s="3249"/>
      <c r="Q33" s="775" t="str">
        <f t="shared" si="11"/>
        <v>项目建筑规模</v>
      </c>
      <c r="R33" s="776" t="s">
        <v>21</v>
      </c>
      <c r="S33" s="777">
        <f t="shared" si="12"/>
        <v>100</v>
      </c>
      <c r="T33" s="776" t="s">
        <v>21</v>
      </c>
      <c r="U33" s="777">
        <f t="shared" si="13"/>
        <v>105</v>
      </c>
      <c r="V33" s="776" t="s">
        <v>21</v>
      </c>
      <c r="W33" s="777">
        <f t="shared" si="14"/>
        <v>99</v>
      </c>
      <c r="X33" s="778"/>
      <c r="Y33" s="3236"/>
      <c r="Z33" s="779" t="str">
        <f t="shared" si="18"/>
        <v>项目建筑规模</v>
      </c>
      <c r="AA33" s="1812">
        <f t="shared" si="15"/>
        <v>1</v>
      </c>
      <c r="AB33" s="1812">
        <f t="shared" si="16"/>
        <v>0.95238095238095233</v>
      </c>
      <c r="AC33" s="1812">
        <f t="shared" si="17"/>
        <v>1.0101010101010102</v>
      </c>
    </row>
    <row r="34" spans="1:29" ht="15">
      <c r="A34" s="472"/>
      <c r="B34" s="422" t="s">
        <v>2564</v>
      </c>
      <c r="C34" s="2616" t="s">
        <v>3260</v>
      </c>
      <c r="D34" s="435">
        <v>100</v>
      </c>
      <c r="E34" s="2617" t="s">
        <v>3260</v>
      </c>
      <c r="F34" s="461">
        <f>SUMIF(105:105,E34,106:106)-SUMIF(105:105,C34,106:106)+100</f>
        <v>100</v>
      </c>
      <c r="G34" s="2616" t="s">
        <v>3261</v>
      </c>
      <c r="H34" s="435">
        <f>SUMIF(105:105,G34,106:106)-SUMIF(105:105,C34,106:106)+100</f>
        <v>102</v>
      </c>
      <c r="I34" s="2617" t="s">
        <v>3260</v>
      </c>
      <c r="J34" s="435">
        <f>SUMIF(105:105,I34,106:106)-SUMIF(105:105,C34,106:106)+100</f>
        <v>100</v>
      </c>
      <c r="K34" s="426">
        <v>2</v>
      </c>
      <c r="L34" s="1142"/>
      <c r="M34" s="1133"/>
      <c r="N34" s="1133"/>
      <c r="O34" s="1133"/>
      <c r="P34" s="3249"/>
      <c r="Q34" s="1811" t="str">
        <f t="shared" si="11"/>
        <v>建筑结构</v>
      </c>
      <c r="R34" s="773" t="s">
        <v>21</v>
      </c>
      <c r="S34" s="774">
        <f t="shared" si="12"/>
        <v>100</v>
      </c>
      <c r="T34" s="773" t="s">
        <v>21</v>
      </c>
      <c r="U34" s="774">
        <f t="shared" si="13"/>
        <v>102</v>
      </c>
      <c r="V34" s="773" t="s">
        <v>21</v>
      </c>
      <c r="W34" s="774">
        <f t="shared" si="14"/>
        <v>100</v>
      </c>
      <c r="X34" s="1814"/>
      <c r="Y34" s="3236"/>
      <c r="Z34" s="1815" t="str">
        <f t="shared" si="18"/>
        <v>建筑结构</v>
      </c>
      <c r="AA34" s="1812">
        <f t="shared" si="15"/>
        <v>1</v>
      </c>
      <c r="AB34" s="1812">
        <f t="shared" si="16"/>
        <v>0.98039215686274506</v>
      </c>
      <c r="AC34" s="1812">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9"/>
      <c r="Q35" s="1811" t="str">
        <f t="shared" si="11"/>
        <v>建筑品质</v>
      </c>
      <c r="R35" s="773" t="s">
        <v>21</v>
      </c>
      <c r="S35" s="774">
        <f t="shared" si="12"/>
        <v>100</v>
      </c>
      <c r="T35" s="773" t="s">
        <v>21</v>
      </c>
      <c r="U35" s="774">
        <f t="shared" si="13"/>
        <v>100</v>
      </c>
      <c r="V35" s="773" t="s">
        <v>21</v>
      </c>
      <c r="W35" s="774">
        <f t="shared" si="14"/>
        <v>100</v>
      </c>
      <c r="X35" s="1814"/>
      <c r="Y35" s="3236"/>
      <c r="Z35" s="1815" t="str">
        <f t="shared" si="18"/>
        <v>建筑品质</v>
      </c>
      <c r="AA35" s="1812">
        <f t="shared" si="15"/>
        <v>1</v>
      </c>
      <c r="AB35" s="1812">
        <f t="shared" si="16"/>
        <v>1</v>
      </c>
      <c r="AC35" s="1812">
        <f t="shared" si="17"/>
        <v>1</v>
      </c>
    </row>
    <row r="36" spans="1:29" ht="15">
      <c r="A36" s="472"/>
      <c r="B36" s="422" t="s">
        <v>2566</v>
      </c>
      <c r="C36" s="2610" t="s">
        <v>3262</v>
      </c>
      <c r="D36" s="435">
        <v>100</v>
      </c>
      <c r="E36" s="2611" t="s">
        <v>3262</v>
      </c>
      <c r="F36" s="461">
        <f>SUMIF(109:109,E36,110:110)-SUMIF(109:109,C36,110:110)+100</f>
        <v>100</v>
      </c>
      <c r="G36" s="2610" t="s">
        <v>3262</v>
      </c>
      <c r="H36" s="435">
        <f>SUMIF(109:109,G36,110:110)-SUMIF(109:109,C36,110:110)+100</f>
        <v>100</v>
      </c>
      <c r="I36" s="2611" t="s">
        <v>3262</v>
      </c>
      <c r="J36" s="435">
        <f>SUMIF(109:109,I36,110:110)-SUMIF(109:109,C36,110:110)+100</f>
        <v>100</v>
      </c>
      <c r="K36" s="426">
        <v>2</v>
      </c>
      <c r="L36" s="1142"/>
      <c r="M36" s="1133"/>
      <c r="N36" s="1133"/>
      <c r="O36" s="1133"/>
      <c r="P36" s="3249"/>
      <c r="Q36" s="1811" t="str">
        <f t="shared" si="11"/>
        <v>公共部分装修</v>
      </c>
      <c r="R36" s="773" t="s">
        <v>21</v>
      </c>
      <c r="S36" s="774">
        <f t="shared" si="12"/>
        <v>100</v>
      </c>
      <c r="T36" s="773" t="s">
        <v>21</v>
      </c>
      <c r="U36" s="774">
        <f t="shared" si="13"/>
        <v>100</v>
      </c>
      <c r="V36" s="773" t="s">
        <v>21</v>
      </c>
      <c r="W36" s="774">
        <f t="shared" si="14"/>
        <v>100</v>
      </c>
      <c r="X36" s="1814"/>
      <c r="Y36" s="3236"/>
      <c r="Z36" s="1815" t="str">
        <f t="shared" si="18"/>
        <v>公共部分装修</v>
      </c>
      <c r="AA36" s="1812">
        <f t="shared" si="15"/>
        <v>1</v>
      </c>
      <c r="AB36" s="1812">
        <f t="shared" si="16"/>
        <v>1</v>
      </c>
      <c r="AC36" s="1812">
        <f t="shared" si="17"/>
        <v>1</v>
      </c>
    </row>
    <row r="37" spans="1:29" s="117" customFormat="1" ht="15">
      <c r="A37" s="473"/>
      <c r="B37" s="422" t="s">
        <v>2567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9"/>
      <c r="Q37" s="1796" t="str">
        <f t="shared" si="11"/>
        <v>成新度</v>
      </c>
      <c r="R37" s="769" t="s">
        <v>21</v>
      </c>
      <c r="S37" s="770">
        <f t="shared" si="12"/>
        <v>100</v>
      </c>
      <c r="T37" s="769" t="s">
        <v>21</v>
      </c>
      <c r="U37" s="770">
        <f t="shared" si="13"/>
        <v>100</v>
      </c>
      <c r="V37" s="769" t="s">
        <v>21</v>
      </c>
      <c r="W37" s="770">
        <f t="shared" si="14"/>
        <v>100</v>
      </c>
      <c r="X37" s="771"/>
      <c r="Y37" s="3236"/>
      <c r="Z37" s="55" t="str">
        <f t="shared" si="18"/>
        <v>成新度</v>
      </c>
      <c r="AA37" s="772">
        <f t="shared" si="15"/>
        <v>1</v>
      </c>
      <c r="AB37" s="772">
        <f t="shared" si="16"/>
        <v>1</v>
      </c>
      <c r="AC37" s="772">
        <f t="shared" si="17"/>
        <v>1</v>
      </c>
    </row>
    <row r="38" spans="1:29" ht="15">
      <c r="A38" s="472"/>
      <c r="B38" s="422" t="s">
        <v>2568</v>
      </c>
      <c r="C38" s="2610" t="s">
        <v>3263</v>
      </c>
      <c r="D38" s="435">
        <v>100</v>
      </c>
      <c r="E38" s="2611" t="s">
        <v>3263</v>
      </c>
      <c r="F38" s="461">
        <f>SUMIF(114:114,E38,115:115)-SUMIF(114:114,C38,115:115)+100</f>
        <v>100</v>
      </c>
      <c r="G38" s="2610" t="s">
        <v>3263</v>
      </c>
      <c r="H38" s="435">
        <f>SUMIF(114:114,G38,115:115)-SUMIF(114:114,C38,115:115)+100</f>
        <v>100</v>
      </c>
      <c r="I38" s="2611" t="s">
        <v>3263</v>
      </c>
      <c r="J38" s="435">
        <f>SUMIF(114:114,I38,115:115)-SUMIF(114:114,C38,115:115)+100</f>
        <v>100</v>
      </c>
      <c r="K38" s="426">
        <v>2</v>
      </c>
      <c r="L38" s="1142"/>
      <c r="M38" s="1133"/>
      <c r="N38" s="1133"/>
      <c r="O38" s="1133"/>
      <c r="P38" s="3249" t="s">
        <v>2562</v>
      </c>
      <c r="Q38" s="1811" t="str">
        <f t="shared" si="11"/>
        <v>物业管理</v>
      </c>
      <c r="R38" s="773" t="s">
        <v>21</v>
      </c>
      <c r="S38" s="774">
        <f t="shared" si="12"/>
        <v>100</v>
      </c>
      <c r="T38" s="773" t="s">
        <v>21</v>
      </c>
      <c r="U38" s="774">
        <f t="shared" si="13"/>
        <v>100</v>
      </c>
      <c r="V38" s="773" t="s">
        <v>21</v>
      </c>
      <c r="W38" s="774">
        <f t="shared" si="14"/>
        <v>100</v>
      </c>
      <c r="X38" s="1814"/>
      <c r="Y38" s="3236" t="s">
        <v>2562</v>
      </c>
      <c r="Z38" s="1815" t="str">
        <f t="shared" si="18"/>
        <v>物业管理</v>
      </c>
      <c r="AA38" s="1812">
        <f t="shared" si="15"/>
        <v>1</v>
      </c>
      <c r="AB38" s="1812">
        <f t="shared" si="16"/>
        <v>1</v>
      </c>
      <c r="AC38" s="1812">
        <f t="shared" si="17"/>
        <v>1</v>
      </c>
    </row>
    <row r="39" spans="1:29" ht="15">
      <c r="A39" s="472"/>
      <c r="B39" s="422" t="s">
        <v>2569</v>
      </c>
      <c r="C39" s="2610" t="s">
        <v>3264</v>
      </c>
      <c r="D39" s="435">
        <v>100</v>
      </c>
      <c r="E39" s="2611" t="s">
        <v>3264</v>
      </c>
      <c r="F39" s="461">
        <f>SUMIF(116:116,E39,117:117)-SUMIF(116:116,C39,117:117)+100</f>
        <v>100</v>
      </c>
      <c r="G39" s="2610" t="s">
        <v>3264</v>
      </c>
      <c r="H39" s="435">
        <f>SUMIF(116:116,G39,117:117)-SUMIF(116:116,C39,117:117)+100</f>
        <v>100</v>
      </c>
      <c r="I39" s="2611" t="s">
        <v>3264</v>
      </c>
      <c r="J39" s="435">
        <f>SUMIF(116:116,I39,117:117)-SUMIF(116:116,C39,117:117)+100</f>
        <v>100</v>
      </c>
      <c r="K39" s="426">
        <v>2</v>
      </c>
      <c r="L39" s="1142"/>
      <c r="M39" s="1133"/>
      <c r="N39" s="1133"/>
      <c r="O39" s="1133"/>
      <c r="P39" s="3249"/>
      <c r="Q39" s="1811" t="str">
        <f t="shared" si="11"/>
        <v>市政基础设施</v>
      </c>
      <c r="R39" s="773" t="s">
        <v>21</v>
      </c>
      <c r="S39" s="774">
        <f t="shared" si="12"/>
        <v>100</v>
      </c>
      <c r="T39" s="773" t="s">
        <v>21</v>
      </c>
      <c r="U39" s="774">
        <f t="shared" si="13"/>
        <v>100</v>
      </c>
      <c r="V39" s="773" t="s">
        <v>21</v>
      </c>
      <c r="W39" s="774">
        <f t="shared" si="14"/>
        <v>100</v>
      </c>
      <c r="X39" s="1814"/>
      <c r="Y39" s="3236"/>
      <c r="Z39" s="1815" t="str">
        <f t="shared" si="18"/>
        <v>市政基础设施</v>
      </c>
      <c r="AA39" s="1812">
        <f t="shared" si="15"/>
        <v>1</v>
      </c>
      <c r="AB39" s="1812">
        <f t="shared" si="16"/>
        <v>1</v>
      </c>
      <c r="AC39" s="1812">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9"/>
      <c r="Q40" s="1811" t="str">
        <f t="shared" si="11"/>
        <v>房型</v>
      </c>
      <c r="R40" s="773" t="s">
        <v>21</v>
      </c>
      <c r="S40" s="774">
        <f t="shared" si="12"/>
        <v>100</v>
      </c>
      <c r="T40" s="773" t="s">
        <v>21</v>
      </c>
      <c r="U40" s="774">
        <f t="shared" si="13"/>
        <v>100</v>
      </c>
      <c r="V40" s="773" t="s">
        <v>21</v>
      </c>
      <c r="W40" s="774">
        <f t="shared" si="14"/>
        <v>100</v>
      </c>
      <c r="X40" s="1814"/>
      <c r="Y40" s="3236"/>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9"/>
      <c r="Q41" s="775" t="str">
        <f t="shared" si="11"/>
        <v>单套/主力户型建筑面积</v>
      </c>
      <c r="R41" s="776" t="s">
        <v>21</v>
      </c>
      <c r="S41" s="777">
        <f t="shared" si="12"/>
        <v>100</v>
      </c>
      <c r="T41" s="776" t="s">
        <v>21</v>
      </c>
      <c r="U41" s="777">
        <f t="shared" si="13"/>
        <v>100</v>
      </c>
      <c r="V41" s="776" t="s">
        <v>21</v>
      </c>
      <c r="W41" s="777">
        <f t="shared" si="14"/>
        <v>100</v>
      </c>
      <c r="X41" s="778"/>
      <c r="Y41" s="3236"/>
      <c r="Z41" s="779" t="str">
        <f t="shared" si="18"/>
        <v>单套/主力户型建筑面积</v>
      </c>
      <c r="AA41" s="1812">
        <f t="shared" si="15"/>
        <v>1</v>
      </c>
      <c r="AB41" s="1812">
        <f t="shared" si="16"/>
        <v>1</v>
      </c>
      <c r="AC41" s="1812">
        <f t="shared" si="17"/>
        <v>1</v>
      </c>
    </row>
    <row r="42" spans="1:29" ht="15">
      <c r="A42" s="472"/>
      <c r="B42" s="422" t="s">
        <v>2572</v>
      </c>
      <c r="C42" s="2610" t="s">
        <v>3265</v>
      </c>
      <c r="D42" s="435">
        <v>100</v>
      </c>
      <c r="E42" s="2611" t="s">
        <v>3265</v>
      </c>
      <c r="F42" s="461">
        <f>SUMIF(122:122,E42,123:123)-SUMIF(122:122,C42,123:123)+100</f>
        <v>100</v>
      </c>
      <c r="G42" s="2610" t="s">
        <v>3265</v>
      </c>
      <c r="H42" s="435">
        <f>SUMIF(122:122,G42,123:123)-SUMIF(122:122,C42,123:123)+100</f>
        <v>100</v>
      </c>
      <c r="I42" s="2611" t="s">
        <v>3265</v>
      </c>
      <c r="J42" s="435">
        <f>SUMIF(122:122,I42,123:123)-SUMIF(122:122,C42,123:123)+100</f>
        <v>100</v>
      </c>
      <c r="K42" s="426">
        <v>2</v>
      </c>
      <c r="L42" s="1142"/>
      <c r="M42" s="1133"/>
      <c r="N42" s="1133"/>
      <c r="O42" s="1133"/>
      <c r="P42" s="3249"/>
      <c r="Q42" s="1811" t="str">
        <f t="shared" si="11"/>
        <v>内部装修</v>
      </c>
      <c r="R42" s="773" t="s">
        <v>21</v>
      </c>
      <c r="S42" s="774">
        <f t="shared" si="12"/>
        <v>100</v>
      </c>
      <c r="T42" s="773" t="s">
        <v>21</v>
      </c>
      <c r="U42" s="774">
        <f t="shared" si="13"/>
        <v>100</v>
      </c>
      <c r="V42" s="773" t="s">
        <v>21</v>
      </c>
      <c r="W42" s="774">
        <f t="shared" si="14"/>
        <v>100</v>
      </c>
      <c r="X42" s="1814"/>
      <c r="Y42" s="3236"/>
      <c r="Z42" s="1815" t="str">
        <f t="shared" si="18"/>
        <v>内部装修</v>
      </c>
      <c r="AA42" s="1812">
        <f t="shared" si="15"/>
        <v>1</v>
      </c>
      <c r="AB42" s="1812">
        <f t="shared" si="16"/>
        <v>1</v>
      </c>
      <c r="AC42" s="1812">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9"/>
      <c r="Q43" s="1811" t="str">
        <f t="shared" si="11"/>
        <v>内部装修维护情况</v>
      </c>
      <c r="R43" s="773" t="s">
        <v>21</v>
      </c>
      <c r="S43" s="774">
        <f t="shared" si="12"/>
        <v>100</v>
      </c>
      <c r="T43" s="773" t="s">
        <v>21</v>
      </c>
      <c r="U43" s="774">
        <f t="shared" si="13"/>
        <v>100</v>
      </c>
      <c r="V43" s="773" t="s">
        <v>21</v>
      </c>
      <c r="W43" s="774">
        <f t="shared" si="14"/>
        <v>100</v>
      </c>
      <c r="X43" s="1814"/>
      <c r="Y43" s="3236"/>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9"/>
      <c r="Q44" s="1796">
        <f t="shared" si="11"/>
        <v>111</v>
      </c>
      <c r="R44" s="769" t="s">
        <v>21</v>
      </c>
      <c r="S44" s="770">
        <f t="shared" si="12"/>
        <v>100</v>
      </c>
      <c r="T44" s="769" t="s">
        <v>21</v>
      </c>
      <c r="U44" s="770">
        <f t="shared" si="13"/>
        <v>100</v>
      </c>
      <c r="V44" s="769" t="s">
        <v>21</v>
      </c>
      <c r="W44" s="770">
        <f t="shared" si="14"/>
        <v>100</v>
      </c>
      <c r="X44" s="771"/>
      <c r="Y44" s="3236"/>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9"/>
      <c r="Q45" s="1811">
        <f t="shared" si="11"/>
        <v>111</v>
      </c>
      <c r="R45" s="773" t="s">
        <v>21</v>
      </c>
      <c r="S45" s="774">
        <f t="shared" si="12"/>
        <v>100</v>
      </c>
      <c r="T45" s="773" t="s">
        <v>21</v>
      </c>
      <c r="U45" s="774">
        <f t="shared" si="13"/>
        <v>100</v>
      </c>
      <c r="V45" s="773" t="s">
        <v>21</v>
      </c>
      <c r="W45" s="774">
        <f t="shared" si="14"/>
        <v>100</v>
      </c>
      <c r="X45" s="1814"/>
      <c r="Y45" s="3236"/>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50"/>
      <c r="Q46" s="1811">
        <f t="shared" si="11"/>
        <v>111</v>
      </c>
      <c r="R46" s="773" t="s">
        <v>20</v>
      </c>
      <c r="S46" s="774">
        <f t="shared" si="12"/>
        <v>100</v>
      </c>
      <c r="T46" s="773" t="s">
        <v>20</v>
      </c>
      <c r="U46" s="774">
        <f t="shared" si="13"/>
        <v>100</v>
      </c>
      <c r="V46" s="773" t="s">
        <v>20</v>
      </c>
      <c r="W46" s="774">
        <f t="shared" si="14"/>
        <v>100</v>
      </c>
      <c r="X46" s="1814"/>
      <c r="Y46" s="3251"/>
      <c r="Z46" s="1815">
        <f t="shared" si="18"/>
        <v>111</v>
      </c>
      <c r="AA46" s="1812">
        <f t="shared" si="15"/>
        <v>1</v>
      </c>
      <c r="AB46" s="1812">
        <f t="shared" si="16"/>
        <v>1</v>
      </c>
      <c r="AC46" s="1812">
        <f t="shared" si="17"/>
        <v>1</v>
      </c>
    </row>
    <row r="47" spans="1:29" ht="15">
      <c r="A47" s="479" t="s">
        <v>2574</v>
      </c>
      <c r="B47" s="480"/>
      <c r="C47" s="1409" t="s">
        <v>19</v>
      </c>
      <c r="D47" s="1410"/>
      <c r="E47" s="1411">
        <v>104700</v>
      </c>
      <c r="F47" s="1412"/>
      <c r="G47" s="1413">
        <v>108333</v>
      </c>
      <c r="H47" s="1414"/>
      <c r="I47" s="1411">
        <v>107382</v>
      </c>
      <c r="J47" s="1414"/>
      <c r="K47" s="2618"/>
      <c r="L47" s="1145"/>
      <c r="M47" s="1146"/>
      <c r="N47" s="1133"/>
      <c r="O47" s="1146"/>
      <c r="P47" s="3218" t="str">
        <f>A47</f>
        <v>成交单价（元/平方米）</v>
      </c>
      <c r="Q47" s="3218"/>
      <c r="R47" s="3247">
        <f>E47</f>
        <v>104700</v>
      </c>
      <c r="S47" s="3247"/>
      <c r="T47" s="3247">
        <f>G47</f>
        <v>108333</v>
      </c>
      <c r="U47" s="3247"/>
      <c r="V47" s="3247">
        <f>I47</f>
        <v>107382</v>
      </c>
      <c r="W47" s="3247"/>
      <c r="X47" s="758"/>
      <c r="Y47" s="780"/>
      <c r="Z47" s="758"/>
      <c r="AA47" s="758"/>
      <c r="AB47" s="758"/>
      <c r="AC47" s="758"/>
    </row>
    <row r="48" spans="1:29" ht="15.75" thickBot="1">
      <c r="A48" s="486" t="s">
        <v>2575</v>
      </c>
      <c r="B48" s="487"/>
      <c r="C48" s="1415">
        <f>R49</f>
        <v>95528</v>
      </c>
      <c r="D48" s="1416"/>
      <c r="E48" s="1417">
        <f>R48</f>
        <v>96727</v>
      </c>
      <c r="F48" s="1417"/>
      <c r="G48" s="1415">
        <f>T48</f>
        <v>91616</v>
      </c>
      <c r="H48" s="1416"/>
      <c r="I48" s="1417">
        <f>V48</f>
        <v>98242</v>
      </c>
      <c r="J48" s="1416"/>
      <c r="K48" s="2619"/>
      <c r="L48" s="1145"/>
      <c r="M48" s="1146"/>
      <c r="N48" s="1146"/>
      <c r="O48" s="1146"/>
      <c r="P48" s="3218" t="str">
        <f>A48</f>
        <v>比较价值（元/平方米）</v>
      </c>
      <c r="Q48" s="3218"/>
      <c r="R48" s="3247">
        <f>IF(F1="售价",ROUND(PRODUCT(R47,AA7:AA46),0),ROUND(PRODUCT(R47,AA7:AA46),1))</f>
        <v>96727</v>
      </c>
      <c r="S48" s="3247"/>
      <c r="T48" s="3247">
        <f>IF(F1="售价",ROUND(PRODUCT(T47,AB7:AB46),0),ROUND(PRODUCT(T47,AB7:AB46),1))</f>
        <v>91616</v>
      </c>
      <c r="U48" s="3247"/>
      <c r="V48" s="3247">
        <f>IF(F1="售价",ROUND(PRODUCT(V47,AC7:AC46),0),ROUND(PRODUCT(V47,AC7:AC46),1))</f>
        <v>98242</v>
      </c>
      <c r="W48" s="3247"/>
      <c r="X48" s="758"/>
      <c r="Y48" s="758"/>
      <c r="Z48" s="758"/>
      <c r="AA48" s="758"/>
      <c r="AB48" s="758"/>
      <c r="AC48" s="758"/>
    </row>
    <row r="49" spans="1:29" ht="15.75" thickBot="1">
      <c r="A49" s="492" t="s">
        <v>2576</v>
      </c>
      <c r="B49" s="493"/>
      <c r="C49" s="1418">
        <f>R49</f>
        <v>95528</v>
      </c>
      <c r="D49" s="1419"/>
      <c r="E49" s="1419"/>
      <c r="F49" s="1419"/>
      <c r="G49" s="1419"/>
      <c r="H49" s="1419"/>
      <c r="I49" s="1419"/>
      <c r="J49" s="1419"/>
      <c r="K49" s="2620"/>
      <c r="L49" s="1145"/>
      <c r="M49" s="1146"/>
      <c r="N49" s="1146"/>
      <c r="O49" s="1146"/>
      <c r="P49" s="3238" t="str">
        <f>A49</f>
        <v>估价对象XX用房的比较价值（楼面单价，元/平方米）</v>
      </c>
      <c r="Q49" s="3239"/>
      <c r="R49" s="3246">
        <f>IF(F1="售价",ROUND(AVERAGE(R48:V48),0),ROUND(AVERAGE(R48:V48),1))</f>
        <v>95528</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f>IF(E47&lt;E48,E48/E47-1,E47/E48-1)</f>
        <v>8.2427863988338235E-2</v>
      </c>
      <c r="F52" s="500" t="str">
        <f>IF(OR(E52&gt;=0.3,E52&lt;=-0.3),"超过30%","")</f>
        <v/>
      </c>
      <c r="G52" s="499">
        <f>IF(G47&lt;G48,G48/G47-1,G47/G48-1)</f>
        <v>0.18246812783793231</v>
      </c>
      <c r="H52" s="500" t="str">
        <f>IF(OR(G52&gt;=0.3,G52&lt;=-0.3),"超过30%","")</f>
        <v/>
      </c>
      <c r="I52" s="499">
        <f>IF(I47&lt;I48,I48/I47-1,I47/I48-1)</f>
        <v>9.303556523686396E-2</v>
      </c>
      <c r="J52" s="500" t="str">
        <f>IF(OR(I52&gt;=0.3,I52&lt;=-0.3),"超过30%","")</f>
        <v/>
      </c>
      <c r="K52" s="1107"/>
      <c r="L52" s="1108"/>
      <c r="M52" s="1146"/>
      <c r="N52" s="1146"/>
      <c r="O52" s="1146"/>
    </row>
    <row r="53" spans="1:29" ht="13.5" customHeight="1">
      <c r="A53" s="1146"/>
      <c r="B53" s="1146"/>
      <c r="C53" s="497" t="s">
        <v>2578</v>
      </c>
      <c r="D53" s="501"/>
      <c r="E53" s="499">
        <f>IF(E48&lt;G48,G48/E48-1,E48/G48-1)</f>
        <v>5.5787198742577759E-2</v>
      </c>
      <c r="F53" s="500" t="str">
        <f>IF(OR(E53&gt;=0.2,E53&lt;=-0.2),"超过20%","")</f>
        <v/>
      </c>
      <c r="G53" s="499">
        <f>IF(G48&lt;I48,I48/G48-1,G48/I48-1)</f>
        <v>7.2323611596227799E-2</v>
      </c>
      <c r="H53" s="500" t="str">
        <f>IF(OR(G53&gt;=0.2,G53&lt;=-0.2),"超过20%","")</f>
        <v/>
      </c>
      <c r="I53" s="499">
        <f>IF(I48&lt;E48,E48/I48-1,I48/E48-1)</f>
        <v>1.5662638146536123E-2</v>
      </c>
      <c r="J53" s="500" t="str">
        <f>IF(OR(I53&gt;=0.2,I53&lt;=-0.2),"超过20%","")</f>
        <v/>
      </c>
      <c r="K53" s="1107"/>
      <c r="L53" s="1108"/>
      <c r="M53" s="1146"/>
      <c r="N53" s="1146"/>
      <c r="O53" s="1146"/>
    </row>
    <row r="54" spans="1:29" s="502" customFormat="1" ht="13.5" customHeight="1">
      <c r="A54" s="1147"/>
      <c r="B54" s="1147"/>
      <c r="C54" s="497" t="s">
        <v>2579</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3"/>
      <c r="Q57" s="504"/>
    </row>
    <row r="58" spans="1:29" s="508" customFormat="1" ht="15">
      <c r="A58" s="505" t="s">
        <v>2581</v>
      </c>
      <c r="B58" s="506"/>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2097</v>
      </c>
      <c r="C82" s="539" t="s">
        <v>2601</v>
      </c>
      <c r="D82" s="539" t="s">
        <v>2602</v>
      </c>
      <c r="E82" s="539" t="s">
        <v>2603</v>
      </c>
      <c r="F82" s="539" t="s">
        <v>2604</v>
      </c>
      <c r="G82" s="539" t="s">
        <v>2605</v>
      </c>
      <c r="H82" s="539"/>
      <c r="I82" s="539"/>
      <c r="J82" s="539"/>
      <c r="K82" s="539"/>
      <c r="L82" s="539"/>
      <c r="M82" s="1384"/>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2607</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2608</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2560</v>
      </c>
      <c r="B100" s="528" t="s">
        <v>2609</v>
      </c>
      <c r="C100" s="2960" t="s">
        <v>3115</v>
      </c>
      <c r="D100" s="2960" t="s">
        <v>3116</v>
      </c>
      <c r="E100" s="2960" t="s">
        <v>3117</v>
      </c>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29.25" thickTop="1">
      <c r="A102" s="534"/>
      <c r="B102" s="538" t="s">
        <v>2610</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2611</v>
      </c>
      <c r="C105" s="2961" t="s">
        <v>3118</v>
      </c>
      <c r="D105" s="2961" t="s">
        <v>3119</v>
      </c>
      <c r="E105" s="2962" t="s">
        <v>3120</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2612</v>
      </c>
      <c r="C107" s="2962" t="s">
        <v>3121</v>
      </c>
      <c r="D107" s="2962" t="s">
        <v>3122</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2613</v>
      </c>
      <c r="C109" s="2961" t="s">
        <v>3123</v>
      </c>
      <c r="D109" s="2961" t="s">
        <v>3124</v>
      </c>
      <c r="E109" s="2961" t="s">
        <v>3125</v>
      </c>
      <c r="F109" s="2962" t="s">
        <v>3126</v>
      </c>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2614</v>
      </c>
      <c r="C114" s="2961" t="s">
        <v>3127</v>
      </c>
      <c r="D114" s="2961" t="s">
        <v>3128</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thickTop="1">
      <c r="A116" s="599"/>
      <c r="B116" s="538" t="s">
        <v>2615</v>
      </c>
      <c r="C116" s="2961" t="s">
        <v>3129</v>
      </c>
      <c r="D116" s="2961" t="s">
        <v>3130</v>
      </c>
      <c r="E116" s="2961" t="s">
        <v>3131</v>
      </c>
      <c r="F116" s="2961" t="s">
        <v>3132</v>
      </c>
      <c r="G116" s="2961" t="s">
        <v>3133</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2616</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2617</v>
      </c>
      <c r="C122" s="2961" t="s">
        <v>3123</v>
      </c>
      <c r="D122" s="2961" t="s">
        <v>3124</v>
      </c>
      <c r="E122" s="2961" t="s">
        <v>3125</v>
      </c>
      <c r="F122" s="2962" t="s">
        <v>3126</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6">
        <v>6</v>
      </c>
      <c r="C139" s="1087">
        <v>96</v>
      </c>
      <c r="D139" s="2645" t="s">
        <v>2628</v>
      </c>
      <c r="E139" s="1088">
        <v>100</v>
      </c>
      <c r="F139" s="1089">
        <v>102.5</v>
      </c>
      <c r="G139" s="2645" t="s">
        <v>2628</v>
      </c>
      <c r="H139" s="1090">
        <v>105</v>
      </c>
      <c r="I139" s="2646" t="s">
        <v>2629</v>
      </c>
      <c r="J139" s="1087">
        <v>20</v>
      </c>
      <c r="K139" s="1091">
        <f>C145/(J139-2)</f>
        <v>4.0555555555555553E-3</v>
      </c>
    </row>
    <row r="140" spans="1:17" ht="15">
      <c r="B140" s="1092">
        <v>5</v>
      </c>
      <c r="C140" s="1093">
        <v>100</v>
      </c>
      <c r="D140" s="1093"/>
      <c r="E140" s="1094"/>
      <c r="F140" s="1095">
        <v>102</v>
      </c>
      <c r="G140" s="1093"/>
      <c r="H140" s="1096"/>
      <c r="I140" s="2647" t="s">
        <v>2630</v>
      </c>
      <c r="J140" s="315">
        <f>ROUNDUP((J139-1)/2,0)</f>
        <v>10</v>
      </c>
      <c r="K140" s="1097">
        <v>100</v>
      </c>
    </row>
    <row r="141" spans="1:17" ht="15">
      <c r="B141" s="1092">
        <v>4</v>
      </c>
      <c r="C141" s="1093">
        <v>102</v>
      </c>
      <c r="D141" s="1093"/>
      <c r="E141" s="1094"/>
      <c r="F141" s="1095">
        <v>101.5</v>
      </c>
      <c r="G141" s="1093"/>
      <c r="H141" s="1096"/>
      <c r="I141" s="2647" t="s">
        <v>2631</v>
      </c>
      <c r="J141" s="315">
        <v>1</v>
      </c>
      <c r="K141" s="1098">
        <f>ROUND(100+(J141-J140)*K139*100,1)</f>
        <v>96.4</v>
      </c>
    </row>
    <row r="142" spans="1:17" ht="15">
      <c r="B142" s="1092">
        <v>3</v>
      </c>
      <c r="C142" s="1093">
        <v>103</v>
      </c>
      <c r="D142" s="1093"/>
      <c r="E142" s="1094"/>
      <c r="F142" s="1095">
        <v>101</v>
      </c>
      <c r="G142" s="1093"/>
      <c r="H142" s="1096"/>
      <c r="I142" s="2647" t="s">
        <v>2632</v>
      </c>
      <c r="J142" s="315">
        <f>J139</f>
        <v>20</v>
      </c>
      <c r="K142" s="1099">
        <v>95</v>
      </c>
    </row>
    <row r="143" spans="1:17" ht="15">
      <c r="B143" s="1092">
        <v>2</v>
      </c>
      <c r="C143" s="1093">
        <v>100</v>
      </c>
      <c r="D143" s="1093"/>
      <c r="E143" s="1094"/>
      <c r="F143" s="1095">
        <v>100.5</v>
      </c>
      <c r="G143" s="1093"/>
      <c r="H143" s="1096"/>
      <c r="I143" s="2647" t="s">
        <v>2633</v>
      </c>
      <c r="J143" s="1093">
        <v>15</v>
      </c>
      <c r="K143" s="1098">
        <f>ROUND(100+(J143-J140)*K139*100,1)</f>
        <v>102</v>
      </c>
    </row>
    <row r="144" spans="1:17" ht="15">
      <c r="B144" s="1092">
        <v>1</v>
      </c>
      <c r="C144" s="1093">
        <v>98</v>
      </c>
      <c r="D144" s="2648" t="s">
        <v>2634</v>
      </c>
      <c r="E144" s="1094">
        <v>102</v>
      </c>
      <c r="F144" s="1100">
        <v>100</v>
      </c>
      <c r="G144" s="2648" t="s">
        <v>2634</v>
      </c>
      <c r="H144" s="1096">
        <v>105</v>
      </c>
      <c r="I144" s="2647" t="s">
        <v>2633</v>
      </c>
      <c r="J144" s="1093">
        <v>18</v>
      </c>
      <c r="K144" s="1098">
        <f>ROUND(100+(J144-J140)*K139*100,1)</f>
        <v>103.2</v>
      </c>
    </row>
    <row r="145" spans="2:11" ht="15.75" thickBot="1">
      <c r="B145" s="2649" t="s">
        <v>2635</v>
      </c>
      <c r="C145" s="1101">
        <f>ROUND(MAX(C139:C144)/MIN(C139:C144)-1,3)</f>
        <v>7.2999999999999995E-2</v>
      </c>
      <c r="D145" s="1102"/>
      <c r="E145" s="1102"/>
      <c r="F145" s="2650" t="s">
        <v>2636</v>
      </c>
      <c r="G145" s="2651"/>
      <c r="H145" s="2652"/>
      <c r="I145" s="2653" t="s">
        <v>2633</v>
      </c>
      <c r="J145" s="1103">
        <v>8</v>
      </c>
      <c r="K145" s="1104">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6" zoomScale="70" zoomScaleNormal="70" zoomScaleSheetLayoutView="90" workbookViewId="0">
      <selection activeCell="D44" sqref="D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27</v>
      </c>
      <c r="D1" s="1821" t="s">
        <v>70</v>
      </c>
      <c r="E1" s="1822" t="s">
        <v>1387</v>
      </c>
      <c r="F1" s="1285">
        <f ca="1">J53</f>
        <v>60</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61720</v>
      </c>
      <c r="C2" s="1846" t="s">
        <v>1516</v>
      </c>
      <c r="D2" s="1846"/>
      <c r="E2" s="1847"/>
      <c r="F2" s="1848"/>
      <c r="G2" s="1849"/>
      <c r="H2" s="1841"/>
      <c r="I2" s="1841"/>
      <c r="J2" s="1841"/>
      <c r="K2" s="1842"/>
      <c r="L2" s="1841"/>
      <c r="M2" s="1841"/>
    </row>
    <row r="3" spans="1:37" ht="18" customHeight="1" thickBot="1">
      <c r="A3" s="1850" t="s">
        <v>1517</v>
      </c>
      <c r="B3" s="1851">
        <f ca="1">IF(ISERROR(B2*10000/F43),0,ROUND(B2*10000/F43,0))</f>
        <v>25538</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4457</v>
      </c>
      <c r="D5" s="1823" t="s">
        <v>1402</v>
      </c>
      <c r="E5" s="1295"/>
      <c r="F5" s="1296"/>
      <c r="G5" s="1852"/>
      <c r="H5" s="344">
        <v>1</v>
      </c>
      <c r="I5" s="345" t="s">
        <v>1401</v>
      </c>
      <c r="J5" s="1294">
        <f ca="1">J6+J10+J12</f>
        <v>0</v>
      </c>
      <c r="K5" s="1823" t="s">
        <v>1402</v>
      </c>
      <c r="L5" s="1295"/>
      <c r="M5" s="1296"/>
    </row>
    <row r="6" spans="1:37" ht="18" customHeight="1">
      <c r="A6" s="1293" t="s">
        <v>1035</v>
      </c>
      <c r="B6" s="3254" t="s">
        <v>1403</v>
      </c>
      <c r="C6" s="1298">
        <f ca="1">ROUND(F6*F8*F7*(1-F9)/10000,0)</f>
        <v>4446</v>
      </c>
      <c r="D6" s="164" t="s">
        <v>3031</v>
      </c>
      <c r="E6" s="347" t="s">
        <v>1405</v>
      </c>
      <c r="F6" s="348">
        <f ca="1">INDIRECT("'数据-取费表'!u"&amp;$G$1)</f>
        <v>5.6</v>
      </c>
      <c r="G6" s="1852"/>
      <c r="H6" s="1293" t="s">
        <v>1035</v>
      </c>
      <c r="I6" s="3254" t="s">
        <v>1403</v>
      </c>
      <c r="J6" s="346">
        <f ca="1">ROUND(M6*M8*M7*(1-M9)/10000,0)</f>
        <v>0</v>
      </c>
      <c r="K6" s="164" t="s">
        <v>3030</v>
      </c>
      <c r="L6" s="347" t="s">
        <v>1405</v>
      </c>
      <c r="M6" s="348">
        <f ca="1">INDIRECT("'数据-取费表'!z"&amp;$G$1)</f>
        <v>0</v>
      </c>
    </row>
    <row r="7" spans="1:37" ht="18" customHeight="1">
      <c r="A7" s="1297"/>
      <c r="B7" s="3255"/>
      <c r="C7" s="1299"/>
      <c r="D7" s="352"/>
      <c r="E7" s="2992" t="s">
        <v>1406</v>
      </c>
      <c r="F7" s="348">
        <f ca="1">IF(INDIRECT("'数据-取费表'!ah"&amp;$G$1)="",INDIRECT("'数据-取费表'!k"&amp;$G$1),INDIRECT("'数据-取费表'!ah"&amp;$G$1))</f>
        <v>24168.16</v>
      </c>
      <c r="G7" s="1852"/>
      <c r="H7" s="349"/>
      <c r="I7" s="3255"/>
      <c r="J7" s="351"/>
      <c r="K7" s="352"/>
      <c r="L7" s="347" t="s">
        <v>1406</v>
      </c>
      <c r="M7" s="348">
        <f ca="1">F7</f>
        <v>24168.16</v>
      </c>
    </row>
    <row r="8" spans="1:37" ht="18" customHeight="1">
      <c r="A8" s="349"/>
      <c r="B8" s="3255"/>
      <c r="C8" s="351"/>
      <c r="D8" s="352"/>
      <c r="E8" s="347" t="s">
        <v>1407</v>
      </c>
      <c r="F8" s="348">
        <f ca="1">INDIRECT("'数据-取费表'!ai"&amp;$G$1)</f>
        <v>365</v>
      </c>
      <c r="G8" s="1852"/>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52"/>
      <c r="H9" s="349"/>
      <c r="I9" s="32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11</v>
      </c>
      <c r="D10" s="1825" t="s">
        <v>3040</v>
      </c>
      <c r="E10" s="358" t="s">
        <v>1410</v>
      </c>
      <c r="F10" s="3343" t="s">
        <v>3273</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12103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7394</v>
      </c>
      <c r="D14" s="2986" t="s">
        <v>1418</v>
      </c>
      <c r="E14" s="2984"/>
      <c r="F14" s="364"/>
      <c r="G14" s="1852"/>
      <c r="H14" s="1203" t="s">
        <v>1035</v>
      </c>
      <c r="I14" s="347" t="s">
        <v>1419</v>
      </c>
      <c r="J14" s="24">
        <f ca="1">C29</f>
        <v>12103</v>
      </c>
      <c r="K14" s="2991"/>
      <c r="L14" s="981"/>
      <c r="M14" s="982"/>
    </row>
    <row r="15" spans="1:37" s="1859" customFormat="1" ht="18" customHeight="1" thickBot="1">
      <c r="A15" s="1203" t="s">
        <v>1036</v>
      </c>
      <c r="B15" s="347" t="s">
        <v>1420</v>
      </c>
      <c r="C15" s="24">
        <f ca="1">ROUND(C14*F15,0)</f>
        <v>296</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363</v>
      </c>
      <c r="D16" s="347" t="s">
        <v>1421</v>
      </c>
      <c r="E16" s="347" t="s">
        <v>1422</v>
      </c>
      <c r="F16" s="367">
        <f ca="1">IF(INDIRECT("'数据-取费表'!c"&amp;$G$1)="住宅",'数据-取费表'!B34,0)</f>
        <v>0.05</v>
      </c>
      <c r="G16" s="1852"/>
      <c r="H16" s="1331" t="s">
        <v>1030</v>
      </c>
      <c r="I16" s="1332" t="s">
        <v>1424</v>
      </c>
      <c r="J16" s="355">
        <f ca="1">ROUND(J17+J22+J23+J24,0)</f>
        <v>286</v>
      </c>
      <c r="K16" s="1339" t="s">
        <v>1425</v>
      </c>
      <c r="L16" s="2987"/>
      <c r="M16" s="1296"/>
    </row>
    <row r="17" spans="1:37" s="1859" customFormat="1" ht="18" customHeight="1">
      <c r="A17" s="1203" t="s">
        <v>1390</v>
      </c>
      <c r="B17" s="347" t="s">
        <v>1426</v>
      </c>
      <c r="C17" s="24">
        <f ca="1">ROUND(F17*(F43+INDIRECT("'数据-取费表'!S"&amp;$G$1))/10000,0)</f>
        <v>496</v>
      </c>
      <c r="D17" s="347" t="s">
        <v>1427</v>
      </c>
      <c r="E17" s="347" t="s">
        <v>1428</v>
      </c>
      <c r="F17" s="26">
        <f>'数据-取费表'!B35</f>
        <v>200</v>
      </c>
      <c r="G17" s="1855"/>
      <c r="H17" s="1203" t="s">
        <v>1035</v>
      </c>
      <c r="I17" s="347" t="s">
        <v>1429</v>
      </c>
      <c r="J17" s="24">
        <f ca="1">ROUND(IF(项目基本情况!B11="自然人",J5*M17,J18+J19+J20),1)</f>
        <v>104.4</v>
      </c>
      <c r="K17" s="2986" t="s">
        <v>1430</v>
      </c>
      <c r="L17" s="2985"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111</v>
      </c>
      <c r="D18" s="347" t="s">
        <v>1421</v>
      </c>
      <c r="E18" s="347" t="s">
        <v>1422</v>
      </c>
      <c r="F18" s="367">
        <f>'数据-取费表'!B36</f>
        <v>1.4999999999999999E-2</v>
      </c>
      <c r="G18" s="1855"/>
      <c r="H18" s="1203" t="s">
        <v>1034</v>
      </c>
      <c r="I18" s="347" t="s">
        <v>1433</v>
      </c>
      <c r="J18" s="24">
        <f ca="1">ROUND(J5*M18/(1+'数据-取费表'!C42),2)</f>
        <v>0</v>
      </c>
      <c r="K18" s="2985"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8660</v>
      </c>
      <c r="D19" s="140" t="s">
        <v>1436</v>
      </c>
      <c r="E19" s="2990"/>
      <c r="F19" s="26"/>
      <c r="G19" s="1852"/>
      <c r="H19" s="1203" t="s">
        <v>1036</v>
      </c>
      <c r="I19" s="347" t="s">
        <v>1437</v>
      </c>
      <c r="J19" s="24">
        <f ca="1">IF(K19="按租金收入计税",ROUND(J5*M19,2),ROUND(C29*M19*0.7,2))</f>
        <v>101.67</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260</v>
      </c>
      <c r="D20" s="369" t="s">
        <v>1440</v>
      </c>
      <c r="E20" s="347" t="s">
        <v>1422</v>
      </c>
      <c r="F20" s="367">
        <f>'数据-取费表'!B37</f>
        <v>0.03</v>
      </c>
      <c r="G20" s="1855"/>
      <c r="H20" s="1203" t="s">
        <v>1389</v>
      </c>
      <c r="I20" s="164" t="s">
        <v>1441</v>
      </c>
      <c r="J20" s="25">
        <f ca="1">ROUND(M20*M21/10000,2)</f>
        <v>2.75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18355.96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90"/>
      <c r="F22" s="26"/>
      <c r="G22" s="1852"/>
      <c r="H22" s="1203" t="s">
        <v>1039</v>
      </c>
      <c r="I22" s="347" t="s">
        <v>1449</v>
      </c>
      <c r="J22" s="24">
        <f ca="1">ROUND(J14*M22,1)</f>
        <v>181.5</v>
      </c>
      <c r="K22" s="2985"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316</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5"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90"/>
      <c r="F25" s="26"/>
      <c r="G25" s="1852"/>
      <c r="H25" s="1331" t="s">
        <v>1031</v>
      </c>
      <c r="I25" s="1346" t="s">
        <v>1463</v>
      </c>
      <c r="J25" s="355">
        <f ca="1">J5-J16</f>
        <v>-286</v>
      </c>
      <c r="K25" s="1347" t="s">
        <v>1464</v>
      </c>
      <c r="L25" s="1348"/>
      <c r="M25" s="1349"/>
    </row>
    <row r="26" spans="1:37">
      <c r="A26" s="1203" t="s">
        <v>1034</v>
      </c>
      <c r="B26" s="347" t="s">
        <v>1465</v>
      </c>
      <c r="C26" s="24">
        <f ca="1">ROUND((C19+C20)*F26,0)</f>
        <v>1784</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12103</v>
      </c>
      <c r="D29" s="1344"/>
      <c r="E29" s="1342"/>
      <c r="F29" s="1345"/>
      <c r="G29" s="1855"/>
      <c r="H29" s="380" t="s">
        <v>1033</v>
      </c>
      <c r="I29" s="381" t="s">
        <v>1479</v>
      </c>
      <c r="J29" s="382">
        <f ca="1">ROUND(J26/(1+F40)^F41,0)</f>
        <v>0</v>
      </c>
      <c r="K29" s="383" t="s">
        <v>1480</v>
      </c>
      <c r="L29" s="384"/>
      <c r="M29" s="385">
        <f ca="1">INDIRECT("'数据-取费表'!k"&amp;$G$1)</f>
        <v>24168.16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1015</v>
      </c>
      <c r="D30" s="1339" t="s">
        <v>1425</v>
      </c>
      <c r="E30" s="2987"/>
      <c r="F30" s="1296"/>
      <c r="G30" s="1852"/>
      <c r="H30" s="744"/>
      <c r="I30" s="745"/>
      <c r="J30" s="746"/>
      <c r="K30" s="747"/>
      <c r="L30" s="748"/>
      <c r="M30" s="749"/>
    </row>
    <row r="31" spans="1:37" ht="18" customHeight="1">
      <c r="A31" s="1203" t="s">
        <v>1035</v>
      </c>
      <c r="B31" s="347" t="s">
        <v>1429</v>
      </c>
      <c r="C31" s="24">
        <f ca="1">ROUND(IF(项目基本情况!B11="自然人",C5*F31,C32+C33+C34),1)</f>
        <v>771.1</v>
      </c>
      <c r="D31" s="2986" t="s">
        <v>1430</v>
      </c>
      <c r="E31" s="2985"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233.46</v>
      </c>
      <c r="D32" s="2985"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534.84</v>
      </c>
      <c r="D33" s="1829" t="s">
        <v>3274</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2.75</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18355.96</v>
      </c>
      <c r="G35" s="1852"/>
      <c r="H35" s="744"/>
      <c r="I35" s="1861"/>
      <c r="J35" s="1862"/>
      <c r="K35" s="1863"/>
      <c r="L35" s="1860"/>
      <c r="M35" s="1860"/>
    </row>
    <row r="36" spans="1:18" ht="18" customHeight="1">
      <c r="A36" s="1354" t="s">
        <v>1039</v>
      </c>
      <c r="B36" s="347" t="s">
        <v>1449</v>
      </c>
      <c r="C36" s="24">
        <f ca="1">ROUND(C29*F36,1)</f>
        <v>181.5</v>
      </c>
      <c r="D36" s="2985"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18.2</v>
      </c>
      <c r="D37" s="2985"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44.6</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3442</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60062</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60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24852</v>
      </c>
      <c r="D43" s="383" t="s">
        <v>1488</v>
      </c>
      <c r="E43" s="384" t="s">
        <v>1489</v>
      </c>
      <c r="F43" s="385">
        <f ca="1">INDIRECT("'数据-取费表'!k"&amp;$G$1)</f>
        <v>24168.16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-81333</v>
      </c>
      <c r="D46" s="1873" t="str">
        <f>C2</f>
        <v>万元</v>
      </c>
      <c r="E46" s="1867"/>
      <c r="F46" s="1867"/>
      <c r="I46" s="1874" t="s">
        <v>1521</v>
      </c>
      <c r="J46" s="1875"/>
      <c r="K46" s="1876"/>
      <c r="L46" s="1877">
        <f ca="1">IF(M47="住宅",0,IF(L48&gt;J51,L60,J60))</f>
        <v>1658</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3260</v>
      </c>
      <c r="K47" s="1883" t="s">
        <v>1527</v>
      </c>
      <c r="L47" s="1884">
        <f ca="1">INDIRECT("'数据-取费表'!d"&amp;$G$1)</f>
        <v>70</v>
      </c>
      <c r="M47" s="1839" t="str">
        <f>IF(ISNUMBER(FIND("住宅",C1)),"住宅","非住宅")</f>
        <v>非住宅</v>
      </c>
      <c r="O47" s="1885" t="s">
        <v>1040</v>
      </c>
      <c r="P47" s="1886" t="s">
        <v>1528</v>
      </c>
      <c r="Q47" s="1887">
        <f ca="1">C40+J29</f>
        <v>60062</v>
      </c>
      <c r="R47" s="1887" t="s">
        <v>1529</v>
      </c>
    </row>
    <row r="48" spans="1:18" s="1843" customFormat="1" ht="28.5" thickBot="1">
      <c r="A48" s="1362" t="s">
        <v>1135</v>
      </c>
      <c r="B48" s="345" t="s">
        <v>1401</v>
      </c>
      <c r="C48" s="2989">
        <f ca="1">C49+C53+C55</f>
        <v>0</v>
      </c>
      <c r="D48" s="1364"/>
      <c r="E48" s="1365"/>
      <c r="F48" s="1183"/>
      <c r="G48" s="791"/>
      <c r="H48" s="792"/>
      <c r="I48" s="1888" t="s">
        <v>1530</v>
      </c>
      <c r="J48" s="1889" t="s">
        <v>3275</v>
      </c>
      <c r="K48" s="1890" t="s">
        <v>1531</v>
      </c>
      <c r="L48" s="1891">
        <f ca="1">INDIRECT("'数据-取费表'!f"&amp;$G$1)</f>
        <v>65.36</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f>'土地比较法-住宅、综合'!B2</f>
        <v>126744</v>
      </c>
      <c r="O49" s="1895" t="s">
        <v>1042</v>
      </c>
      <c r="P49" s="1886" t="s">
        <v>1536</v>
      </c>
      <c r="Q49" s="1887">
        <f ca="1">C29</f>
        <v>12103</v>
      </c>
      <c r="R49" s="1887" t="s">
        <v>1529</v>
      </c>
    </row>
    <row r="50" spans="1:18" s="1843" customFormat="1" ht="13.5" thickBot="1">
      <c r="A50" s="1197"/>
      <c r="B50" s="1200"/>
      <c r="C50" s="1370"/>
      <c r="D50" s="1174"/>
      <c r="E50" s="1279" t="s">
        <v>1406</v>
      </c>
      <c r="F50" s="1280">
        <f ca="1">F7</f>
        <v>24168.16</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46276</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f>'数据-取费表'!H6</f>
        <v>0.05</v>
      </c>
      <c r="O52" s="1895" t="s">
        <v>1045</v>
      </c>
      <c r="P52" s="1886" t="s">
        <v>1545</v>
      </c>
      <c r="Q52" s="1887">
        <f ca="1">J53</f>
        <v>60</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60</v>
      </c>
      <c r="K53" s="3257" t="s">
        <v>1548</v>
      </c>
      <c r="L53" s="3258"/>
      <c r="O53" s="1885" t="s">
        <v>1046</v>
      </c>
      <c r="P53" s="1886" t="s">
        <v>1549</v>
      </c>
      <c r="Q53" s="1887">
        <f ca="1">Q47+Q48</f>
        <v>60062</v>
      </c>
      <c r="R53" s="1887" t="s">
        <v>1047</v>
      </c>
    </row>
    <row r="54" spans="1:18" s="1843" customFormat="1" ht="13.5" thickBot="1">
      <c r="A54" s="1408"/>
      <c r="B54" s="1826" t="s">
        <v>1388</v>
      </c>
      <c r="C54" s="1180"/>
      <c r="D54" s="1825"/>
      <c r="E54" s="298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88"/>
      <c r="F55" s="1908"/>
      <c r="I55" s="1911" t="s">
        <v>1551</v>
      </c>
      <c r="J55" s="1912" t="e">
        <f ca="1">ROUND(IF(J47="钢混",J57/J50,1-(1-2%)*(J50-J57)/J50),3)</f>
        <v>#VALUE!</v>
      </c>
      <c r="K55" s="1913" t="s">
        <v>1552</v>
      </c>
      <c r="L55" s="1914" t="s">
        <v>3379</v>
      </c>
      <c r="O55" s="1878" t="s">
        <v>1522</v>
      </c>
      <c r="P55" s="1879" t="s">
        <v>1523</v>
      </c>
      <c r="Q55" s="1880" t="s">
        <v>1524</v>
      </c>
      <c r="R55" s="1880" t="s">
        <v>1525</v>
      </c>
    </row>
    <row r="56" spans="1:18" s="1843" customFormat="1" ht="25.5" thickTop="1" thickBot="1">
      <c r="A56" s="1178">
        <v>2</v>
      </c>
      <c r="B56" s="1179" t="s">
        <v>1414</v>
      </c>
      <c r="C56" s="276">
        <f ca="1">C13</f>
        <v>12103</v>
      </c>
      <c r="D56" s="1915"/>
      <c r="E56" s="1916"/>
      <c r="F56" s="1908"/>
      <c r="I56" s="1917" t="s">
        <v>1554</v>
      </c>
      <c r="J56" s="1918" t="s">
        <v>3061</v>
      </c>
      <c r="K56" s="1888" t="s">
        <v>1555</v>
      </c>
      <c r="L56" s="1891">
        <f ca="1">IF(L48&lt;J51,"——",L48-J53)</f>
        <v>5.3599999999999994</v>
      </c>
      <c r="O56" s="1885" t="s">
        <v>1040</v>
      </c>
      <c r="P56" s="1886" t="s">
        <v>1528</v>
      </c>
      <c r="Q56" s="1887">
        <f ca="1">C40+J29</f>
        <v>60062</v>
      </c>
      <c r="R56" s="1887" t="s">
        <v>1529</v>
      </c>
    </row>
    <row r="57" spans="1:18" s="1843" customFormat="1" ht="24.75" thickBot="1">
      <c r="A57" s="1919"/>
      <c r="B57" s="1171" t="s">
        <v>1478</v>
      </c>
      <c r="C57" s="282">
        <f ca="1">C29</f>
        <v>12103</v>
      </c>
      <c r="D57" s="1920"/>
      <c r="E57" s="1921"/>
      <c r="F57" s="1922"/>
      <c r="I57" s="1923" t="s">
        <v>1556</v>
      </c>
      <c r="J57" s="1924" t="str">
        <f ca="1">IF(OR(M47="住宅",J51&lt;L48,J56="是"),"——",J51-L48)</f>
        <v>——</v>
      </c>
      <c r="K57" s="1888" t="s">
        <v>1557</v>
      </c>
      <c r="L57" s="1891">
        <f ca="1">IF(L48&lt;J51,"——",IF(L55="比较法",L49,IF(L55="基准地价",L50,L51)))</f>
        <v>126744</v>
      </c>
      <c r="O57" s="1885" t="s">
        <v>1041</v>
      </c>
      <c r="P57" s="1886" t="s">
        <v>1558</v>
      </c>
      <c r="Q57" s="1887">
        <f ca="1">L60</f>
        <v>1658</v>
      </c>
      <c r="R57" s="1887" t="s">
        <v>1559</v>
      </c>
    </row>
    <row r="58" spans="1:18" s="1843" customFormat="1" ht="24.75" thickBot="1">
      <c r="A58" s="360" t="s">
        <v>1030</v>
      </c>
      <c r="B58" s="1179" t="s">
        <v>1424</v>
      </c>
      <c r="C58" s="361">
        <f ca="1">ROUND(C59+C64+C65+C66,0)</f>
        <v>1219</v>
      </c>
      <c r="D58" s="1181" t="s">
        <v>1425</v>
      </c>
      <c r="E58" s="1182"/>
      <c r="F58" s="1183"/>
      <c r="I58" s="1923" t="s">
        <v>1560</v>
      </c>
      <c r="J58" s="1925" t="e">
        <f ca="1">IF(J55&lt;0.4,0.4,J55)</f>
        <v>#VALUE!</v>
      </c>
      <c r="K58" s="1901" t="s">
        <v>1561</v>
      </c>
      <c r="L58" s="1891">
        <f ca="1">ROUND(POWER(1+L52,L47-L48)*(POWER(1+L52,L48)-1)/(POWER(1+L52,L47)-1),4)</f>
        <v>0.99139999999999995</v>
      </c>
      <c r="O58" s="1895" t="s">
        <v>1042</v>
      </c>
      <c r="P58" s="1886" t="s">
        <v>1562</v>
      </c>
      <c r="Q58" s="1887">
        <f>IF(L55="比较法",L49,IF(L55="基准地价",L50,0))</f>
        <v>126744</v>
      </c>
      <c r="R58" s="1887" t="s">
        <v>1529</v>
      </c>
    </row>
    <row r="59" spans="1:18" s="1843" customFormat="1" ht="24.75" thickBot="1">
      <c r="A59" s="1203" t="s">
        <v>1035</v>
      </c>
      <c r="B59" s="1171" t="s">
        <v>1429</v>
      </c>
      <c r="C59" s="24">
        <f ca="1">ROUND(IF(项目基本情况!B11="自然人",C48*F59,C60+C61+C62),1)</f>
        <v>1019.4</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0.97860000000000003</v>
      </c>
      <c r="M59" s="1839">
        <f ca="1">ROUND(POWER(1+L52,L47-(J51+'数据-取费表'!B24))*(POWER(1+L52,(J51+'数据-取费表'!B24))-1)/(POWER(1+L52,L47)-1),4)</f>
        <v>0.97860000000000003</v>
      </c>
      <c r="N59" s="1839">
        <f ca="1">ROUND(POWER(1+L52,L47-(J51+'数据-取费表'!B20))*(POWER(1+L52,(J51+'数据-取费表'!B20))-1)/(POWER(1+L52,L47)-1),4)</f>
        <v>0.98250000000000004</v>
      </c>
      <c r="O59" s="1895" t="s">
        <v>1043</v>
      </c>
      <c r="P59" s="1886" t="s">
        <v>1564</v>
      </c>
      <c r="Q59" s="1898">
        <f>L52</f>
        <v>0.05</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1658</v>
      </c>
      <c r="O60" s="1895" t="s">
        <v>1044</v>
      </c>
      <c r="P60" s="1886" t="s">
        <v>1567</v>
      </c>
      <c r="Q60" s="1887">
        <f ca="1">L58</f>
        <v>0.99139999999999995</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1016.65</v>
      </c>
      <c r="D61" s="1829" t="s">
        <v>1438</v>
      </c>
      <c r="E61" s="1171" t="s">
        <v>1422</v>
      </c>
      <c r="F61" s="367">
        <f t="shared" si="0"/>
        <v>0.12</v>
      </c>
      <c r="I61" s="1929"/>
      <c r="J61" s="1929"/>
      <c r="K61" s="1929"/>
      <c r="L61" s="1929"/>
      <c r="O61" s="1895" t="s">
        <v>1045</v>
      </c>
      <c r="P61" s="1886" t="str">
        <f>K59</f>
        <v>建筑物剩余耐用年限下的土地年期修正系数Kn</v>
      </c>
      <c r="Q61" s="1887">
        <f ca="1">L59</f>
        <v>0.97860000000000003</v>
      </c>
      <c r="R61" s="1887" t="s">
        <v>1569</v>
      </c>
    </row>
    <row r="62" spans="1:18" s="1843" customFormat="1" ht="13.5" thickBot="1">
      <c r="A62" s="1203" t="s">
        <v>1495</v>
      </c>
      <c r="B62" s="1170" t="s">
        <v>1441</v>
      </c>
      <c r="C62" s="25">
        <f ca="1">IF(项目基本情况!B11="自然人","——",ROUND(F62*F63/10000,2))</f>
        <v>2.75</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61720</v>
      </c>
      <c r="R62" s="1887" t="s">
        <v>1047</v>
      </c>
    </row>
    <row r="63" spans="1:18" s="1843" customFormat="1" ht="13.5" thickBot="1">
      <c r="A63" s="372"/>
      <c r="B63" s="1177"/>
      <c r="C63" s="29"/>
      <c r="D63" s="1187"/>
      <c r="E63" s="1171" t="s">
        <v>1447</v>
      </c>
      <c r="F63" s="348">
        <f t="shared" ca="1" si="0"/>
        <v>18355.96</v>
      </c>
      <c r="I63" s="1930" t="s">
        <v>1576</v>
      </c>
      <c r="J63" s="1931">
        <v>70</v>
      </c>
      <c r="K63" s="1931">
        <v>50</v>
      </c>
      <c r="L63" s="1931">
        <v>80</v>
      </c>
      <c r="M63" s="1933">
        <v>0.02</v>
      </c>
      <c r="O63" s="1870" t="s">
        <v>1577</v>
      </c>
      <c r="P63" s="1840"/>
      <c r="Q63" s="1840"/>
      <c r="R63" s="1840"/>
    </row>
    <row r="64" spans="1:18" s="1843" customFormat="1" ht="13.5" thickBot="1">
      <c r="A64" s="1203" t="s">
        <v>1500</v>
      </c>
      <c r="B64" s="1171" t="s">
        <v>1449</v>
      </c>
      <c r="C64" s="24">
        <f ca="1">ROUND(C57*F64,1)</f>
        <v>181.5</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18.2</v>
      </c>
      <c r="D65" s="1185" t="s">
        <v>1454</v>
      </c>
      <c r="E65" s="1171" t="s">
        <v>1422</v>
      </c>
      <c r="F65" s="376">
        <f t="shared" ca="1" si="0"/>
        <v>1.5E-3</v>
      </c>
      <c r="I65" s="1930" t="s">
        <v>1579</v>
      </c>
      <c r="J65" s="1931">
        <v>40</v>
      </c>
      <c r="K65" s="1931">
        <v>30</v>
      </c>
      <c r="L65" s="1931">
        <v>50</v>
      </c>
      <c r="M65" s="1933">
        <v>0.02</v>
      </c>
      <c r="O65" s="1885" t="s">
        <v>1040</v>
      </c>
      <c r="P65" s="1886" t="s">
        <v>1528</v>
      </c>
      <c r="Q65" s="1887">
        <f ca="1">C40+J29</f>
        <v>60062</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1658</v>
      </c>
      <c r="R66" s="1887" t="s">
        <v>1581</v>
      </c>
    </row>
    <row r="67" spans="1:18" s="1843" customFormat="1" ht="16.5" thickBot="1">
      <c r="A67" s="1178" t="s">
        <v>1031</v>
      </c>
      <c r="B67" s="1188" t="s">
        <v>1463</v>
      </c>
      <c r="C67" s="361">
        <f ca="1">C48-C58</f>
        <v>-1219</v>
      </c>
      <c r="D67" s="1184" t="s">
        <v>1464</v>
      </c>
      <c r="E67" s="1189"/>
      <c r="F67" s="1190"/>
      <c r="O67" s="1895" t="s">
        <v>1042</v>
      </c>
      <c r="P67" s="1886" t="s">
        <v>1562</v>
      </c>
      <c r="Q67" s="1934">
        <f ca="1">L51</f>
        <v>46276</v>
      </c>
      <c r="R67" s="1887" t="s">
        <v>1582</v>
      </c>
    </row>
    <row r="68" spans="1:18" s="1843" customFormat="1" ht="16.5" thickBot="1">
      <c r="A68" s="1168" t="s">
        <v>1032</v>
      </c>
      <c r="B68" s="1169" t="s">
        <v>1485</v>
      </c>
      <c r="C68" s="346">
        <f ca="1">ROUND(C67*(1-((1+F70)/(1+F68))^F69)/(F68-F70),0)</f>
        <v>-21271</v>
      </c>
      <c r="D68" s="1186" t="s">
        <v>1469</v>
      </c>
      <c r="E68" s="1171" t="s">
        <v>1470</v>
      </c>
      <c r="F68" s="357">
        <f ca="1">F40</f>
        <v>5.5E-2</v>
      </c>
      <c r="O68" s="1895" t="s">
        <v>1043</v>
      </c>
      <c r="P68" s="1935" t="s">
        <v>1583</v>
      </c>
      <c r="Q68" s="1887">
        <f ca="1">ROUND(Q69-Q70*Q71,0)</f>
        <v>2413</v>
      </c>
      <c r="R68" s="1887" t="s">
        <v>1051</v>
      </c>
    </row>
    <row r="69" spans="1:18" s="1843" customFormat="1" ht="13.5" thickBot="1">
      <c r="A69" s="1172"/>
      <c r="B69" s="1173"/>
      <c r="C69" s="351"/>
      <c r="D69" s="1191" t="s">
        <v>1473</v>
      </c>
      <c r="E69" s="1171" t="s">
        <v>1474</v>
      </c>
      <c r="F69" s="379">
        <f ca="1">F41</f>
        <v>60</v>
      </c>
      <c r="O69" s="1895" t="s">
        <v>1048</v>
      </c>
      <c r="P69" s="1935" t="s">
        <v>1584</v>
      </c>
      <c r="Q69" s="1887">
        <f ca="1">C39</f>
        <v>3442</v>
      </c>
      <c r="R69" s="1887" t="s">
        <v>1529</v>
      </c>
    </row>
    <row r="70" spans="1:18" s="1843" customFormat="1" ht="13.5" thickBot="1">
      <c r="A70" s="1175"/>
      <c r="B70" s="1176"/>
      <c r="C70" s="355"/>
      <c r="D70" s="1187"/>
      <c r="E70" s="1171" t="s">
        <v>1477</v>
      </c>
      <c r="F70" s="1277"/>
      <c r="O70" s="1895" t="s">
        <v>1049</v>
      </c>
      <c r="P70" s="1935" t="s">
        <v>1585</v>
      </c>
      <c r="Q70" s="1887">
        <f ca="1">C13</f>
        <v>12103</v>
      </c>
      <c r="R70" s="1887" t="s">
        <v>1529</v>
      </c>
    </row>
    <row r="71" spans="1:18" s="1843" customFormat="1" ht="13.5" thickBot="1">
      <c r="A71" s="1192" t="s">
        <v>1033</v>
      </c>
      <c r="B71" s="1193" t="s">
        <v>1487</v>
      </c>
      <c r="C71" s="382">
        <f ca="1">ROUND(C68*10000/F71,0)</f>
        <v>-8801</v>
      </c>
      <c r="D71" s="1194" t="s">
        <v>1488</v>
      </c>
      <c r="E71" s="1195" t="s">
        <v>1489</v>
      </c>
      <c r="F71" s="385">
        <f ca="1">F43</f>
        <v>24168.16</v>
      </c>
      <c r="O71" s="1895" t="s">
        <v>1050</v>
      </c>
      <c r="P71" s="1935" t="s">
        <v>1586</v>
      </c>
      <c r="Q71" s="1898">
        <f ca="1">C76</f>
        <v>8.5000000000000006E-2</v>
      </c>
      <c r="R71" s="1887"/>
    </row>
    <row r="72" spans="1:18" s="1843" customFormat="1" ht="13.5" thickBot="1">
      <c r="B72" s="795"/>
      <c r="C72" s="795"/>
      <c r="O72" s="1895" t="s">
        <v>1044</v>
      </c>
      <c r="P72" s="1886" t="s">
        <v>1564</v>
      </c>
      <c r="Q72" s="1898">
        <f>L52</f>
        <v>0.05</v>
      </c>
      <c r="R72" s="1887"/>
    </row>
    <row r="73" spans="1:18" ht="16.5" thickBot="1">
      <c r="A73" s="1843"/>
      <c r="B73" s="795"/>
      <c r="C73" s="795"/>
      <c r="D73" s="1843"/>
      <c r="E73" s="1843"/>
      <c r="F73" s="1843"/>
      <c r="O73" s="1895" t="s">
        <v>1045</v>
      </c>
      <c r="P73" s="1886" t="s">
        <v>1567</v>
      </c>
      <c r="Q73" s="1887">
        <f ca="1">L58</f>
        <v>0.99139999999999995</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f ca="1">L59</f>
        <v>0.97860000000000003</v>
      </c>
      <c r="R74" s="1887" t="s">
        <v>1569</v>
      </c>
    </row>
    <row r="75" spans="1:18" ht="13.5" thickBot="1">
      <c r="A75" s="1843"/>
      <c r="B75" s="386" t="s">
        <v>1506</v>
      </c>
      <c r="C75" s="387">
        <f ca="1">ROUND(C13*C76,0)</f>
        <v>1029</v>
      </c>
      <c r="D75" s="1843"/>
      <c r="E75" s="1843"/>
      <c r="F75" s="1843"/>
      <c r="K75" s="1869"/>
      <c r="L75" s="1843"/>
      <c r="O75" s="1885" t="s">
        <v>1046</v>
      </c>
      <c r="P75" s="1886" t="s">
        <v>1549</v>
      </c>
      <c r="Q75" s="1887">
        <f ca="1">Q65+Q66</f>
        <v>61720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0.70100000000000007</v>
      </c>
    </row>
    <row r="80" spans="1:18">
      <c r="B80" s="386" t="s">
        <v>1511</v>
      </c>
      <c r="C80" s="318">
        <f ca="1">ROUND(C75/C39,3)</f>
        <v>0.29899999999999999</v>
      </c>
    </row>
    <row r="81" spans="2:3">
      <c r="B81" s="314" t="s">
        <v>1512</v>
      </c>
      <c r="C81" s="282"/>
    </row>
    <row r="82" spans="2:3">
      <c r="B82" s="317" t="s">
        <v>1513</v>
      </c>
      <c r="C82" s="319">
        <f ca="1">1-C83</f>
        <v>0.79800000000000004</v>
      </c>
    </row>
    <row r="83" spans="2:3">
      <c r="B83" s="317" t="s">
        <v>1514</v>
      </c>
      <c r="C83" s="318">
        <f ca="1">ROUND(C13/C40,3)</f>
        <v>0.20200000000000001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70</v>
      </c>
      <c r="E1" s="1822" t="s">
        <v>1387</v>
      </c>
      <c r="F1" s="1285">
        <f ca="1">J53</f>
        <v>35.35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6457</v>
      </c>
      <c r="C2" s="1846" t="s">
        <v>1516</v>
      </c>
      <c r="D2" s="1846"/>
      <c r="E2" s="1847"/>
      <c r="F2" s="1848"/>
      <c r="G2" s="1849"/>
      <c r="H2" s="1841"/>
      <c r="I2" s="1841"/>
      <c r="J2" s="1841"/>
      <c r="K2" s="1842"/>
      <c r="L2" s="1841"/>
      <c r="M2" s="1841"/>
    </row>
    <row r="3" spans="1:37" ht="18" customHeight="1" thickBot="1">
      <c r="A3" s="1850" t="s">
        <v>1517</v>
      </c>
      <c r="B3" s="1851">
        <f ca="1">IF(ISERROR(B2*10000/F43),0,ROUND(B2*10000/F43,0))</f>
        <v>20159</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583</v>
      </c>
      <c r="D5" s="1823" t="s">
        <v>1402</v>
      </c>
      <c r="E5" s="1295"/>
      <c r="F5" s="1296"/>
      <c r="G5" s="1852"/>
      <c r="H5" s="344">
        <v>1</v>
      </c>
      <c r="I5" s="345" t="s">
        <v>1401</v>
      </c>
      <c r="J5" s="1294">
        <f ca="1">J6+J10+J12</f>
        <v>0</v>
      </c>
      <c r="K5" s="1823" t="s">
        <v>1402</v>
      </c>
      <c r="L5" s="1295"/>
      <c r="M5" s="1296"/>
    </row>
    <row r="6" spans="1:37" ht="18" customHeight="1">
      <c r="A6" s="1293" t="s">
        <v>1035</v>
      </c>
      <c r="B6" s="3254" t="s">
        <v>1403</v>
      </c>
      <c r="C6" s="1298">
        <f ca="1">ROUND(F6*F8*F7*(1-F9)/10000,0)</f>
        <v>582</v>
      </c>
      <c r="D6" s="164" t="s">
        <v>3031</v>
      </c>
      <c r="E6" s="347" t="s">
        <v>1405</v>
      </c>
      <c r="F6" s="348">
        <f ca="1">INDIRECT("'数据-取费表'!u"&amp;$G$1)</f>
        <v>5.53</v>
      </c>
      <c r="G6" s="1852"/>
      <c r="H6" s="1293" t="s">
        <v>1035</v>
      </c>
      <c r="I6" s="3254" t="s">
        <v>1403</v>
      </c>
      <c r="J6" s="346">
        <f ca="1">ROUND(M6*M8*M7*(1-M9)/10000,0)</f>
        <v>0</v>
      </c>
      <c r="K6" s="164" t="s">
        <v>3030</v>
      </c>
      <c r="L6" s="347" t="s">
        <v>1405</v>
      </c>
      <c r="M6" s="348">
        <f ca="1">INDIRECT("'数据-取费表'!z"&amp;$G$1)</f>
        <v>0</v>
      </c>
    </row>
    <row r="7" spans="1:37" ht="18" customHeight="1">
      <c r="A7" s="1297"/>
      <c r="B7" s="3255"/>
      <c r="C7" s="1299"/>
      <c r="D7" s="352"/>
      <c r="E7" s="1300" t="s">
        <v>1406</v>
      </c>
      <c r="F7" s="348">
        <f ca="1">IF(INDIRECT("'数据-取费表'!ah"&amp;$G$1)="",INDIRECT("'数据-取费表'!k"&amp;$G$1),INDIRECT("'数据-取费表'!ah"&amp;$G$1))</f>
        <v>3203.06</v>
      </c>
      <c r="G7" s="1852"/>
      <c r="H7" s="349"/>
      <c r="I7" s="3255"/>
      <c r="J7" s="351"/>
      <c r="K7" s="352"/>
      <c r="L7" s="347" t="s">
        <v>1406</v>
      </c>
      <c r="M7" s="348">
        <f ca="1">F7</f>
        <v>3203.06</v>
      </c>
    </row>
    <row r="8" spans="1:37" ht="18" customHeight="1">
      <c r="A8" s="349"/>
      <c r="B8" s="3255"/>
      <c r="C8" s="351"/>
      <c r="D8" s="352"/>
      <c r="E8" s="347" t="s">
        <v>1407</v>
      </c>
      <c r="F8" s="348">
        <f ca="1">INDIRECT("'数据-取费表'!ai"&amp;$G$1)</f>
        <v>365</v>
      </c>
      <c r="G8" s="1852"/>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52"/>
      <c r="H9" s="349"/>
      <c r="I9" s="32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3040</v>
      </c>
      <c r="E10" s="358" t="s">
        <v>1410</v>
      </c>
      <c r="F10" s="3343" t="s">
        <v>3273</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1538</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980</v>
      </c>
      <c r="D14" s="1801" t="s">
        <v>1418</v>
      </c>
      <c r="E14" s="1795"/>
      <c r="F14" s="364"/>
      <c r="G14" s="1852"/>
      <c r="H14" s="1203" t="s">
        <v>1035</v>
      </c>
      <c r="I14" s="347" t="s">
        <v>1419</v>
      </c>
      <c r="J14" s="24">
        <f ca="1">C29</f>
        <v>1538</v>
      </c>
      <c r="K14" s="15"/>
      <c r="L14" s="981"/>
      <c r="M14" s="982"/>
    </row>
    <row r="15" spans="1:37" s="1859" customFormat="1" ht="18" customHeight="1" thickBot="1">
      <c r="A15" s="1203" t="s">
        <v>1036</v>
      </c>
      <c r="B15" s="347" t="s">
        <v>1420</v>
      </c>
      <c r="C15" s="24">
        <f ca="1">ROUND(C14*F15,0)</f>
        <v>39</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36</v>
      </c>
      <c r="K16" s="1339" t="s">
        <v>1425</v>
      </c>
      <c r="L16" s="1340"/>
      <c r="M16" s="1296"/>
    </row>
    <row r="17" spans="1:37" s="1859" customFormat="1" ht="18" customHeight="1">
      <c r="A17" s="1203" t="s">
        <v>1390</v>
      </c>
      <c r="B17" s="347" t="s">
        <v>1426</v>
      </c>
      <c r="C17" s="24">
        <f ca="1">ROUND(F17*(F43+INDIRECT("'数据-取费表'!S"&amp;$G$1))/10000,0)</f>
        <v>66</v>
      </c>
      <c r="D17" s="347" t="s">
        <v>1427</v>
      </c>
      <c r="E17" s="347" t="s">
        <v>1428</v>
      </c>
      <c r="F17" s="26">
        <f>'数据-取费表'!B35</f>
        <v>200</v>
      </c>
      <c r="G17" s="1855"/>
      <c r="H17" s="1203" t="s">
        <v>1035</v>
      </c>
      <c r="I17" s="347" t="s">
        <v>1429</v>
      </c>
      <c r="J17" s="24">
        <f ca="1">ROUND(IF(项目基本情况!B11="自然人",J5*M17,J18+J19+J20),1)</f>
        <v>13.3</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15</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1100</v>
      </c>
      <c r="D19" s="140" t="s">
        <v>1436</v>
      </c>
      <c r="E19" s="1819"/>
      <c r="F19" s="26"/>
      <c r="G19" s="1852"/>
      <c r="H19" s="1203" t="s">
        <v>1036</v>
      </c>
      <c r="I19" s="347" t="s">
        <v>1437</v>
      </c>
      <c r="J19" s="24">
        <f ca="1">IF(K19="按租金收入计税",ROUND(J5*M19,2),ROUND(C29*M19*0.7,2))</f>
        <v>12.92</v>
      </c>
      <c r="K19" s="1829" t="s">
        <v>1438</v>
      </c>
      <c r="L19" s="347" t="s">
        <v>1422</v>
      </c>
      <c r="M19" s="367">
        <f>IF(K19="按租金收入计税",'数据-取费表'!B51,'数据-取费表'!B50)</f>
        <v>1.2E-2</v>
      </c>
    </row>
    <row r="20" spans="1:37" s="1859" customFormat="1" ht="18" customHeight="1">
      <c r="A20" s="1203" t="s">
        <v>1039</v>
      </c>
      <c r="B20" s="347" t="s">
        <v>1439</v>
      </c>
      <c r="C20" s="24">
        <f ca="1">ROUND(C19*F20,0)</f>
        <v>33</v>
      </c>
      <c r="D20" s="369" t="s">
        <v>1440</v>
      </c>
      <c r="E20" s="347" t="s">
        <v>1422</v>
      </c>
      <c r="F20" s="367">
        <f>'数据-取费表'!B37</f>
        <v>0.03</v>
      </c>
      <c r="G20" s="1855"/>
      <c r="H20" s="1203" t="s">
        <v>1389</v>
      </c>
      <c r="I20" s="164" t="s">
        <v>1441</v>
      </c>
      <c r="J20" s="25">
        <f ca="1">ROUND(M20*M21/10000,2)</f>
        <v>0.36</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2432.7599999999998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23.1</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-36</v>
      </c>
      <c r="K25" s="1347" t="s">
        <v>1464</v>
      </c>
      <c r="L25" s="1348"/>
      <c r="M25" s="1349"/>
    </row>
    <row r="26" spans="1:37">
      <c r="A26" s="1203" t="s">
        <v>1034</v>
      </c>
      <c r="B26" s="347" t="s">
        <v>1465</v>
      </c>
      <c r="C26" s="24">
        <f ca="1">ROUND((C19+C20)*F26,0)</f>
        <v>227</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1538</v>
      </c>
      <c r="D29" s="1344"/>
      <c r="E29" s="1342"/>
      <c r="F29" s="1345"/>
      <c r="G29" s="1855"/>
      <c r="H29" s="380" t="s">
        <v>1033</v>
      </c>
      <c r="I29" s="381" t="s">
        <v>1479</v>
      </c>
      <c r="J29" s="382">
        <f ca="1">ROUND(J26/(1+F40)^F41,0)</f>
        <v>0</v>
      </c>
      <c r="K29" s="383" t="s">
        <v>1480</v>
      </c>
      <c r="L29" s="384"/>
      <c r="M29" s="385">
        <f ca="1">INDIRECT("'数据-取费表'!k"&amp;$G$1)</f>
        <v>3203.06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139</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100.9</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30.54</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69.959999999999994</v>
      </c>
      <c r="D33" s="1829" t="s">
        <v>3274</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0.36</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2432.7599999999998</v>
      </c>
      <c r="G35" s="1852"/>
      <c r="H35" s="744"/>
      <c r="I35" s="1861"/>
      <c r="J35" s="1862"/>
      <c r="K35" s="1863"/>
      <c r="L35" s="1860"/>
      <c r="M35" s="1860"/>
    </row>
    <row r="36" spans="1:18" ht="18" customHeight="1">
      <c r="A36" s="1354" t="s">
        <v>1039</v>
      </c>
      <c r="B36" s="347" t="s">
        <v>1449</v>
      </c>
      <c r="C36" s="24">
        <f ca="1">ROUND(C29*F36,1)</f>
        <v>23.1</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3.1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11.7</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444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6457</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20159</v>
      </c>
      <c r="D43" s="383" t="s">
        <v>1488</v>
      </c>
      <c r="E43" s="384" t="s">
        <v>1489</v>
      </c>
      <c r="F43" s="385">
        <f ca="1">INDIRECT("'数据-取费表'!k"&amp;$G$1)</f>
        <v>3203.06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-8726</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3260</v>
      </c>
      <c r="K47" s="1883" t="s">
        <v>1527</v>
      </c>
      <c r="L47" s="1884">
        <f ca="1">INDIRECT("'数据-取费表'!d"&amp;$G$1)</f>
        <v>40</v>
      </c>
      <c r="M47" s="1839" t="str">
        <f>IF(ISNUMBER(FIND("住宅",C1)),"住宅","非住宅")</f>
        <v>非住宅</v>
      </c>
      <c r="O47" s="1885" t="s">
        <v>1040</v>
      </c>
      <c r="P47" s="1886" t="s">
        <v>1528</v>
      </c>
      <c r="Q47" s="1887">
        <f ca="1">C40+J29</f>
        <v>6457</v>
      </c>
      <c r="R47" s="1887" t="s">
        <v>1529</v>
      </c>
    </row>
    <row r="48" spans="1:18" s="1843" customFormat="1" ht="28.5" thickBot="1">
      <c r="A48" s="1362" t="s">
        <v>1135</v>
      </c>
      <c r="B48" s="345" t="s">
        <v>1401</v>
      </c>
      <c r="C48" s="1818">
        <f ca="1">C49+C53+C55</f>
        <v>0</v>
      </c>
      <c r="D48" s="1364"/>
      <c r="E48" s="1365"/>
      <c r="F48" s="1183"/>
      <c r="G48" s="791"/>
      <c r="H48" s="792"/>
      <c r="I48" s="1888" t="s">
        <v>1530</v>
      </c>
      <c r="J48" s="1889" t="s">
        <v>3275</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1538</v>
      </c>
      <c r="R49" s="1887" t="s">
        <v>1529</v>
      </c>
    </row>
    <row r="50" spans="1:18" s="1843" customFormat="1" ht="13.5" thickBot="1">
      <c r="A50" s="1197"/>
      <c r="B50" s="1200"/>
      <c r="C50" s="1370"/>
      <c r="D50" s="1174"/>
      <c r="E50" s="1279" t="s">
        <v>1406</v>
      </c>
      <c r="F50" s="1280">
        <f ca="1">F7</f>
        <v>3203.06</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4838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35.35</v>
      </c>
      <c r="K53" s="3257" t="s">
        <v>1548</v>
      </c>
      <c r="L53" s="3258"/>
      <c r="O53" s="1885" t="s">
        <v>1046</v>
      </c>
      <c r="P53" s="1886" t="s">
        <v>1549</v>
      </c>
      <c r="Q53" s="1887">
        <f ca="1">Q47+Q48</f>
        <v>6457</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1538</v>
      </c>
      <c r="D56" s="1915"/>
      <c r="E56" s="1916"/>
      <c r="F56" s="1908"/>
      <c r="I56" s="1917" t="s">
        <v>1554</v>
      </c>
      <c r="J56" s="3344" t="s">
        <v>3060</v>
      </c>
      <c r="K56" s="1888" t="s">
        <v>1555</v>
      </c>
      <c r="L56" s="1891" t="str">
        <f ca="1">IF(L48&lt;J51,"——",L48-J53)</f>
        <v>——</v>
      </c>
      <c r="O56" s="1885" t="s">
        <v>1040</v>
      </c>
      <c r="P56" s="1886" t="s">
        <v>1528</v>
      </c>
      <c r="Q56" s="1887">
        <f ca="1">C40+J29</f>
        <v>6457</v>
      </c>
      <c r="R56" s="1887" t="s">
        <v>1529</v>
      </c>
    </row>
    <row r="57" spans="1:18" s="1843" customFormat="1" ht="24.75" thickBot="1">
      <c r="A57" s="1919"/>
      <c r="B57" s="1171" t="s">
        <v>1478</v>
      </c>
      <c r="C57" s="282">
        <f ca="1">C29</f>
        <v>1538</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156</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129.6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129.19</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0.36</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6457</v>
      </c>
      <c r="R62" s="1887" t="s">
        <v>1047</v>
      </c>
    </row>
    <row r="63" spans="1:18" s="1843" customFormat="1" ht="13.5" thickBot="1">
      <c r="A63" s="372"/>
      <c r="B63" s="1177"/>
      <c r="C63" s="29"/>
      <c r="D63" s="1187"/>
      <c r="E63" s="1171" t="s">
        <v>1499</v>
      </c>
      <c r="F63" s="348">
        <f t="shared" ca="1" si="0"/>
        <v>2432.7599999999998</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23.1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3.1</v>
      </c>
      <c r="D65" s="1185" t="s">
        <v>1454</v>
      </c>
      <c r="E65" s="1171" t="s">
        <v>1455</v>
      </c>
      <c r="F65" s="376">
        <f t="shared" ca="1" si="0"/>
        <v>2E-3</v>
      </c>
      <c r="I65" s="1930" t="s">
        <v>1579</v>
      </c>
      <c r="J65" s="1931">
        <v>40</v>
      </c>
      <c r="K65" s="1931">
        <v>30</v>
      </c>
      <c r="L65" s="1931">
        <v>50</v>
      </c>
      <c r="M65" s="1933">
        <v>0.02</v>
      </c>
      <c r="O65" s="1885" t="s">
        <v>1040</v>
      </c>
      <c r="P65" s="1886" t="s">
        <v>1580</v>
      </c>
      <c r="Q65" s="1887">
        <f ca="1">C40+J29</f>
        <v>6457</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-156</v>
      </c>
      <c r="D67" s="1184" t="s">
        <v>1464</v>
      </c>
      <c r="E67" s="1189"/>
      <c r="F67" s="1190"/>
      <c r="O67" s="1895" t="s">
        <v>1042</v>
      </c>
      <c r="P67" s="1886" t="s">
        <v>1562</v>
      </c>
      <c r="Q67" s="1934">
        <f ca="1">L51</f>
        <v>4838</v>
      </c>
      <c r="R67" s="1887" t="s">
        <v>1582</v>
      </c>
    </row>
    <row r="68" spans="1:18" s="1843" customFormat="1" ht="16.5" thickBot="1">
      <c r="A68" s="1168" t="s">
        <v>1032</v>
      </c>
      <c r="B68" s="1169" t="s">
        <v>1485</v>
      </c>
      <c r="C68" s="346">
        <f ca="1">ROUND(C67*(1-((1+F70)/(1+F68))^F69)/(F68-F70),0)</f>
        <v>-2269</v>
      </c>
      <c r="D68" s="1186" t="s">
        <v>1469</v>
      </c>
      <c r="E68" s="1171" t="s">
        <v>1470</v>
      </c>
      <c r="F68" s="357">
        <f ca="1">F40</f>
        <v>0.06</v>
      </c>
      <c r="O68" s="1895" t="s">
        <v>1043</v>
      </c>
      <c r="P68" s="1935" t="s">
        <v>1583</v>
      </c>
      <c r="Q68" s="1887">
        <f ca="1">ROUND(Q69-Q70*Q71,0)</f>
        <v>313</v>
      </c>
      <c r="R68" s="1887" t="s">
        <v>1051</v>
      </c>
    </row>
    <row r="69" spans="1:18" s="1843" customFormat="1" ht="13.5" thickBot="1">
      <c r="A69" s="1172"/>
      <c r="B69" s="1173"/>
      <c r="C69" s="351"/>
      <c r="D69" s="1191" t="s">
        <v>1473</v>
      </c>
      <c r="E69" s="1171" t="s">
        <v>1474</v>
      </c>
      <c r="F69" s="379">
        <f ca="1">F41</f>
        <v>35.35</v>
      </c>
      <c r="O69" s="1895" t="s">
        <v>1048</v>
      </c>
      <c r="P69" s="1935" t="s">
        <v>1584</v>
      </c>
      <c r="Q69" s="1887">
        <f ca="1">C39</f>
        <v>444</v>
      </c>
      <c r="R69" s="1887" t="s">
        <v>1529</v>
      </c>
    </row>
    <row r="70" spans="1:18" s="1843" customFormat="1" ht="13.5" thickBot="1">
      <c r="A70" s="1175"/>
      <c r="B70" s="1176"/>
      <c r="C70" s="355"/>
      <c r="D70" s="1187"/>
      <c r="E70" s="1171" t="s">
        <v>1477</v>
      </c>
      <c r="F70" s="1277"/>
      <c r="O70" s="1895" t="s">
        <v>1049</v>
      </c>
      <c r="P70" s="1935" t="s">
        <v>1585</v>
      </c>
      <c r="Q70" s="1887">
        <f ca="1">C13</f>
        <v>1538</v>
      </c>
      <c r="R70" s="1887" t="s">
        <v>1529</v>
      </c>
    </row>
    <row r="71" spans="1:18" s="1843" customFormat="1" ht="13.5" thickBot="1">
      <c r="A71" s="1192" t="s">
        <v>1033</v>
      </c>
      <c r="B71" s="1193" t="s">
        <v>1487</v>
      </c>
      <c r="C71" s="382">
        <f ca="1">ROUND(C68*10000/F71,0)</f>
        <v>-7084</v>
      </c>
      <c r="D71" s="1194" t="s">
        <v>1488</v>
      </c>
      <c r="E71" s="1195" t="s">
        <v>1489</v>
      </c>
      <c r="F71" s="385">
        <f ca="1">F43</f>
        <v>3203.06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131</v>
      </c>
      <c r="D75" s="1843"/>
      <c r="E75" s="1843"/>
      <c r="F75" s="1843"/>
      <c r="K75" s="1869"/>
      <c r="L75" s="1843"/>
      <c r="O75" s="1885" t="s">
        <v>1046</v>
      </c>
      <c r="P75" s="1886" t="s">
        <v>1549</v>
      </c>
      <c r="Q75" s="1887">
        <f ca="1">Q65+Q66</f>
        <v>6457</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0.70500000000000007</v>
      </c>
    </row>
    <row r="80" spans="1:18">
      <c r="B80" s="386" t="s">
        <v>1511</v>
      </c>
      <c r="C80" s="318">
        <f ca="1">ROUND(C75/C39,3)</f>
        <v>0.29499999999999998</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54" t="s">
        <v>1403</v>
      </c>
      <c r="C6" s="1298">
        <f ca="1">ROUND(F6*F8*F7*(1-F9),0)</f>
        <v>0</v>
      </c>
      <c r="D6" s="164" t="s">
        <v>3028</v>
      </c>
      <c r="E6" s="347" t="s">
        <v>1405</v>
      </c>
      <c r="F6" s="348">
        <f ca="1">INDIRECT("'数据-取费表'!u"&amp;$G$1)</f>
        <v>0</v>
      </c>
      <c r="G6" s="1852"/>
      <c r="H6" s="1293" t="s">
        <v>1035</v>
      </c>
      <c r="I6" s="3254" t="s">
        <v>1403</v>
      </c>
      <c r="J6" s="346">
        <f ca="1">ROUND(M6*M8*M7*(1-M9),0)</f>
        <v>0</v>
      </c>
      <c r="K6" s="1835" t="s">
        <v>3029</v>
      </c>
      <c r="L6" s="347" t="s">
        <v>1405</v>
      </c>
      <c r="M6" s="348">
        <f ca="1">INDIRECT("'数据-取费表'!z"&amp;$G$1)</f>
        <v>0</v>
      </c>
    </row>
    <row r="7" spans="1:37" ht="18" customHeight="1">
      <c r="A7" s="1297"/>
      <c r="B7" s="3255"/>
      <c r="C7" s="1299"/>
      <c r="D7" s="352"/>
      <c r="E7" s="1300" t="s">
        <v>1406</v>
      </c>
      <c r="F7" s="348">
        <f ca="1">IF(INDIRECT("'数据-取费表'!ah"&amp;$G$1)="",INDIRECT("'数据-取费表'!k"&amp;$G$1),INDIRECT("'数据-取费表'!ah"&amp;$G$1))</f>
        <v>0</v>
      </c>
      <c r="G7" s="1852"/>
      <c r="H7" s="349"/>
      <c r="I7" s="3255"/>
      <c r="J7" s="351"/>
      <c r="K7" s="352"/>
      <c r="L7" s="347" t="s">
        <v>1406</v>
      </c>
      <c r="M7" s="348">
        <f ca="1">F7</f>
        <v>0</v>
      </c>
    </row>
    <row r="8" spans="1:37" ht="18" customHeight="1">
      <c r="A8" s="349"/>
      <c r="B8" s="3255"/>
      <c r="C8" s="351"/>
      <c r="D8" s="352"/>
      <c r="E8" s="347" t="s">
        <v>1407</v>
      </c>
      <c r="F8" s="348">
        <f ca="1">INDIRECT("'数据-取费表'!ai"&amp;$G$1)</f>
        <v>0</v>
      </c>
      <c r="G8" s="1852"/>
      <c r="H8" s="349"/>
      <c r="I8" s="3255"/>
      <c r="J8" s="351"/>
      <c r="K8" s="352"/>
      <c r="L8" s="347" t="s">
        <v>1407</v>
      </c>
      <c r="M8" s="348">
        <f ca="1">INDIRECT("'数据-取费表'!ai"&amp;$G$1)</f>
        <v>0</v>
      </c>
    </row>
    <row r="9" spans="1:37" ht="18" customHeight="1">
      <c r="A9" s="349"/>
      <c r="B9" s="3256"/>
      <c r="C9" s="351"/>
      <c r="D9" s="352"/>
      <c r="E9" s="347" t="s">
        <v>1408</v>
      </c>
      <c r="F9" s="357">
        <f ca="1">INDIRECT("'数据-取费表'!w"&amp;$G$1)</f>
        <v>0</v>
      </c>
      <c r="G9" s="1852"/>
      <c r="H9" s="349"/>
      <c r="I9" s="32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36" t="s">
        <v>3041</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3042</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57" t="s">
        <v>1548</v>
      </c>
      <c r="L53" s="3258"/>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1" sqref="K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70</v>
      </c>
      <c r="E1" s="1822" t="s">
        <v>1387</v>
      </c>
      <c r="F1" s="1285">
        <f ca="1">J53</f>
        <v>45.35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461</v>
      </c>
      <c r="C2" s="1846" t="s">
        <v>1516</v>
      </c>
      <c r="D2" s="1846"/>
      <c r="E2" s="1847"/>
      <c r="F2" s="1848"/>
      <c r="G2" s="1849"/>
      <c r="H2" s="1841"/>
      <c r="I2" s="1841"/>
      <c r="J2" s="1841"/>
      <c r="K2" s="1842"/>
      <c r="L2" s="1841"/>
      <c r="M2" s="1841"/>
    </row>
    <row r="3" spans="1:37" ht="18" customHeight="1" thickBot="1">
      <c r="A3" s="1850" t="s">
        <v>1517</v>
      </c>
      <c r="B3" s="1851">
        <f ca="1">IF(ISERROR(B2*10000/F43),0,ROUND(B2*10000/F43,0))</f>
        <v>7883</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33</v>
      </c>
      <c r="D5" s="1823" t="s">
        <v>1402</v>
      </c>
      <c r="E5" s="1295"/>
      <c r="F5" s="1296"/>
      <c r="G5" s="1852"/>
      <c r="H5" s="344">
        <v>1</v>
      </c>
      <c r="I5" s="345" t="s">
        <v>1401</v>
      </c>
      <c r="J5" s="1294">
        <f ca="1">J6+J10+J12</f>
        <v>0</v>
      </c>
      <c r="K5" s="1823" t="s">
        <v>1402</v>
      </c>
      <c r="L5" s="1295"/>
      <c r="M5" s="1296"/>
    </row>
    <row r="6" spans="1:37" ht="18" customHeight="1">
      <c r="A6" s="1293" t="s">
        <v>1035</v>
      </c>
      <c r="B6" s="3254" t="s">
        <v>1403</v>
      </c>
      <c r="C6" s="1298">
        <f ca="1">ROUND(F6*F8*F7*(1-F9)/10000,0)</f>
        <v>33</v>
      </c>
      <c r="D6" s="164" t="s">
        <v>3031</v>
      </c>
      <c r="E6" s="347" t="s">
        <v>1405</v>
      </c>
      <c r="F6" s="348">
        <f ca="1">INDIRECT("'数据-取费表'!u"&amp;$G$1)</f>
        <v>1.7</v>
      </c>
      <c r="G6" s="1852"/>
      <c r="H6" s="1293" t="s">
        <v>1035</v>
      </c>
      <c r="I6" s="3254" t="s">
        <v>1403</v>
      </c>
      <c r="J6" s="346">
        <f ca="1">ROUND(M6*M8*M7*(1-M9)/10000,0)</f>
        <v>0</v>
      </c>
      <c r="K6" s="164" t="s">
        <v>3030</v>
      </c>
      <c r="L6" s="347" t="s">
        <v>1405</v>
      </c>
      <c r="M6" s="348">
        <f ca="1">INDIRECT("'数据-取费表'!z"&amp;$G$1)</f>
        <v>0</v>
      </c>
    </row>
    <row r="7" spans="1:37" ht="18" customHeight="1">
      <c r="A7" s="1297"/>
      <c r="B7" s="3255"/>
      <c r="C7" s="1299"/>
      <c r="D7" s="352"/>
      <c r="E7" s="2947" t="s">
        <v>1406</v>
      </c>
      <c r="F7" s="348">
        <f ca="1">IF(INDIRECT("'数据-取费表'!ah"&amp;$G$1)="",INDIRECT("'数据-取费表'!k"&amp;$G$1),INDIRECT("'数据-取费表'!ah"&amp;$G$1))</f>
        <v>584.81999999999971</v>
      </c>
      <c r="G7" s="1852"/>
      <c r="H7" s="349"/>
      <c r="I7" s="3255"/>
      <c r="J7" s="351"/>
      <c r="K7" s="352"/>
      <c r="L7" s="347" t="s">
        <v>1406</v>
      </c>
      <c r="M7" s="348">
        <f ca="1">F7</f>
        <v>584.81999999999971</v>
      </c>
    </row>
    <row r="8" spans="1:37" ht="18" customHeight="1">
      <c r="A8" s="349"/>
      <c r="B8" s="3255"/>
      <c r="C8" s="351"/>
      <c r="D8" s="352"/>
      <c r="E8" s="347" t="s">
        <v>1407</v>
      </c>
      <c r="F8" s="348">
        <f ca="1">INDIRECT("'数据-取费表'!ai"&amp;$G$1)</f>
        <v>365</v>
      </c>
      <c r="G8" s="1852"/>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52"/>
      <c r="H9" s="349"/>
      <c r="I9" s="32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t="s">
        <v>3281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202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132</v>
      </c>
      <c r="D14" s="2941" t="s">
        <v>1418</v>
      </c>
      <c r="E14" s="2939"/>
      <c r="F14" s="364"/>
      <c r="G14" s="1852"/>
      <c r="H14" s="1203" t="s">
        <v>1035</v>
      </c>
      <c r="I14" s="347" t="s">
        <v>1419</v>
      </c>
      <c r="J14" s="24">
        <f ca="1">C29</f>
        <v>202</v>
      </c>
      <c r="K14" s="2946"/>
      <c r="L14" s="981"/>
      <c r="M14" s="982"/>
    </row>
    <row r="15" spans="1:37" s="1859" customFormat="1" ht="18" customHeight="1" thickBot="1">
      <c r="A15" s="1203" t="s">
        <v>1036</v>
      </c>
      <c r="B15" s="347" t="s">
        <v>1420</v>
      </c>
      <c r="C15" s="24">
        <f ca="1">ROUND(C14*F15,0)</f>
        <v>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5</v>
      </c>
      <c r="K16" s="1339" t="s">
        <v>1425</v>
      </c>
      <c r="L16" s="2942"/>
      <c r="M16" s="1296"/>
    </row>
    <row r="17" spans="1:37" s="1859" customFormat="1" ht="18" customHeight="1">
      <c r="A17" s="1203" t="s">
        <v>1390</v>
      </c>
      <c r="B17" s="347" t="s">
        <v>1426</v>
      </c>
      <c r="C17" s="24">
        <f ca="1">ROUND(F17*(F43+INDIRECT("'数据-取费表'!S"&amp;$G$1))/10000,0)</f>
        <v>12</v>
      </c>
      <c r="D17" s="347" t="s">
        <v>1427</v>
      </c>
      <c r="E17" s="347" t="s">
        <v>1428</v>
      </c>
      <c r="F17" s="26">
        <f>'数据-取费表'!B35</f>
        <v>200</v>
      </c>
      <c r="G17" s="1855"/>
      <c r="H17" s="1203" t="s">
        <v>1035</v>
      </c>
      <c r="I17" s="347" t="s">
        <v>1429</v>
      </c>
      <c r="J17" s="24">
        <f ca="1">ROUND(IF(项目基本情况!B11="自然人",J5*M17,J18+J19+J20),1)</f>
        <v>1.8</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2</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151</v>
      </c>
      <c r="D19" s="140" t="s">
        <v>1436</v>
      </c>
      <c r="E19" s="2945"/>
      <c r="F19" s="26"/>
      <c r="G19" s="1852"/>
      <c r="H19" s="1203" t="s">
        <v>1036</v>
      </c>
      <c r="I19" s="347" t="s">
        <v>1437</v>
      </c>
      <c r="J19" s="24">
        <f ca="1">IF(K19="按租金收入计税",ROUND(J5*M19,2),ROUND(C29*M19*0.7,2))</f>
        <v>1.7</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v>
      </c>
      <c r="D20" s="369" t="s">
        <v>1440</v>
      </c>
      <c r="E20" s="347" t="s">
        <v>1422</v>
      </c>
      <c r="F20" s="367">
        <f>'数据-取费表'!B37</f>
        <v>0.03</v>
      </c>
      <c r="G20" s="1855"/>
      <c r="H20" s="1203" t="s">
        <v>1389</v>
      </c>
      <c r="I20" s="164" t="s">
        <v>1441</v>
      </c>
      <c r="J20" s="25">
        <f ca="1">ROUND(M20*M21/10000,2)</f>
        <v>7.0000000000000007E-2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444.17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3</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-5</v>
      </c>
      <c r="K25" s="1347" t="s">
        <v>1464</v>
      </c>
      <c r="L25" s="1348"/>
      <c r="M25" s="1349"/>
    </row>
    <row r="26" spans="1:37">
      <c r="A26" s="1203" t="s">
        <v>1034</v>
      </c>
      <c r="B26" s="347" t="s">
        <v>1465</v>
      </c>
      <c r="C26" s="24">
        <f ca="1">ROUND((C19+C20)*F26,0)</f>
        <v>23</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202</v>
      </c>
      <c r="D29" s="1344"/>
      <c r="E29" s="1342"/>
      <c r="F29" s="1345"/>
      <c r="G29" s="1855"/>
      <c r="H29" s="380" t="s">
        <v>1033</v>
      </c>
      <c r="I29" s="381" t="s">
        <v>1479</v>
      </c>
      <c r="J29" s="382">
        <f ca="1">ROUND(J26/(1+F40)^F41,0)</f>
        <v>0</v>
      </c>
      <c r="K29" s="383" t="s">
        <v>1480</v>
      </c>
      <c r="L29" s="384"/>
      <c r="M29" s="385">
        <f ca="1">INDIRECT("'数据-取费表'!k"&amp;$G$1)</f>
        <v>584.81999999999971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9</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5.8</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1.73</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3.96</v>
      </c>
      <c r="D33" s="1829" t="s">
        <v>3274</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7.0000000000000007E-2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444.17</v>
      </c>
      <c r="G35" s="1852"/>
      <c r="H35" s="744"/>
      <c r="I35" s="1861"/>
      <c r="J35" s="1862"/>
      <c r="K35" s="1863"/>
      <c r="L35" s="1860"/>
      <c r="M35" s="1860"/>
    </row>
    <row r="36" spans="1:18" ht="18" customHeight="1">
      <c r="A36" s="1354" t="s">
        <v>1039</v>
      </c>
      <c r="B36" s="347" t="s">
        <v>1449</v>
      </c>
      <c r="C36" s="24">
        <f ca="1">ROUND(C29*F36,1)</f>
        <v>3</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0.3</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0.3</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24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461</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7883</v>
      </c>
      <c r="D43" s="383" t="s">
        <v>1488</v>
      </c>
      <c r="E43" s="384" t="s">
        <v>1489</v>
      </c>
      <c r="F43" s="385">
        <f ca="1">INDIRECT("'数据-取费表'!k"&amp;$G$1)</f>
        <v>584.81999999999971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-845</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3260</v>
      </c>
      <c r="K47" s="1883" t="s">
        <v>1527</v>
      </c>
      <c r="L47" s="1884">
        <f ca="1">INDIRECT("'数据-取费表'!d"&amp;$G$1)</f>
        <v>50</v>
      </c>
      <c r="M47" s="1839" t="str">
        <f>IF(ISNUMBER(FIND("住宅",C1)),"住宅","非住宅")</f>
        <v>非住宅</v>
      </c>
      <c r="O47" s="1885" t="s">
        <v>1040</v>
      </c>
      <c r="P47" s="1886" t="s">
        <v>1528</v>
      </c>
      <c r="Q47" s="1887">
        <f ca="1">C40+J29</f>
        <v>461</v>
      </c>
      <c r="R47" s="1887" t="s">
        <v>1529</v>
      </c>
    </row>
    <row r="48" spans="1:18" s="1843" customFormat="1" ht="28.5" thickBot="1">
      <c r="A48" s="1362" t="s">
        <v>1135</v>
      </c>
      <c r="B48" s="345" t="s">
        <v>1401</v>
      </c>
      <c r="C48" s="2944">
        <f ca="1">C49+C53+C55</f>
        <v>0</v>
      </c>
      <c r="D48" s="1364"/>
      <c r="E48" s="1365"/>
      <c r="F48" s="1183"/>
      <c r="G48" s="791"/>
      <c r="H48" s="792"/>
      <c r="I48" s="1888" t="s">
        <v>1530</v>
      </c>
      <c r="J48" s="1889" t="s">
        <v>3275</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202</v>
      </c>
      <c r="R49" s="1887" t="s">
        <v>1529</v>
      </c>
    </row>
    <row r="50" spans="1:18" s="1843" customFormat="1" ht="13.5" thickBot="1">
      <c r="A50" s="1197"/>
      <c r="B50" s="1200"/>
      <c r="C50" s="1370"/>
      <c r="D50" s="1174"/>
      <c r="E50" s="1279" t="s">
        <v>1406</v>
      </c>
      <c r="F50" s="1280">
        <f ca="1">F7</f>
        <v>584.81999999999971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142</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57" t="s">
        <v>1548</v>
      </c>
      <c r="L53" s="3258"/>
      <c r="O53" s="1885" t="s">
        <v>1046</v>
      </c>
      <c r="P53" s="1886" t="s">
        <v>1549</v>
      </c>
      <c r="Q53" s="1887">
        <f ca="1">Q47+Q48</f>
        <v>461</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202</v>
      </c>
      <c r="D56" s="1915"/>
      <c r="E56" s="1916"/>
      <c r="F56" s="1908"/>
      <c r="I56" s="1917" t="s">
        <v>1554</v>
      </c>
      <c r="J56" s="3344" t="s">
        <v>3060</v>
      </c>
      <c r="K56" s="1888" t="s">
        <v>1555</v>
      </c>
      <c r="L56" s="1891" t="str">
        <f ca="1">IF(L48&lt;J51,"——",L48-J53)</f>
        <v>——</v>
      </c>
      <c r="O56" s="1885" t="s">
        <v>1040</v>
      </c>
      <c r="P56" s="1886" t="s">
        <v>1528</v>
      </c>
      <c r="Q56" s="1887">
        <f ca="1">C40+J29</f>
        <v>461</v>
      </c>
      <c r="R56" s="1887" t="s">
        <v>1529</v>
      </c>
    </row>
    <row r="57" spans="1:18" s="1843" customFormat="1" ht="24.75" thickBot="1">
      <c r="A57" s="1919"/>
      <c r="B57" s="1171" t="s">
        <v>1478</v>
      </c>
      <c r="C57" s="282">
        <f ca="1">C29</f>
        <v>202</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20</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17</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16.97</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7.0000000000000007E-2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461</v>
      </c>
      <c r="R62" s="1887" t="s">
        <v>1047</v>
      </c>
    </row>
    <row r="63" spans="1:18" s="1843" customFormat="1" ht="13.5" thickBot="1">
      <c r="A63" s="372"/>
      <c r="B63" s="1177"/>
      <c r="C63" s="29"/>
      <c r="D63" s="1187"/>
      <c r="E63" s="1171" t="s">
        <v>1499</v>
      </c>
      <c r="F63" s="348">
        <f t="shared" ca="1" si="0"/>
        <v>444.17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3</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0.3</v>
      </c>
      <c r="D65" s="1185" t="s">
        <v>1454</v>
      </c>
      <c r="E65" s="1171" t="s">
        <v>1455</v>
      </c>
      <c r="F65" s="376">
        <f t="shared" ca="1" si="0"/>
        <v>1.5E-3</v>
      </c>
      <c r="I65" s="1930" t="s">
        <v>1579</v>
      </c>
      <c r="J65" s="1931">
        <v>40</v>
      </c>
      <c r="K65" s="1931">
        <v>30</v>
      </c>
      <c r="L65" s="1931">
        <v>50</v>
      </c>
      <c r="M65" s="1933">
        <v>0.02</v>
      </c>
      <c r="O65" s="1885" t="s">
        <v>1040</v>
      </c>
      <c r="P65" s="1886" t="s">
        <v>1580</v>
      </c>
      <c r="Q65" s="1887">
        <f ca="1">C40+J29</f>
        <v>461</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-20</v>
      </c>
      <c r="D67" s="1184" t="s">
        <v>1464</v>
      </c>
      <c r="E67" s="1189"/>
      <c r="F67" s="1190"/>
      <c r="O67" s="1895" t="s">
        <v>1042</v>
      </c>
      <c r="P67" s="1886" t="s">
        <v>1562</v>
      </c>
      <c r="Q67" s="1934">
        <f ca="1">L51</f>
        <v>142</v>
      </c>
      <c r="R67" s="1887" t="s">
        <v>1582</v>
      </c>
    </row>
    <row r="68" spans="1:18" s="1843" customFormat="1" ht="16.5" thickBot="1">
      <c r="A68" s="1168" t="s">
        <v>1032</v>
      </c>
      <c r="B68" s="1169" t="s">
        <v>1485</v>
      </c>
      <c r="C68" s="346">
        <f ca="1">ROUND(C67*(1-((1+F70)/(1+F68))^F69)/(F68-F70),0)</f>
        <v>-384</v>
      </c>
      <c r="D68" s="1186" t="s">
        <v>1469</v>
      </c>
      <c r="E68" s="1171" t="s">
        <v>1470</v>
      </c>
      <c r="F68" s="357">
        <f ca="1">F40</f>
        <v>4.4999999999999998E-2</v>
      </c>
      <c r="O68" s="1895" t="s">
        <v>1043</v>
      </c>
      <c r="P68" s="1935" t="s">
        <v>1583</v>
      </c>
      <c r="Q68" s="1887">
        <f ca="1">ROUND(Q69-Q70*Q71,0)</f>
        <v>7</v>
      </c>
      <c r="R68" s="1887" t="s">
        <v>1051</v>
      </c>
    </row>
    <row r="69" spans="1:18" s="1843" customFormat="1" ht="13.5" thickBot="1">
      <c r="A69" s="1172"/>
      <c r="B69" s="1173"/>
      <c r="C69" s="351"/>
      <c r="D69" s="1191" t="s">
        <v>1473</v>
      </c>
      <c r="E69" s="1171" t="s">
        <v>1474</v>
      </c>
      <c r="F69" s="379">
        <f ca="1">F41</f>
        <v>45.35</v>
      </c>
      <c r="O69" s="1895" t="s">
        <v>1048</v>
      </c>
      <c r="P69" s="1935" t="s">
        <v>1584</v>
      </c>
      <c r="Q69" s="1887">
        <f ca="1">C39</f>
        <v>24</v>
      </c>
      <c r="R69" s="1887" t="s">
        <v>1529</v>
      </c>
    </row>
    <row r="70" spans="1:18" s="1843" customFormat="1" ht="13.5" thickBot="1">
      <c r="A70" s="1175"/>
      <c r="B70" s="1176"/>
      <c r="C70" s="355"/>
      <c r="D70" s="1187"/>
      <c r="E70" s="1171" t="s">
        <v>1477</v>
      </c>
      <c r="F70" s="1277"/>
      <c r="O70" s="1895" t="s">
        <v>1049</v>
      </c>
      <c r="P70" s="1935" t="s">
        <v>1585</v>
      </c>
      <c r="Q70" s="1887">
        <f ca="1">C13</f>
        <v>202</v>
      </c>
      <c r="R70" s="1887" t="s">
        <v>1529</v>
      </c>
    </row>
    <row r="71" spans="1:18" s="1843" customFormat="1" ht="13.5" thickBot="1">
      <c r="A71" s="1192" t="s">
        <v>1033</v>
      </c>
      <c r="B71" s="1193" t="s">
        <v>1487</v>
      </c>
      <c r="C71" s="382">
        <f ca="1">ROUND(C68*10000/F71,0)</f>
        <v>-6566</v>
      </c>
      <c r="D71" s="1194" t="s">
        <v>1488</v>
      </c>
      <c r="E71" s="1195" t="s">
        <v>1489</v>
      </c>
      <c r="F71" s="385">
        <f ca="1">F43</f>
        <v>584.81999999999971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17</v>
      </c>
      <c r="D75" s="1843"/>
      <c r="E75" s="1843"/>
      <c r="F75" s="1843"/>
      <c r="K75" s="1869"/>
      <c r="L75" s="1843"/>
      <c r="O75" s="1885" t="s">
        <v>1046</v>
      </c>
      <c r="P75" s="1886" t="s">
        <v>1549</v>
      </c>
      <c r="Q75" s="1887">
        <f ca="1">Q65+Q66</f>
        <v>461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0.29200000000000004</v>
      </c>
    </row>
    <row r="80" spans="1:18">
      <c r="B80" s="386" t="s">
        <v>1511</v>
      </c>
      <c r="C80" s="318">
        <f ca="1">ROUND(C75/C39,3)</f>
        <v>0.70799999999999996</v>
      </c>
    </row>
    <row r="81" spans="2:3">
      <c r="B81" s="314" t="s">
        <v>1512</v>
      </c>
      <c r="C81" s="282"/>
    </row>
    <row r="82" spans="2:3">
      <c r="B82" s="317" t="s">
        <v>1513</v>
      </c>
      <c r="C82" s="319">
        <f ca="1">1-C83</f>
        <v>0.56200000000000006</v>
      </c>
    </row>
    <row r="83" spans="2:3">
      <c r="B83" s="317" t="s">
        <v>1514</v>
      </c>
      <c r="C83" s="318">
        <f ca="1">ROUND(C13/C40,3)</f>
        <v>0.438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5" sqref="G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3382</v>
      </c>
      <c r="D1" s="1821" t="s">
        <v>70</v>
      </c>
      <c r="E1" s="1822" t="s">
        <v>1387</v>
      </c>
      <c r="F1" s="1285">
        <f ca="1">J53</f>
        <v>45.35</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2369</v>
      </c>
      <c r="C2" s="1846" t="s">
        <v>1516</v>
      </c>
      <c r="D2" s="1846"/>
      <c r="E2" s="1847"/>
      <c r="F2" s="1848"/>
      <c r="G2" s="1849"/>
      <c r="H2" s="1841"/>
      <c r="I2" s="1841"/>
      <c r="J2" s="1841"/>
      <c r="K2" s="1842"/>
      <c r="L2" s="1841"/>
      <c r="M2" s="1841"/>
    </row>
    <row r="3" spans="1:37" ht="18" customHeight="1" thickBot="1">
      <c r="A3" s="1850" t="s">
        <v>1517</v>
      </c>
      <c r="B3" s="1851">
        <f ca="1">IF(ISERROR(B2*10000/F43),0,ROUND(B2*10000/F43,0))</f>
        <v>8605</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181</v>
      </c>
      <c r="D5" s="1823" t="s">
        <v>1402</v>
      </c>
      <c r="E5" s="1295"/>
      <c r="F5" s="1296"/>
      <c r="G5" s="1852"/>
      <c r="H5" s="344">
        <v>1</v>
      </c>
      <c r="I5" s="345" t="s">
        <v>1401</v>
      </c>
      <c r="J5" s="1294">
        <f ca="1">J6+J10+J12</f>
        <v>0</v>
      </c>
      <c r="K5" s="1823" t="s">
        <v>1402</v>
      </c>
      <c r="L5" s="1295"/>
      <c r="M5" s="1296"/>
    </row>
    <row r="6" spans="1:37" ht="18" customHeight="1">
      <c r="A6" s="1293" t="s">
        <v>1035</v>
      </c>
      <c r="B6" s="3254" t="s">
        <v>1403</v>
      </c>
      <c r="C6" s="1298">
        <f ca="1">ROUND(F6*F8*F7*(1-F9)/10000,0)</f>
        <v>181</v>
      </c>
      <c r="D6" s="164" t="s">
        <v>3031</v>
      </c>
      <c r="E6" s="347" t="s">
        <v>1405</v>
      </c>
      <c r="F6" s="348">
        <f ca="1">INDIRECT("'数据-取费表'!u"&amp;$G$1)</f>
        <v>2</v>
      </c>
      <c r="G6" s="1852"/>
      <c r="H6" s="1293" t="s">
        <v>1035</v>
      </c>
      <c r="I6" s="3254" t="s">
        <v>1403</v>
      </c>
      <c r="J6" s="346">
        <f ca="1">ROUND(M6*M8*M7*(1-M9)/10000,0)</f>
        <v>0</v>
      </c>
      <c r="K6" s="164" t="s">
        <v>3030</v>
      </c>
      <c r="L6" s="347" t="s">
        <v>1405</v>
      </c>
      <c r="M6" s="348">
        <f ca="1">INDIRECT("'数据-取费表'!z"&amp;$G$1)</f>
        <v>0</v>
      </c>
    </row>
    <row r="7" spans="1:37" ht="18" customHeight="1">
      <c r="A7" s="1297"/>
      <c r="B7" s="3255"/>
      <c r="C7" s="1299"/>
      <c r="D7" s="352"/>
      <c r="E7" s="3006" t="s">
        <v>1406</v>
      </c>
      <c r="F7" s="348">
        <f ca="1">IF(INDIRECT("'数据-取费表'!ah"&amp;$G$1)="",INDIRECT("'数据-取费表'!k"&amp;$G$1),INDIRECT("'数据-取费表'!ah"&amp;$G$1))</f>
        <v>2752.95</v>
      </c>
      <c r="G7" s="1852"/>
      <c r="H7" s="349"/>
      <c r="I7" s="3255"/>
      <c r="J7" s="351"/>
      <c r="K7" s="352"/>
      <c r="L7" s="347" t="s">
        <v>1406</v>
      </c>
      <c r="M7" s="348">
        <f ca="1">F7</f>
        <v>2752.95</v>
      </c>
    </row>
    <row r="8" spans="1:37" ht="18" customHeight="1">
      <c r="A8" s="349"/>
      <c r="B8" s="3255"/>
      <c r="C8" s="351"/>
      <c r="D8" s="352"/>
      <c r="E8" s="347" t="s">
        <v>1407</v>
      </c>
      <c r="F8" s="348">
        <f ca="1">INDIRECT("'数据-取费表'!ai"&amp;$G$1)</f>
        <v>365</v>
      </c>
      <c r="G8" s="1852"/>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52"/>
      <c r="H9" s="349"/>
      <c r="I9" s="32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t="s">
        <v>3281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912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622</v>
      </c>
      <c r="D14" s="3009" t="s">
        <v>1418</v>
      </c>
      <c r="E14" s="3008"/>
      <c r="F14" s="364"/>
      <c r="G14" s="1852"/>
      <c r="H14" s="1203" t="s">
        <v>1035</v>
      </c>
      <c r="I14" s="347" t="s">
        <v>1419</v>
      </c>
      <c r="J14" s="24">
        <f ca="1">C29</f>
        <v>912</v>
      </c>
      <c r="K14" s="3005"/>
      <c r="L14" s="981"/>
      <c r="M14" s="982"/>
    </row>
    <row r="15" spans="1:37" s="1859" customFormat="1" ht="18" customHeight="1" thickBot="1">
      <c r="A15" s="1203" t="s">
        <v>1036</v>
      </c>
      <c r="B15" s="347" t="s">
        <v>1420</v>
      </c>
      <c r="C15" s="24">
        <f ca="1">ROUND(C14*F15,0)</f>
        <v>25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22</v>
      </c>
      <c r="K16" s="1339" t="s">
        <v>1425</v>
      </c>
      <c r="L16" s="3011"/>
      <c r="M16" s="1296"/>
    </row>
    <row r="17" spans="1:37" s="1859" customFormat="1" ht="18" customHeight="1">
      <c r="A17" s="1203" t="s">
        <v>1390</v>
      </c>
      <c r="B17" s="347" t="s">
        <v>1426</v>
      </c>
      <c r="C17" s="24">
        <f ca="1">ROUND(F17*(F43+INDIRECT("'数据-取费表'!S"&amp;$G$1))/10000,0)</f>
        <v>57</v>
      </c>
      <c r="D17" s="347" t="s">
        <v>1427</v>
      </c>
      <c r="E17" s="347" t="s">
        <v>1428</v>
      </c>
      <c r="F17" s="26">
        <f>'数据-取费表'!B35</f>
        <v>200</v>
      </c>
      <c r="G17" s="1855"/>
      <c r="H17" s="1203" t="s">
        <v>1035</v>
      </c>
      <c r="I17" s="347" t="s">
        <v>1429</v>
      </c>
      <c r="J17" s="24">
        <f ca="1">ROUND(IF(项目基本情况!B11="自然人",J5*M17,J18+J19+J20),1)</f>
        <v>8</v>
      </c>
      <c r="K17" s="3009" t="s">
        <v>1430</v>
      </c>
      <c r="L17" s="301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9</v>
      </c>
      <c r="D18" s="347" t="s">
        <v>1421</v>
      </c>
      <c r="E18" s="347" t="s">
        <v>1422</v>
      </c>
      <c r="F18" s="367">
        <f>'数据-取费表'!B36</f>
        <v>1.4999999999999999E-2</v>
      </c>
      <c r="G18" s="1855"/>
      <c r="H18" s="1203" t="s">
        <v>1034</v>
      </c>
      <c r="I18" s="347" t="s">
        <v>1433</v>
      </c>
      <c r="J18" s="24">
        <f ca="1">ROUND(J5*M18/(1+'数据-取费表'!C42),2)</f>
        <v>0</v>
      </c>
      <c r="K18" s="301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713</v>
      </c>
      <c r="D19" s="140" t="s">
        <v>1436</v>
      </c>
      <c r="E19" s="3004"/>
      <c r="F19" s="26"/>
      <c r="G19" s="1852"/>
      <c r="H19" s="1203" t="s">
        <v>1036</v>
      </c>
      <c r="I19" s="347" t="s">
        <v>1437</v>
      </c>
      <c r="J19" s="24">
        <f ca="1">IF(K19="按租金收入计税",ROUND(J5*M19,2),ROUND(C29*M19*0.7,2))</f>
        <v>7.66</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21</v>
      </c>
      <c r="D20" s="369" t="s">
        <v>1440</v>
      </c>
      <c r="E20" s="347" t="s">
        <v>1422</v>
      </c>
      <c r="F20" s="367">
        <f>'数据-取费表'!B37</f>
        <v>0.03</v>
      </c>
      <c r="G20" s="1855"/>
      <c r="H20" s="1203" t="s">
        <v>1389</v>
      </c>
      <c r="I20" s="164" t="s">
        <v>1441</v>
      </c>
      <c r="J20" s="25">
        <f ca="1">ROUND(M20*M21/10000,2)</f>
        <v>0.31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2090.89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3004"/>
      <c r="F22" s="26"/>
      <c r="G22" s="1852"/>
      <c r="H22" s="1203" t="s">
        <v>1039</v>
      </c>
      <c r="I22" s="347" t="s">
        <v>1449</v>
      </c>
      <c r="J22" s="24">
        <f ca="1">ROUND(J14*M22,1)</f>
        <v>13.7</v>
      </c>
      <c r="K22" s="301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3010"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3004"/>
      <c r="F25" s="26"/>
      <c r="G25" s="1852"/>
      <c r="H25" s="1331" t="s">
        <v>1031</v>
      </c>
      <c r="I25" s="1346" t="s">
        <v>1463</v>
      </c>
      <c r="J25" s="355">
        <f ca="1">J5-J16</f>
        <v>-22</v>
      </c>
      <c r="K25" s="1347" t="s">
        <v>1464</v>
      </c>
      <c r="L25" s="1348"/>
      <c r="M25" s="1349"/>
    </row>
    <row r="26" spans="1:37">
      <c r="A26" s="1203" t="s">
        <v>1034</v>
      </c>
      <c r="B26" s="347" t="s">
        <v>1465</v>
      </c>
      <c r="C26" s="24">
        <f ca="1">ROUND((C19+C20)*F26,0)</f>
        <v>73</v>
      </c>
      <c r="D26" s="369" t="s">
        <v>1466</v>
      </c>
      <c r="E26" s="358" t="s">
        <v>1467</v>
      </c>
      <c r="F26" s="357">
        <f ca="1">INDIRECT("'数据-取费表'!q"&amp;$G$1)</f>
        <v>0.1</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912</v>
      </c>
      <c r="D29" s="1344"/>
      <c r="E29" s="1342"/>
      <c r="F29" s="1345"/>
      <c r="G29" s="1855"/>
      <c r="H29" s="380" t="s">
        <v>1033</v>
      </c>
      <c r="I29" s="381" t="s">
        <v>1479</v>
      </c>
      <c r="J29" s="382">
        <f ca="1">ROUND(J26/(1+F40)^F41,0)</f>
        <v>0</v>
      </c>
      <c r="K29" s="383" t="s">
        <v>1480</v>
      </c>
      <c r="L29" s="384"/>
      <c r="M29" s="385">
        <f ca="1">INDIRECT("'数据-取费表'!k"&amp;$G$1)</f>
        <v>2752.95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48</v>
      </c>
      <c r="D30" s="1339" t="s">
        <v>1425</v>
      </c>
      <c r="E30" s="3011"/>
      <c r="F30" s="1296"/>
      <c r="G30" s="1852"/>
      <c r="H30" s="744"/>
      <c r="I30" s="745"/>
      <c r="J30" s="746"/>
      <c r="K30" s="747"/>
      <c r="L30" s="748"/>
      <c r="M30" s="749"/>
    </row>
    <row r="31" spans="1:37" ht="18" customHeight="1">
      <c r="A31" s="1203" t="s">
        <v>1035</v>
      </c>
      <c r="B31" s="347" t="s">
        <v>1429</v>
      </c>
      <c r="C31" s="24">
        <f ca="1">ROUND(IF(项目基本情况!B11="自然人",C5*F31,C32+C33+C34),1)</f>
        <v>31.5</v>
      </c>
      <c r="D31" s="3009" t="s">
        <v>1430</v>
      </c>
      <c r="E31" s="301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9.48</v>
      </c>
      <c r="D32" s="301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21.72</v>
      </c>
      <c r="D33" s="1829" t="s">
        <v>3274</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0.31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2090.89</v>
      </c>
      <c r="G35" s="1852"/>
      <c r="H35" s="744"/>
      <c r="I35" s="1861"/>
      <c r="J35" s="1862"/>
      <c r="K35" s="1863"/>
      <c r="L35" s="1860"/>
      <c r="M35" s="1860"/>
    </row>
    <row r="36" spans="1:18" ht="18" customHeight="1">
      <c r="A36" s="1354" t="s">
        <v>1039</v>
      </c>
      <c r="B36" s="347" t="s">
        <v>1449</v>
      </c>
      <c r="C36" s="24">
        <f ca="1">ROUND(C29*F36,1)</f>
        <v>13.7</v>
      </c>
      <c r="D36" s="301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1.4</v>
      </c>
      <c r="D37" s="3010"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1.8</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133</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2369</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8605</v>
      </c>
      <c r="D43" s="383" t="s">
        <v>1488</v>
      </c>
      <c r="E43" s="384" t="s">
        <v>1489</v>
      </c>
      <c r="F43" s="385">
        <f ca="1">INDIRECT("'数据-取费表'!k"&amp;$G$1)</f>
        <v>2752.95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-4008</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3260</v>
      </c>
      <c r="K47" s="1883" t="s">
        <v>1527</v>
      </c>
      <c r="L47" s="1884">
        <f ca="1">INDIRECT("'数据-取费表'!d"&amp;$G$1)</f>
        <v>50</v>
      </c>
      <c r="M47" s="1839" t="str">
        <f>IF(ISNUMBER(FIND("住宅",C1)),"住宅","非住宅")</f>
        <v>非住宅</v>
      </c>
      <c r="O47" s="1885" t="s">
        <v>1040</v>
      </c>
      <c r="P47" s="1886" t="s">
        <v>1528</v>
      </c>
      <c r="Q47" s="1887">
        <f ca="1">C40+J29</f>
        <v>2369</v>
      </c>
      <c r="R47" s="1887" t="s">
        <v>1529</v>
      </c>
    </row>
    <row r="48" spans="1:18" s="1843" customFormat="1" ht="28.5" thickBot="1">
      <c r="A48" s="1362" t="s">
        <v>1135</v>
      </c>
      <c r="B48" s="345" t="s">
        <v>1401</v>
      </c>
      <c r="C48" s="3003">
        <f ca="1">C49+C53+C55</f>
        <v>0</v>
      </c>
      <c r="D48" s="1364"/>
      <c r="E48" s="1365"/>
      <c r="F48" s="1183"/>
      <c r="G48" s="791"/>
      <c r="H48" s="792"/>
      <c r="I48" s="1888" t="s">
        <v>1530</v>
      </c>
      <c r="J48" s="1889" t="s">
        <v>3275</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912</v>
      </c>
      <c r="R49" s="1887" t="s">
        <v>1529</v>
      </c>
    </row>
    <row r="50" spans="1:18" s="1843" customFormat="1" ht="13.5" thickBot="1">
      <c r="A50" s="1197"/>
      <c r="B50" s="1200"/>
      <c r="C50" s="1370"/>
      <c r="D50" s="1174"/>
      <c r="E50" s="1279" t="s">
        <v>1406</v>
      </c>
      <c r="F50" s="1280">
        <f ca="1">F7</f>
        <v>2752.95</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1065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57" t="s">
        <v>1548</v>
      </c>
      <c r="L53" s="3258"/>
      <c r="O53" s="1885" t="s">
        <v>1046</v>
      </c>
      <c r="P53" s="1886" t="s">
        <v>1549</v>
      </c>
      <c r="Q53" s="1887">
        <f ca="1">Q47+Q48</f>
        <v>2369</v>
      </c>
      <c r="R53" s="1887" t="s">
        <v>1047</v>
      </c>
    </row>
    <row r="54" spans="1:18" s="1843" customFormat="1" ht="13.5" thickBot="1">
      <c r="A54" s="1408"/>
      <c r="B54" s="1826" t="s">
        <v>1388</v>
      </c>
      <c r="C54" s="1180"/>
      <c r="D54" s="1825"/>
      <c r="E54" s="300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3007"/>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912</v>
      </c>
      <c r="D56" s="1915"/>
      <c r="E56" s="1916"/>
      <c r="F56" s="1908"/>
      <c r="I56" s="1917" t="s">
        <v>1554</v>
      </c>
      <c r="J56" s="3344" t="s">
        <v>3060</v>
      </c>
      <c r="K56" s="1888" t="s">
        <v>1555</v>
      </c>
      <c r="L56" s="1891" t="str">
        <f ca="1">IF(L48&lt;J51,"——",L48-J53)</f>
        <v>——</v>
      </c>
      <c r="O56" s="1885" t="s">
        <v>1040</v>
      </c>
      <c r="P56" s="1886" t="s">
        <v>1528</v>
      </c>
      <c r="Q56" s="1887">
        <f ca="1">C40+J29</f>
        <v>2369</v>
      </c>
      <c r="R56" s="1887" t="s">
        <v>1529</v>
      </c>
    </row>
    <row r="57" spans="1:18" s="1843" customFormat="1" ht="24.75" thickBot="1">
      <c r="A57" s="1919"/>
      <c r="B57" s="1171" t="s">
        <v>1478</v>
      </c>
      <c r="C57" s="282">
        <f ca="1">C29</f>
        <v>912</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92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76.900000000000006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76.61</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0.31</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2369</v>
      </c>
      <c r="R62" s="1887" t="s">
        <v>1047</v>
      </c>
    </row>
    <row r="63" spans="1:18" s="1843" customFormat="1" ht="13.5" thickBot="1">
      <c r="A63" s="372"/>
      <c r="B63" s="1177"/>
      <c r="C63" s="29"/>
      <c r="D63" s="1187"/>
      <c r="E63" s="1171" t="s">
        <v>1447</v>
      </c>
      <c r="F63" s="348">
        <f t="shared" ca="1" si="0"/>
        <v>2090.89</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13.7</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1.4</v>
      </c>
      <c r="D65" s="1185" t="s">
        <v>1454</v>
      </c>
      <c r="E65" s="1171" t="s">
        <v>1422</v>
      </c>
      <c r="F65" s="376">
        <f t="shared" ca="1" si="0"/>
        <v>1.5E-3</v>
      </c>
      <c r="I65" s="1930" t="s">
        <v>1579</v>
      </c>
      <c r="J65" s="1931">
        <v>40</v>
      </c>
      <c r="K65" s="1931">
        <v>30</v>
      </c>
      <c r="L65" s="1931">
        <v>50</v>
      </c>
      <c r="M65" s="1933">
        <v>0.02</v>
      </c>
      <c r="O65" s="1885" t="s">
        <v>1040</v>
      </c>
      <c r="P65" s="1886" t="s">
        <v>1528</v>
      </c>
      <c r="Q65" s="1887">
        <f ca="1">C40+J29</f>
        <v>2369</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-92</v>
      </c>
      <c r="D67" s="1184" t="s">
        <v>1464</v>
      </c>
      <c r="E67" s="1189"/>
      <c r="F67" s="1190"/>
      <c r="O67" s="1895" t="s">
        <v>1042</v>
      </c>
      <c r="P67" s="1886" t="s">
        <v>1562</v>
      </c>
      <c r="Q67" s="1934">
        <f ca="1">L51</f>
        <v>1065</v>
      </c>
      <c r="R67" s="1887" t="s">
        <v>1582</v>
      </c>
    </row>
    <row r="68" spans="1:18" s="1843" customFormat="1" ht="16.5" thickBot="1">
      <c r="A68" s="1168" t="s">
        <v>1032</v>
      </c>
      <c r="B68" s="1169" t="s">
        <v>1485</v>
      </c>
      <c r="C68" s="346">
        <f ca="1">ROUND(C67*(1-((1+F70)/(1+F68))^F69)/(F68-F70),0)</f>
        <v>-1639</v>
      </c>
      <c r="D68" s="1186" t="s">
        <v>1469</v>
      </c>
      <c r="E68" s="1171" t="s">
        <v>1470</v>
      </c>
      <c r="F68" s="357">
        <f ca="1">F40</f>
        <v>0.05</v>
      </c>
      <c r="O68" s="1895" t="s">
        <v>1043</v>
      </c>
      <c r="P68" s="1935" t="s">
        <v>1583</v>
      </c>
      <c r="Q68" s="1887">
        <f ca="1">ROUND(Q69-Q70*Q71,0)</f>
        <v>55</v>
      </c>
      <c r="R68" s="1887" t="s">
        <v>1051</v>
      </c>
    </row>
    <row r="69" spans="1:18" s="1843" customFormat="1" ht="13.5" thickBot="1">
      <c r="A69" s="1172"/>
      <c r="B69" s="1173"/>
      <c r="C69" s="351"/>
      <c r="D69" s="1191" t="s">
        <v>1473</v>
      </c>
      <c r="E69" s="1171" t="s">
        <v>1474</v>
      </c>
      <c r="F69" s="379">
        <f ca="1">F41</f>
        <v>45.35</v>
      </c>
      <c r="O69" s="1895" t="s">
        <v>1048</v>
      </c>
      <c r="P69" s="1935" t="s">
        <v>1584</v>
      </c>
      <c r="Q69" s="1887">
        <f ca="1">C39</f>
        <v>133</v>
      </c>
      <c r="R69" s="1887" t="s">
        <v>1529</v>
      </c>
    </row>
    <row r="70" spans="1:18" s="1843" customFormat="1" ht="13.5" thickBot="1">
      <c r="A70" s="1175"/>
      <c r="B70" s="1176"/>
      <c r="C70" s="355"/>
      <c r="D70" s="1187"/>
      <c r="E70" s="1171" t="s">
        <v>1477</v>
      </c>
      <c r="F70" s="1277"/>
      <c r="O70" s="1895" t="s">
        <v>1049</v>
      </c>
      <c r="P70" s="1935" t="s">
        <v>1585</v>
      </c>
      <c r="Q70" s="1887">
        <f ca="1">C13</f>
        <v>912</v>
      </c>
      <c r="R70" s="1887" t="s">
        <v>1529</v>
      </c>
    </row>
    <row r="71" spans="1:18" s="1843" customFormat="1" ht="13.5" thickBot="1">
      <c r="A71" s="1192" t="s">
        <v>1033</v>
      </c>
      <c r="B71" s="1193" t="s">
        <v>1487</v>
      </c>
      <c r="C71" s="382">
        <f ca="1">ROUND(C68*10000/F71,0)</f>
        <v>-5954</v>
      </c>
      <c r="D71" s="1194" t="s">
        <v>1488</v>
      </c>
      <c r="E71" s="1195" t="s">
        <v>1489</v>
      </c>
      <c r="F71" s="385">
        <f ca="1">F43</f>
        <v>2752.95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78</v>
      </c>
      <c r="D75" s="1843"/>
      <c r="E75" s="1843"/>
      <c r="F75" s="1843"/>
      <c r="K75" s="1869"/>
      <c r="L75" s="1843"/>
      <c r="O75" s="1885" t="s">
        <v>1046</v>
      </c>
      <c r="P75" s="1886" t="s">
        <v>1549</v>
      </c>
      <c r="Q75" s="1887">
        <f ca="1">Q65+Q66</f>
        <v>2369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0.41400000000000003</v>
      </c>
    </row>
    <row r="80" spans="1:18">
      <c r="B80" s="386" t="s">
        <v>1511</v>
      </c>
      <c r="C80" s="318">
        <f ca="1">ROUND(C75/C39,3)</f>
        <v>0.58599999999999997</v>
      </c>
    </row>
    <row r="81" spans="2:3">
      <c r="B81" s="314" t="s">
        <v>1512</v>
      </c>
      <c r="C81" s="282"/>
    </row>
    <row r="82" spans="2:3">
      <c r="B82" s="317" t="s">
        <v>1513</v>
      </c>
      <c r="C82" s="319">
        <f ca="1">1-C83</f>
        <v>0.61499999999999999</v>
      </c>
    </row>
    <row r="83" spans="2:3">
      <c r="B83" s="317" t="s">
        <v>1514</v>
      </c>
      <c r="C83" s="318">
        <f ca="1">ROUND(C13/C40,3)</f>
        <v>0.38500000000000001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8" sqref="D1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2523</v>
      </c>
      <c r="B1" s="2559"/>
      <c r="C1" s="2559"/>
      <c r="D1" s="2559"/>
      <c r="E1" s="2560"/>
    </row>
    <row r="2" spans="1:6" ht="15.75">
      <c r="A2" s="2561" t="s">
        <v>2326</v>
      </c>
      <c r="B2" s="2562">
        <f ca="1">SUMIF(B6:B13,"&lt;&gt;#ref!",B6:B13)</f>
        <v>71007</v>
      </c>
      <c r="C2" s="2563" t="s">
        <v>2516</v>
      </c>
      <c r="D2" s="2564" t="s">
        <v>2517</v>
      </c>
      <c r="E2" s="2565">
        <f>SUM(E6:E13)</f>
        <v>31541.360000000001</v>
      </c>
    </row>
    <row r="3" spans="1:6" ht="15.75">
      <c r="A3" s="2561" t="s">
        <v>1395</v>
      </c>
      <c r="B3" s="2562">
        <f ca="1">ROUND(B2*10000/E2,0)</f>
        <v>22512</v>
      </c>
      <c r="C3" s="2563" t="s">
        <v>2524</v>
      </c>
      <c r="D3" s="2566"/>
      <c r="E3" s="2567"/>
    </row>
    <row r="4" spans="1:6" ht="15.75">
      <c r="A4" s="2568"/>
      <c r="B4" s="2566"/>
      <c r="C4" s="2566"/>
      <c r="D4" s="2566"/>
      <c r="E4" s="2567"/>
    </row>
    <row r="5" spans="1:6" ht="15">
      <c r="A5" s="2569" t="s">
        <v>2518</v>
      </c>
      <c r="B5" s="3259" t="s">
        <v>2519</v>
      </c>
      <c r="C5" s="3259"/>
      <c r="D5" s="2570"/>
      <c r="E5" s="2571" t="s">
        <v>2520</v>
      </c>
      <c r="F5" s="2572" t="s">
        <v>2521</v>
      </c>
    </row>
    <row r="6" spans="1:6">
      <c r="A6" s="2573" t="str">
        <f>'数据-取费表'!AN6</f>
        <v>收益法-办公</v>
      </c>
      <c r="B6" s="2572">
        <f ca="1">IF(F6="是",'数据-取费表'!AO6,0)</f>
        <v>61720</v>
      </c>
      <c r="C6" s="2563" t="s">
        <v>2516</v>
      </c>
      <c r="D6" s="2566"/>
      <c r="E6" s="2574">
        <f>IF(OR(A6=0,F6="否"),0,'数据-取费表'!K6+'数据-取费表'!S6)</f>
        <v>24823.24</v>
      </c>
      <c r="F6" s="2575" t="s">
        <v>2522</v>
      </c>
    </row>
    <row r="7" spans="1:6">
      <c r="A7" s="2573" t="str">
        <f>'数据-取费表'!AN7</f>
        <v>收益法-商业</v>
      </c>
      <c r="B7" s="2572">
        <f ca="1">IF(F7="是",'数据-取费表'!AO7,0)</f>
        <v>6457</v>
      </c>
      <c r="C7" s="2563" t="s">
        <v>2516</v>
      </c>
      <c r="D7" s="2566"/>
      <c r="E7" s="2574">
        <f>IF(OR(A7=0,F7="否"),0,'数据-取费表'!K7+'数据-取费表'!S7)</f>
        <v>3289.88</v>
      </c>
      <c r="F7" s="2575" t="s">
        <v>2522</v>
      </c>
    </row>
    <row r="8" spans="1:6">
      <c r="A8" s="2573" t="str">
        <f>'数据-取费表'!AN8</f>
        <v>收益法-车库</v>
      </c>
      <c r="B8" s="2572">
        <f ca="1">IF(F8="是",'数据-取费表'!AO8,0)</f>
        <v>461</v>
      </c>
      <c r="C8" s="2563" t="s">
        <v>2516</v>
      </c>
      <c r="D8" s="2566"/>
      <c r="E8" s="2574">
        <f>IF(OR(A8=0,F8="否"),0,'数据-取费表'!K8+'数据-取费表'!S8)</f>
        <v>600.66999999999973</v>
      </c>
      <c r="F8" s="2575" t="s">
        <v>2522</v>
      </c>
    </row>
    <row r="9" spans="1:6">
      <c r="A9" s="2573" t="str">
        <f>'数据-取费表'!AN9</f>
        <v>收益法-仓储</v>
      </c>
      <c r="B9" s="2572">
        <f ca="1">IF(F9="是",'数据-取费表'!AO9,0)</f>
        <v>2369</v>
      </c>
      <c r="C9" s="2563" t="s">
        <v>2516</v>
      </c>
      <c r="D9" s="2566"/>
      <c r="E9" s="2574">
        <f>IF(OR(A9=0,F9="否"),0,'数据-取费表'!K9+'数据-取费表'!S9)</f>
        <v>2827.5699999999997</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23323.78平方米，建筑面积为31541.36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23323.78平方米，规划建筑面积为31541.36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1076</v>
      </c>
      <c r="B1" s="3261"/>
      <c r="C1" s="3262"/>
      <c r="D1" s="3263">
        <f>SUM(I10,I15,I20,I21,I23)</f>
        <v>0</v>
      </c>
      <c r="E1" s="3263"/>
      <c r="F1" s="3263"/>
      <c r="G1" s="3263"/>
      <c r="H1" s="3263"/>
      <c r="I1" s="3264"/>
    </row>
    <row r="2" spans="1:9">
      <c r="A2" s="3265" t="s">
        <v>1077</v>
      </c>
      <c r="B2" s="3266" t="s">
        <v>1078</v>
      </c>
      <c r="C2" s="3266"/>
      <c r="D2" s="1303" t="s">
        <v>1079</v>
      </c>
      <c r="E2" s="1303" t="s">
        <v>1080</v>
      </c>
      <c r="F2" s="1303" t="s">
        <v>1081</v>
      </c>
      <c r="G2" s="1303" t="s">
        <v>1082</v>
      </c>
      <c r="H2" s="1303" t="s">
        <v>1083</v>
      </c>
      <c r="I2" s="1304" t="s">
        <v>1084</v>
      </c>
    </row>
    <row r="3" spans="1:9">
      <c r="A3" s="3265"/>
      <c r="B3" s="3266" t="s">
        <v>1085</v>
      </c>
      <c r="C3" s="3266"/>
      <c r="D3" s="1305"/>
      <c r="E3" s="1303"/>
      <c r="F3" s="1306"/>
      <c r="G3" s="1306"/>
      <c r="H3" s="1307"/>
      <c r="I3" s="1308">
        <f>ROUND(D3*E3*F3*G3*H3/10000,0)</f>
        <v>0</v>
      </c>
    </row>
    <row r="4" spans="1:9">
      <c r="A4" s="3265"/>
      <c r="B4" s="3266" t="s">
        <v>1086</v>
      </c>
      <c r="C4" s="3266"/>
      <c r="D4" s="1305"/>
      <c r="E4" s="1303"/>
      <c r="F4" s="1306"/>
      <c r="G4" s="1306"/>
      <c r="H4" s="1307"/>
      <c r="I4" s="1308">
        <f t="shared" ref="I4:I9" si="0">ROUND(D4*E4*F4*G4*H4/10000,0)</f>
        <v>0</v>
      </c>
    </row>
    <row r="5" spans="1:9">
      <c r="A5" s="3265"/>
      <c r="B5" s="3266" t="s">
        <v>1087</v>
      </c>
      <c r="C5" s="3266"/>
      <c r="D5" s="1305"/>
      <c r="E5" s="1303"/>
      <c r="F5" s="1306"/>
      <c r="G5" s="1306"/>
      <c r="H5" s="1307"/>
      <c r="I5" s="1308">
        <f t="shared" si="0"/>
        <v>0</v>
      </c>
    </row>
    <row r="6" spans="1:9">
      <c r="A6" s="3265"/>
      <c r="B6" s="3266" t="s">
        <v>1088</v>
      </c>
      <c r="C6" s="3266"/>
      <c r="D6" s="1305"/>
      <c r="E6" s="1303"/>
      <c r="F6" s="1306"/>
      <c r="G6" s="1306"/>
      <c r="H6" s="1307"/>
      <c r="I6" s="1308">
        <f t="shared" si="0"/>
        <v>0</v>
      </c>
    </row>
    <row r="7" spans="1:9">
      <c r="A7" s="3265"/>
      <c r="B7" s="3266" t="s">
        <v>1089</v>
      </c>
      <c r="C7" s="3266"/>
      <c r="D7" s="1305"/>
      <c r="E7" s="1303"/>
      <c r="F7" s="1306"/>
      <c r="G7" s="1306"/>
      <c r="H7" s="1307"/>
      <c r="I7" s="1308">
        <f t="shared" si="0"/>
        <v>0</v>
      </c>
    </row>
    <row r="8" spans="1:9">
      <c r="A8" s="3265"/>
      <c r="B8" s="3266" t="s">
        <v>1090</v>
      </c>
      <c r="C8" s="3266"/>
      <c r="D8" s="1305"/>
      <c r="E8" s="1303"/>
      <c r="F8" s="1306"/>
      <c r="G8" s="1306"/>
      <c r="H8" s="1307"/>
      <c r="I8" s="1308">
        <f t="shared" si="0"/>
        <v>0</v>
      </c>
    </row>
    <row r="9" spans="1:9">
      <c r="A9" s="3265"/>
      <c r="B9" s="3266" t="s">
        <v>1091</v>
      </c>
      <c r="C9" s="3266"/>
      <c r="D9" s="1305"/>
      <c r="E9" s="1303"/>
      <c r="F9" s="1306"/>
      <c r="G9" s="1306"/>
      <c r="H9" s="1307"/>
      <c r="I9" s="1308">
        <f t="shared" si="0"/>
        <v>0</v>
      </c>
    </row>
    <row r="10" spans="1:9">
      <c r="A10" s="3265"/>
      <c r="B10" s="3267" t="s">
        <v>1092</v>
      </c>
      <c r="C10" s="3267"/>
      <c r="D10" s="1309"/>
      <c r="E10" s="1309" t="e">
        <f>ROUND(D1*10000/D10/H9,0)</f>
        <v>#DIV/0!</v>
      </c>
      <c r="F10" s="1310"/>
      <c r="G10" s="1310"/>
      <c r="H10" s="1311"/>
      <c r="I10" s="1312">
        <f>SUM(I3:I9)</f>
        <v>0</v>
      </c>
    </row>
    <row r="11" spans="1:9" ht="14.25">
      <c r="A11" s="3265" t="s">
        <v>1093</v>
      </c>
      <c r="B11" s="3266" t="s">
        <v>1094</v>
      </c>
      <c r="C11" s="3266"/>
      <c r="D11" s="1305" t="s">
        <v>1095</v>
      </c>
      <c r="E11" s="1305" t="s">
        <v>1096</v>
      </c>
      <c r="F11" s="1306" t="s">
        <v>1097</v>
      </c>
      <c r="G11" s="1306" t="s">
        <v>1083</v>
      </c>
      <c r="H11" s="1313" t="s">
        <v>1098</v>
      </c>
      <c r="I11" s="1304" t="s">
        <v>1084</v>
      </c>
    </row>
    <row r="12" spans="1:9">
      <c r="A12" s="3265"/>
      <c r="B12" s="3266" t="s">
        <v>1099</v>
      </c>
      <c r="C12" s="3266"/>
      <c r="D12" s="1305"/>
      <c r="E12" s="1305"/>
      <c r="F12" s="1306"/>
      <c r="G12" s="1307"/>
      <c r="H12" s="1314"/>
      <c r="I12" s="1304">
        <f>ROUND(D12*E12*F12*G12/10000,0)</f>
        <v>0</v>
      </c>
    </row>
    <row r="13" spans="1:9">
      <c r="A13" s="3265"/>
      <c r="B13" s="3266" t="s">
        <v>1100</v>
      </c>
      <c r="C13" s="3266"/>
      <c r="D13" s="1305"/>
      <c r="E13" s="1305"/>
      <c r="F13" s="1306"/>
      <c r="G13" s="1307"/>
      <c r="H13" s="1314"/>
      <c r="I13" s="1304">
        <f>ROUND(D13*E13*F13*G13/10000,0)</f>
        <v>0</v>
      </c>
    </row>
    <row r="14" spans="1:9">
      <c r="A14" s="3265"/>
      <c r="B14" s="3266" t="s">
        <v>1101</v>
      </c>
      <c r="C14" s="3266"/>
      <c r="D14" s="1305"/>
      <c r="E14" s="1305"/>
      <c r="F14" s="1306"/>
      <c r="G14" s="1307"/>
      <c r="H14" s="1314"/>
      <c r="I14" s="1304">
        <f>ROUND(D14*E14*F14*G14/10000,0)</f>
        <v>0</v>
      </c>
    </row>
    <row r="15" spans="1:9">
      <c r="A15" s="3265"/>
      <c r="B15" s="3267" t="s">
        <v>1092</v>
      </c>
      <c r="C15" s="3267"/>
      <c r="D15" s="1309"/>
      <c r="E15" s="1309">
        <f>SUM(E12:E14)</f>
        <v>0</v>
      </c>
      <c r="F15" s="1310"/>
      <c r="G15" s="1307"/>
      <c r="H15" s="1314"/>
      <c r="I15" s="1315">
        <f>SUM(I12:I14)</f>
        <v>0</v>
      </c>
    </row>
    <row r="16" spans="1:9" ht="24">
      <c r="A16" s="3265" t="s">
        <v>1102</v>
      </c>
      <c r="B16" s="3266" t="s">
        <v>1103</v>
      </c>
      <c r="C16" s="3266"/>
      <c r="D16" s="1305" t="s">
        <v>1079</v>
      </c>
      <c r="E16" s="1316" t="s">
        <v>1104</v>
      </c>
      <c r="F16" s="1306" t="s">
        <v>1105</v>
      </c>
      <c r="G16" s="1307" t="s">
        <v>1083</v>
      </c>
      <c r="H16" s="1313" t="s">
        <v>1098</v>
      </c>
      <c r="I16" s="1304" t="s">
        <v>1084</v>
      </c>
    </row>
    <row r="17" spans="1:9" ht="14.25">
      <c r="A17" s="3265"/>
      <c r="B17" s="3266" t="s">
        <v>1106</v>
      </c>
      <c r="C17" s="3266"/>
      <c r="D17" s="1305"/>
      <c r="E17" s="1305"/>
      <c r="F17" s="1306"/>
      <c r="G17" s="1307"/>
      <c r="H17" s="1317"/>
      <c r="I17" s="1318">
        <f>ROUND(D17*E17*F17*G17/10000,0)</f>
        <v>0</v>
      </c>
    </row>
    <row r="18" spans="1:9" ht="14.25">
      <c r="A18" s="3265"/>
      <c r="B18" s="3266" t="s">
        <v>1107</v>
      </c>
      <c r="C18" s="3266"/>
      <c r="D18" s="1305"/>
      <c r="E18" s="1305"/>
      <c r="F18" s="1306"/>
      <c r="G18" s="1307"/>
      <c r="H18" s="1317"/>
      <c r="I18" s="1318">
        <f>ROUND(D18*E18*F18*G18/10000,0)</f>
        <v>0</v>
      </c>
    </row>
    <row r="19" spans="1:9" ht="14.25">
      <c r="A19" s="3265"/>
      <c r="B19" s="3266" t="s">
        <v>1108</v>
      </c>
      <c r="C19" s="3266"/>
      <c r="D19" s="1305"/>
      <c r="E19" s="1305"/>
      <c r="F19" s="1306"/>
      <c r="G19" s="1307"/>
      <c r="H19" s="1317"/>
      <c r="I19" s="1318">
        <f>ROUND(D19*E19*F19*G19/10000,0)</f>
        <v>0</v>
      </c>
    </row>
    <row r="20" spans="1:9">
      <c r="A20" s="3265"/>
      <c r="B20" s="3267" t="s">
        <v>1092</v>
      </c>
      <c r="C20" s="3267"/>
      <c r="D20" s="1309">
        <f>SUM(D17:D19)</f>
        <v>0</v>
      </c>
      <c r="E20" s="1309"/>
      <c r="F20" s="1310"/>
      <c r="G20" s="1307"/>
      <c r="H20" s="1314"/>
      <c r="I20" s="1315">
        <f>SUM(I17:I19)</f>
        <v>0</v>
      </c>
    </row>
    <row r="21" spans="1:9">
      <c r="A21" s="3265" t="s">
        <v>1109</v>
      </c>
      <c r="B21" s="3269"/>
      <c r="C21" s="3269"/>
      <c r="D21" s="3269"/>
      <c r="E21" s="3269"/>
      <c r="F21" s="3269"/>
      <c r="G21" s="3269"/>
      <c r="H21" s="1766">
        <v>0.1</v>
      </c>
      <c r="I21" s="1312">
        <f>ROUND(I10*H21,0)</f>
        <v>0</v>
      </c>
    </row>
    <row r="22" spans="1:9" ht="14.25">
      <c r="A22" s="3270" t="s">
        <v>1110</v>
      </c>
      <c r="B22" s="3271"/>
      <c r="C22" s="3272"/>
      <c r="D22" s="1319" t="s">
        <v>1111</v>
      </c>
      <c r="E22" s="1319" t="s">
        <v>1112</v>
      </c>
      <c r="F22" s="1320" t="s">
        <v>1113</v>
      </c>
      <c r="G22" s="1320" t="s">
        <v>1114</v>
      </c>
      <c r="H22" s="1313" t="s">
        <v>1115</v>
      </c>
      <c r="I22" s="1304" t="s">
        <v>1116</v>
      </c>
    </row>
    <row r="23" spans="1:9" ht="14.25" thickBot="1">
      <c r="A23" s="3273"/>
      <c r="B23" s="3274"/>
      <c r="C23" s="3275"/>
      <c r="D23" s="1321"/>
      <c r="E23" s="1321"/>
      <c r="F23" s="1321"/>
      <c r="G23" s="1322"/>
      <c r="H23" s="1323"/>
      <c r="I23" s="1324">
        <f>ROUND(E23*D23*F23*(1-G23)/10000,0)</f>
        <v>0</v>
      </c>
    </row>
    <row r="26" spans="1:9">
      <c r="A26" s="1325" t="s">
        <v>1117</v>
      </c>
      <c r="B26" s="1325"/>
      <c r="C26" s="1325"/>
      <c r="D26" s="1325"/>
      <c r="E26" s="3276">
        <f>C27-C30-C31-C32</f>
        <v>0</v>
      </c>
      <c r="F26" s="3276"/>
      <c r="G26" s="3276"/>
      <c r="H26" s="1738" t="s">
        <v>1340</v>
      </c>
    </row>
    <row r="27" spans="1:9">
      <c r="A27" s="1326">
        <v>1</v>
      </c>
      <c r="B27" s="1327" t="s">
        <v>1118</v>
      </c>
      <c r="C27" s="1327">
        <f>C28+C29</f>
        <v>0</v>
      </c>
      <c r="D27" s="1327"/>
      <c r="E27" s="3277"/>
      <c r="F27" s="3277"/>
      <c r="G27" s="3277"/>
    </row>
    <row r="28" spans="1:9">
      <c r="A28" s="1328" t="s">
        <v>1119</v>
      </c>
      <c r="B28" s="1327" t="s">
        <v>1120</v>
      </c>
      <c r="C28" s="1327"/>
      <c r="D28" s="1327"/>
      <c r="E28" s="3277"/>
      <c r="F28" s="3277"/>
      <c r="G28" s="327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8"/>
      <c r="F32" s="3268"/>
      <c r="G32" s="3268"/>
    </row>
    <row r="33" spans="1:7" hidden="1">
      <c r="A33" s="3278" t="s">
        <v>1129</v>
      </c>
      <c r="B33" s="3279"/>
      <c r="C33" s="3279"/>
      <c r="D33" s="3280"/>
      <c r="E33" s="3276"/>
      <c r="F33" s="3276"/>
      <c r="G33" s="3276"/>
    </row>
    <row r="34" spans="1:7" hidden="1">
      <c r="A34" s="1330">
        <v>1</v>
      </c>
      <c r="B34" s="1327" t="s">
        <v>1130</v>
      </c>
      <c r="C34" s="1327"/>
      <c r="D34" s="1327"/>
      <c r="E34" s="3277"/>
      <c r="F34" s="3277"/>
      <c r="G34" s="3277"/>
    </row>
    <row r="35" spans="1:7" hidden="1">
      <c r="A35" s="1330">
        <v>2</v>
      </c>
      <c r="B35" s="1327" t="s">
        <v>1131</v>
      </c>
      <c r="C35" s="1327"/>
      <c r="D35" s="1327"/>
      <c r="E35" s="3277"/>
      <c r="F35" s="3277"/>
      <c r="G35" s="3277"/>
    </row>
    <row r="36" spans="1:7" hidden="1">
      <c r="A36" s="1330">
        <v>3</v>
      </c>
      <c r="B36" s="1327" t="s">
        <v>1132</v>
      </c>
      <c r="C36" s="1327"/>
      <c r="D36" s="1327"/>
      <c r="E36" s="3277"/>
      <c r="F36" s="3277"/>
      <c r="G36" s="3277"/>
    </row>
    <row r="37" spans="1:7" hidden="1">
      <c r="A37" s="1330">
        <v>4</v>
      </c>
      <c r="B37" s="1327" t="s">
        <v>1133</v>
      </c>
      <c r="C37" s="1327"/>
      <c r="D37" s="1327"/>
      <c r="E37" s="3277"/>
      <c r="F37" s="3277"/>
      <c r="G37" s="3277"/>
    </row>
    <row r="38" spans="1:7" hidden="1">
      <c r="A38" s="3278" t="s">
        <v>1134</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2639</v>
      </c>
      <c r="C1" s="1635" t="s">
        <v>2527</v>
      </c>
      <c r="D1" s="1622"/>
      <c r="E1" s="2654"/>
      <c r="F1" s="2581"/>
      <c r="G1" s="1632" t="s">
        <v>2640</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2326</v>
      </c>
      <c r="B2" s="1420" t="e">
        <f ca="1">IF(C2="——",ROUND(C49*D3/10000,0),ROUND(C49*D3/10000,0)-D2)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2328</v>
      </c>
      <c r="B3" s="609" t="e">
        <f ca="1">IF(C2="——",C49,ROUND(B2*10000/D3,0))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2642</v>
      </c>
      <c r="B4" s="402"/>
      <c r="C4" s="3219" t="s">
        <v>2643</v>
      </c>
      <c r="D4" s="3220"/>
      <c r="E4" s="3221" t="s">
        <v>2644</v>
      </c>
      <c r="F4" s="3222"/>
      <c r="G4" s="3219" t="s">
        <v>2645</v>
      </c>
      <c r="H4" s="3220"/>
      <c r="I4" s="3219" t="s">
        <v>2646</v>
      </c>
      <c r="J4" s="3220"/>
      <c r="K4" s="610" t="s">
        <v>2647</v>
      </c>
      <c r="L4" s="1132"/>
      <c r="M4" s="1133"/>
      <c r="N4" s="1133"/>
      <c r="O4" s="1133"/>
      <c r="P4" s="3223" t="s">
        <v>2648</v>
      </c>
      <c r="Q4" s="3224"/>
      <c r="R4" s="3206" t="s">
        <v>2644</v>
      </c>
      <c r="S4" s="3207"/>
      <c r="T4" s="3206" t="s">
        <v>2645</v>
      </c>
      <c r="U4" s="3207"/>
      <c r="V4" s="3231" t="s">
        <v>2646</v>
      </c>
      <c r="W4" s="3231"/>
      <c r="X4" s="1814"/>
      <c r="Y4" s="3206" t="s">
        <v>2648</v>
      </c>
      <c r="Z4" s="3207"/>
      <c r="AA4" s="3201" t="s">
        <v>2644</v>
      </c>
      <c r="AB4" s="3231" t="s">
        <v>2645</v>
      </c>
      <c r="AC4" s="3201" t="s">
        <v>2646</v>
      </c>
    </row>
    <row r="5" spans="1:29" ht="15">
      <c r="A5" s="404"/>
      <c r="B5" s="405"/>
      <c r="C5" s="3212" t="s">
        <v>2539</v>
      </c>
      <c r="D5" s="3213"/>
      <c r="E5" s="3210" t="s">
        <v>2540</v>
      </c>
      <c r="F5" s="3211"/>
      <c r="G5" s="3212" t="s">
        <v>2541</v>
      </c>
      <c r="H5" s="3213"/>
      <c r="I5" s="3212" t="s">
        <v>2542</v>
      </c>
      <c r="J5" s="3213"/>
      <c r="K5" s="610"/>
      <c r="L5" s="1132"/>
      <c r="M5" s="1133"/>
      <c r="N5" s="1133"/>
      <c r="O5" s="1133"/>
      <c r="P5" s="3225"/>
      <c r="Q5" s="3226"/>
      <c r="R5" s="3208"/>
      <c r="S5" s="3209"/>
      <c r="T5" s="3208"/>
      <c r="U5" s="3209"/>
      <c r="V5" s="3231"/>
      <c r="W5" s="3231"/>
      <c r="X5" s="1814"/>
      <c r="Y5" s="3208"/>
      <c r="Z5" s="3209"/>
      <c r="AA5" s="3202"/>
      <c r="AB5" s="3231"/>
      <c r="AC5" s="3202"/>
    </row>
    <row r="6" spans="1:29" ht="15.75" thickBot="1">
      <c r="A6" s="406"/>
      <c r="B6" s="407"/>
      <c r="C6" s="3214" t="s">
        <v>2543</v>
      </c>
      <c r="D6" s="3215"/>
      <c r="E6" s="3216" t="s">
        <v>2543</v>
      </c>
      <c r="F6" s="3217"/>
      <c r="G6" s="3214" t="s">
        <v>2543</v>
      </c>
      <c r="H6" s="3215"/>
      <c r="I6" s="3214" t="s">
        <v>2543</v>
      </c>
      <c r="J6" s="3215"/>
      <c r="K6" s="610" t="s">
        <v>2544</v>
      </c>
      <c r="L6" s="1132"/>
      <c r="M6" s="1133"/>
      <c r="N6" s="1133"/>
      <c r="O6" s="1133"/>
      <c r="P6" s="3227"/>
      <c r="Q6" s="3228"/>
      <c r="R6" s="3208"/>
      <c r="S6" s="3209"/>
      <c r="T6" s="3229"/>
      <c r="U6" s="3230"/>
      <c r="V6" s="3231"/>
      <c r="W6" s="3231"/>
      <c r="X6" s="1814"/>
      <c r="Y6" s="3229"/>
      <c r="Z6" s="3230"/>
      <c r="AA6" s="3203"/>
      <c r="AB6" s="3231"/>
      <c r="AC6" s="3203"/>
    </row>
    <row r="7" spans="1:29" s="117" customFormat="1" ht="15.75" thickBot="1">
      <c r="A7" s="408" t="s">
        <v>2545</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4" t="s">
        <v>2546</v>
      </c>
      <c r="Q7" s="3232"/>
      <c r="R7" s="769" t="s">
        <v>17</v>
      </c>
      <c r="S7" s="770">
        <f t="shared" ref="S7:S15" si="0">F7</f>
        <v>0</v>
      </c>
      <c r="T7" s="769" t="s">
        <v>17</v>
      </c>
      <c r="U7" s="770">
        <f t="shared" ref="U7:U15" si="1">H7</f>
        <v>0</v>
      </c>
      <c r="V7" s="769" t="s">
        <v>17</v>
      </c>
      <c r="W7" s="770">
        <f t="shared" ref="W7:W15" si="2">J7</f>
        <v>0</v>
      </c>
      <c r="X7" s="771"/>
      <c r="Y7" s="3204" t="s">
        <v>2546</v>
      </c>
      <c r="Z7" s="3205"/>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4" t="s">
        <v>2549</v>
      </c>
      <c r="Q8" s="3205"/>
      <c r="R8" s="769" t="s">
        <v>17</v>
      </c>
      <c r="S8" s="770">
        <f t="shared" si="0"/>
        <v>0</v>
      </c>
      <c r="T8" s="769" t="s">
        <v>17</v>
      </c>
      <c r="U8" s="770">
        <f t="shared" si="1"/>
        <v>0</v>
      </c>
      <c r="V8" s="769" t="s">
        <v>17</v>
      </c>
      <c r="W8" s="770">
        <f t="shared" si="2"/>
        <v>0</v>
      </c>
      <c r="X8" s="771"/>
      <c r="Y8" s="3204" t="s">
        <v>2549</v>
      </c>
      <c r="Z8" s="3205"/>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42" t="s">
        <v>2552</v>
      </c>
      <c r="Q9" s="1796"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42"/>
      <c r="Q10" s="1796"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42"/>
      <c r="Q11" s="1796" t="str">
        <f t="shared" si="6"/>
        <v>容积率</v>
      </c>
      <c r="R11" s="769" t="s">
        <v>17</v>
      </c>
      <c r="S11" s="770">
        <f t="shared" si="0"/>
        <v>100</v>
      </c>
      <c r="T11" s="769" t="s">
        <v>17</v>
      </c>
      <c r="U11" s="770">
        <f t="shared" si="1"/>
        <v>100</v>
      </c>
      <c r="V11" s="769" t="s">
        <v>17</v>
      </c>
      <c r="W11" s="770">
        <f t="shared" si="2"/>
        <v>100</v>
      </c>
      <c r="X11" s="771"/>
      <c r="Y11" s="3078"/>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2"/>
      <c r="Q12" s="1796">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2"/>
      <c r="Q13" s="1796">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2"/>
      <c r="Q14" s="1796">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85.5">
      <c r="A15" s="440" t="s">
        <v>2556</v>
      </c>
      <c r="B15" s="69" t="s">
        <v>2650</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52" t="s">
        <v>2557</v>
      </c>
      <c r="Q15" s="1811" t="str">
        <f t="shared" si="6"/>
        <v>商业繁华度</v>
      </c>
      <c r="R15" s="773" t="s">
        <v>17</v>
      </c>
      <c r="S15" s="774">
        <f t="shared" si="0"/>
        <v>100</v>
      </c>
      <c r="T15" s="773" t="s">
        <v>17</v>
      </c>
      <c r="U15" s="774">
        <f t="shared" si="1"/>
        <v>100</v>
      </c>
      <c r="V15" s="773" t="s">
        <v>17</v>
      </c>
      <c r="W15" s="774">
        <f t="shared" si="2"/>
        <v>100</v>
      </c>
      <c r="X15" s="1814"/>
      <c r="Y15" s="3233"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53"/>
      <c r="Q16" s="1811"/>
      <c r="R16" s="773"/>
      <c r="S16" s="774"/>
      <c r="T16" s="773"/>
      <c r="U16" s="774"/>
      <c r="V16" s="773"/>
      <c r="W16" s="774"/>
      <c r="X16" s="1814"/>
      <c r="Y16" s="3234"/>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3"/>
      <c r="Q17" s="1811" t="str">
        <f>B17</f>
        <v>交通便捷度</v>
      </c>
      <c r="R17" s="773" t="s">
        <v>17</v>
      </c>
      <c r="S17" s="774">
        <f>F17</f>
        <v>100</v>
      </c>
      <c r="T17" s="773" t="s">
        <v>17</v>
      </c>
      <c r="U17" s="774">
        <f>H17</f>
        <v>100</v>
      </c>
      <c r="V17" s="773" t="s">
        <v>17</v>
      </c>
      <c r="W17" s="774">
        <f>J17</f>
        <v>100</v>
      </c>
      <c r="X17" s="1814"/>
      <c r="Y17" s="3234"/>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53"/>
      <c r="Q18" s="1811"/>
      <c r="R18" s="773"/>
      <c r="S18" s="774"/>
      <c r="T18" s="773"/>
      <c r="U18" s="774"/>
      <c r="V18" s="773"/>
      <c r="W18" s="774"/>
      <c r="X18" s="1814"/>
      <c r="Y18" s="3234"/>
      <c r="Z18" s="1815"/>
      <c r="AA18" s="1812">
        <v>1</v>
      </c>
      <c r="AB18" s="1812">
        <v>1</v>
      </c>
      <c r="AC18" s="1812">
        <v>1</v>
      </c>
    </row>
    <row r="19" spans="1:29" ht="42.75">
      <c r="A19" s="428"/>
      <c r="B19" s="451" t="s">
        <v>2651</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3"/>
      <c r="Q19" s="1811" t="str">
        <f>B19</f>
        <v>公共配套设施</v>
      </c>
      <c r="R19" s="773" t="s">
        <v>17</v>
      </c>
      <c r="S19" s="774">
        <f>F19</f>
        <v>100</v>
      </c>
      <c r="T19" s="773" t="s">
        <v>17</v>
      </c>
      <c r="U19" s="774">
        <f>H19</f>
        <v>100</v>
      </c>
      <c r="V19" s="773" t="s">
        <v>17</v>
      </c>
      <c r="W19" s="774">
        <f>J19</f>
        <v>100</v>
      </c>
      <c r="X19" s="1814"/>
      <c r="Y19" s="3234"/>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53"/>
      <c r="Q20" s="1811"/>
      <c r="R20" s="773"/>
      <c r="S20" s="774"/>
      <c r="T20" s="773"/>
      <c r="U20" s="774"/>
      <c r="V20" s="773"/>
      <c r="W20" s="774"/>
      <c r="X20" s="1814"/>
      <c r="Y20" s="3234"/>
      <c r="Z20" s="1815"/>
      <c r="AA20" s="1812">
        <v>1</v>
      </c>
      <c r="AB20" s="1812">
        <v>1</v>
      </c>
      <c r="AC20" s="1812">
        <v>1</v>
      </c>
    </row>
    <row r="21" spans="1:29" ht="42.75">
      <c r="A21" s="428"/>
      <c r="B21" s="1386" t="s">
        <v>2652</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3"/>
      <c r="Q21" s="1811" t="str">
        <f>B21</f>
        <v>基础设施水平</v>
      </c>
      <c r="R21" s="773" t="s">
        <v>17</v>
      </c>
      <c r="S21" s="774">
        <f>F21</f>
        <v>100</v>
      </c>
      <c r="T21" s="773" t="s">
        <v>17</v>
      </c>
      <c r="U21" s="774">
        <f>H21</f>
        <v>100</v>
      </c>
      <c r="V21" s="773" t="s">
        <v>17</v>
      </c>
      <c r="W21" s="774">
        <f>J21</f>
        <v>100</v>
      </c>
      <c r="X21" s="1814"/>
      <c r="Y21" s="3234"/>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33"/>
      <c r="P22" s="3253"/>
      <c r="Q22" s="1811"/>
      <c r="R22" s="773"/>
      <c r="S22" s="774"/>
      <c r="T22" s="773"/>
      <c r="U22" s="774"/>
      <c r="V22" s="773"/>
      <c r="W22" s="774"/>
      <c r="X22" s="1814"/>
      <c r="Y22" s="3234"/>
      <c r="Z22" s="1815"/>
      <c r="AA22" s="1812">
        <v>1</v>
      </c>
      <c r="AB22" s="1812">
        <v>1</v>
      </c>
      <c r="AC22" s="1812">
        <v>1</v>
      </c>
    </row>
    <row r="23" spans="1:29" ht="99.75">
      <c r="A23" s="428"/>
      <c r="B23" s="451" t="s">
        <v>2101</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3"/>
      <c r="Q23" s="1811" t="str">
        <f>B23</f>
        <v>自然及人文环境</v>
      </c>
      <c r="R23" s="773" t="s">
        <v>17</v>
      </c>
      <c r="S23" s="774">
        <f>F23</f>
        <v>100</v>
      </c>
      <c r="T23" s="773" t="s">
        <v>17</v>
      </c>
      <c r="U23" s="774">
        <f>H23</f>
        <v>100</v>
      </c>
      <c r="V23" s="773" t="s">
        <v>17</v>
      </c>
      <c r="W23" s="774">
        <f>J23</f>
        <v>100</v>
      </c>
      <c r="X23" s="1814"/>
      <c r="Y23" s="3234"/>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53"/>
      <c r="Q24" s="1811"/>
      <c r="R24" s="773"/>
      <c r="S24" s="774"/>
      <c r="T24" s="773"/>
      <c r="U24" s="774"/>
      <c r="V24" s="773"/>
      <c r="W24" s="774"/>
      <c r="X24" s="1814"/>
      <c r="Y24" s="3234"/>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3"/>
      <c r="Q25" s="1811" t="str">
        <f t="shared" ref="Q25:Q46" si="11">B25</f>
        <v>临街状况</v>
      </c>
      <c r="R25" s="773" t="s">
        <v>17</v>
      </c>
      <c r="S25" s="774">
        <f>F25</f>
        <v>100</v>
      </c>
      <c r="T25" s="773" t="s">
        <v>17</v>
      </c>
      <c r="U25" s="774">
        <f>H25</f>
        <v>100</v>
      </c>
      <c r="V25" s="773" t="s">
        <v>17</v>
      </c>
      <c r="W25" s="774">
        <f>J25</f>
        <v>100</v>
      </c>
      <c r="X25" s="1814"/>
      <c r="Y25" s="3234"/>
      <c r="Z25" s="1815" t="str">
        <f>Q25</f>
        <v>临街状况</v>
      </c>
      <c r="AA25" s="1812">
        <f t="shared" si="3"/>
        <v>1</v>
      </c>
      <c r="AB25" s="1812">
        <f t="shared" si="4"/>
        <v>1</v>
      </c>
      <c r="AC25" s="1812">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3"/>
      <c r="Q26" s="1811" t="str">
        <f t="shared" si="11"/>
        <v>平面位置/可视性</v>
      </c>
      <c r="R26" s="773" t="s">
        <v>17</v>
      </c>
      <c r="S26" s="774">
        <f>F26</f>
        <v>100</v>
      </c>
      <c r="T26" s="773" t="s">
        <v>17</v>
      </c>
      <c r="U26" s="774">
        <f>H26</f>
        <v>100</v>
      </c>
      <c r="V26" s="773" t="s">
        <v>17</v>
      </c>
      <c r="W26" s="774">
        <f>J26</f>
        <v>100</v>
      </c>
      <c r="X26" s="1814"/>
      <c r="Y26" s="3234"/>
      <c r="Z26" s="1815" t="str">
        <f>Q26</f>
        <v>平面位置/可视性</v>
      </c>
      <c r="AA26" s="1812">
        <f t="shared" si="3"/>
        <v>1</v>
      </c>
      <c r="AB26" s="1812">
        <f t="shared" si="4"/>
        <v>1</v>
      </c>
      <c r="AC26" s="1812">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53"/>
      <c r="Q27" s="1796" t="str">
        <f t="shared" si="11"/>
        <v>人流量</v>
      </c>
      <c r="R27" s="769" t="s">
        <v>17</v>
      </c>
      <c r="S27" s="770">
        <f>F27</f>
        <v>100</v>
      </c>
      <c r="T27" s="769" t="s">
        <v>17</v>
      </c>
      <c r="U27" s="770">
        <f>H27</f>
        <v>100</v>
      </c>
      <c r="V27" s="769" t="s">
        <v>17</v>
      </c>
      <c r="W27" s="770">
        <f>J27</f>
        <v>100</v>
      </c>
      <c r="X27" s="771"/>
      <c r="Y27" s="3234"/>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3"/>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34"/>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3"/>
      <c r="Q29" s="1811">
        <f t="shared" si="11"/>
        <v>111</v>
      </c>
      <c r="R29" s="773" t="s">
        <v>17</v>
      </c>
      <c r="S29" s="774">
        <f t="shared" si="12"/>
        <v>100</v>
      </c>
      <c r="T29" s="773" t="s">
        <v>17</v>
      </c>
      <c r="U29" s="774">
        <f t="shared" si="13"/>
        <v>100</v>
      </c>
      <c r="V29" s="773" t="s">
        <v>17</v>
      </c>
      <c r="W29" s="774">
        <f t="shared" si="14"/>
        <v>100</v>
      </c>
      <c r="X29" s="1814"/>
      <c r="Y29" s="3234"/>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3"/>
      <c r="Q30" s="1811">
        <f t="shared" si="11"/>
        <v>111</v>
      </c>
      <c r="R30" s="773" t="s">
        <v>17</v>
      </c>
      <c r="S30" s="774">
        <f t="shared" si="12"/>
        <v>100</v>
      </c>
      <c r="T30" s="773" t="s">
        <v>17</v>
      </c>
      <c r="U30" s="774">
        <f t="shared" si="13"/>
        <v>100</v>
      </c>
      <c r="V30" s="773" t="s">
        <v>17</v>
      </c>
      <c r="W30" s="774">
        <f t="shared" si="14"/>
        <v>100</v>
      </c>
      <c r="X30" s="1814"/>
      <c r="Y30" s="3234"/>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3"/>
      <c r="Q31" s="1811">
        <f t="shared" si="11"/>
        <v>111</v>
      </c>
      <c r="R31" s="773" t="s">
        <v>17</v>
      </c>
      <c r="S31" s="774">
        <f t="shared" si="12"/>
        <v>100</v>
      </c>
      <c r="T31" s="773" t="s">
        <v>17</v>
      </c>
      <c r="U31" s="774">
        <f t="shared" si="13"/>
        <v>100</v>
      </c>
      <c r="V31" s="773" t="s">
        <v>17</v>
      </c>
      <c r="W31" s="774">
        <f t="shared" si="14"/>
        <v>100</v>
      </c>
      <c r="X31" s="1814"/>
      <c r="Y31" s="3234"/>
      <c r="Z31" s="1815">
        <f t="shared" si="15"/>
        <v>111</v>
      </c>
      <c r="AA31" s="1812">
        <f t="shared" si="3"/>
        <v>1</v>
      </c>
      <c r="AB31" s="1812">
        <f t="shared" si="4"/>
        <v>1</v>
      </c>
      <c r="AC31" s="1812">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8" t="s">
        <v>2562</v>
      </c>
      <c r="Q32" s="1811" t="str">
        <f t="shared" si="11"/>
        <v>商业类型</v>
      </c>
      <c r="R32" s="773" t="s">
        <v>17</v>
      </c>
      <c r="S32" s="774">
        <f t="shared" si="12"/>
        <v>100</v>
      </c>
      <c r="T32" s="773" t="s">
        <v>17</v>
      </c>
      <c r="U32" s="774">
        <f t="shared" si="13"/>
        <v>100</v>
      </c>
      <c r="V32" s="773" t="s">
        <v>17</v>
      </c>
      <c r="W32" s="774">
        <f t="shared" si="14"/>
        <v>100</v>
      </c>
      <c r="X32" s="1814"/>
      <c r="Y32" s="3236"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9"/>
      <c r="Q33" s="775" t="str">
        <f t="shared" si="11"/>
        <v>项目建筑规模</v>
      </c>
      <c r="R33" s="776" t="s">
        <v>17</v>
      </c>
      <c r="S33" s="777" t="e">
        <f t="shared" si="12"/>
        <v>#N/A</v>
      </c>
      <c r="T33" s="776" t="s">
        <v>17</v>
      </c>
      <c r="U33" s="777" t="e">
        <f t="shared" si="13"/>
        <v>#N/A</v>
      </c>
      <c r="V33" s="776" t="s">
        <v>17</v>
      </c>
      <c r="W33" s="777" t="e">
        <f t="shared" si="14"/>
        <v>#N/A</v>
      </c>
      <c r="X33" s="778"/>
      <c r="Y33" s="3236"/>
      <c r="Z33" s="779" t="str">
        <f t="shared" si="15"/>
        <v>项目建筑规模</v>
      </c>
      <c r="AA33" s="1812" t="e">
        <f t="shared" si="3"/>
        <v>#N/A</v>
      </c>
      <c r="AB33" s="1812" t="e">
        <f t="shared" si="4"/>
        <v>#N/A</v>
      </c>
      <c r="AC33" s="1812"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9"/>
      <c r="Q34" s="1811" t="str">
        <f t="shared" si="11"/>
        <v>建筑结构</v>
      </c>
      <c r="R34" s="773" t="s">
        <v>17</v>
      </c>
      <c r="S34" s="774">
        <f t="shared" si="12"/>
        <v>100</v>
      </c>
      <c r="T34" s="773" t="s">
        <v>17</v>
      </c>
      <c r="U34" s="774">
        <f t="shared" si="13"/>
        <v>100</v>
      </c>
      <c r="V34" s="773" t="s">
        <v>17</v>
      </c>
      <c r="W34" s="774">
        <f t="shared" si="14"/>
        <v>100</v>
      </c>
      <c r="X34" s="1814"/>
      <c r="Y34" s="3236"/>
      <c r="Z34" s="1815" t="str">
        <f t="shared" si="15"/>
        <v>建筑结构</v>
      </c>
      <c r="AA34" s="1812">
        <f t="shared" si="3"/>
        <v>1</v>
      </c>
      <c r="AB34" s="1812">
        <f t="shared" si="4"/>
        <v>1</v>
      </c>
      <c r="AC34" s="1812">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9"/>
      <c r="Q35" s="1811" t="str">
        <f t="shared" si="11"/>
        <v>公共部分装修</v>
      </c>
      <c r="R35" s="773" t="s">
        <v>17</v>
      </c>
      <c r="S35" s="774">
        <f t="shared" si="12"/>
        <v>100</v>
      </c>
      <c r="T35" s="773" t="s">
        <v>17</v>
      </c>
      <c r="U35" s="774">
        <f t="shared" si="13"/>
        <v>100</v>
      </c>
      <c r="V35" s="773" t="s">
        <v>17</v>
      </c>
      <c r="W35" s="774">
        <f t="shared" si="14"/>
        <v>100</v>
      </c>
      <c r="X35" s="1814"/>
      <c r="Y35" s="3236"/>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9"/>
      <c r="Q36" s="1811" t="str">
        <f t="shared" si="11"/>
        <v>成新度</v>
      </c>
      <c r="R36" s="773" t="s">
        <v>17</v>
      </c>
      <c r="S36" s="774" t="e">
        <f t="shared" si="12"/>
        <v>#N/A</v>
      </c>
      <c r="T36" s="773" t="s">
        <v>17</v>
      </c>
      <c r="U36" s="774" t="e">
        <f t="shared" si="13"/>
        <v>#N/A</v>
      </c>
      <c r="V36" s="773" t="s">
        <v>17</v>
      </c>
      <c r="W36" s="774" t="e">
        <f t="shared" si="14"/>
        <v>#N/A</v>
      </c>
      <c r="X36" s="1814"/>
      <c r="Y36" s="3236"/>
      <c r="Z36" s="1815" t="str">
        <f t="shared" si="15"/>
        <v>成新度</v>
      </c>
      <c r="AA36" s="1812" t="e">
        <f t="shared" si="3"/>
        <v>#N/A</v>
      </c>
      <c r="AB36" s="1812" t="e">
        <f t="shared" si="4"/>
        <v>#N/A</v>
      </c>
      <c r="AC36" s="1812"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9"/>
      <c r="Q37" s="1796" t="str">
        <f t="shared" si="11"/>
        <v>市政基础设施</v>
      </c>
      <c r="R37" s="769" t="s">
        <v>17</v>
      </c>
      <c r="S37" s="770">
        <f t="shared" si="12"/>
        <v>100</v>
      </c>
      <c r="T37" s="769" t="s">
        <v>17</v>
      </c>
      <c r="U37" s="770">
        <f t="shared" si="13"/>
        <v>100</v>
      </c>
      <c r="V37" s="769" t="s">
        <v>17</v>
      </c>
      <c r="W37" s="770">
        <f t="shared" si="14"/>
        <v>100</v>
      </c>
      <c r="X37" s="771"/>
      <c r="Y37" s="3236"/>
      <c r="Z37" s="55" t="str">
        <f t="shared" si="15"/>
        <v>市政基础设施</v>
      </c>
      <c r="AA37" s="772">
        <f t="shared" si="3"/>
        <v>1</v>
      </c>
      <c r="AB37" s="772">
        <f t="shared" si="4"/>
        <v>1</v>
      </c>
      <c r="AC37" s="772">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9" t="s">
        <v>2562</v>
      </c>
      <c r="Q38" s="1811" t="str">
        <f t="shared" si="11"/>
        <v>业态</v>
      </c>
      <c r="R38" s="773" t="s">
        <v>17</v>
      </c>
      <c r="S38" s="774">
        <f t="shared" si="12"/>
        <v>100</v>
      </c>
      <c r="T38" s="773" t="s">
        <v>17</v>
      </c>
      <c r="U38" s="774">
        <f t="shared" si="13"/>
        <v>100</v>
      </c>
      <c r="V38" s="773" t="s">
        <v>17</v>
      </c>
      <c r="W38" s="774">
        <f t="shared" si="14"/>
        <v>100</v>
      </c>
      <c r="X38" s="1814"/>
      <c r="Y38" s="3236" t="s">
        <v>2562</v>
      </c>
      <c r="Z38" s="1815" t="str">
        <f t="shared" si="15"/>
        <v>业态</v>
      </c>
      <c r="AA38" s="1812">
        <f t="shared" si="3"/>
        <v>1</v>
      </c>
      <c r="AB38" s="1812">
        <f t="shared" si="4"/>
        <v>1</v>
      </c>
      <c r="AC38" s="1812">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9"/>
      <c r="Q39" s="1811" t="str">
        <f t="shared" si="11"/>
        <v>层高</v>
      </c>
      <c r="R39" s="773" t="s">
        <v>17</v>
      </c>
      <c r="S39" s="774">
        <f t="shared" si="12"/>
        <v>100</v>
      </c>
      <c r="T39" s="773" t="s">
        <v>17</v>
      </c>
      <c r="U39" s="774">
        <f t="shared" si="13"/>
        <v>100</v>
      </c>
      <c r="V39" s="773" t="s">
        <v>17</v>
      </c>
      <c r="W39" s="774">
        <f t="shared" si="14"/>
        <v>100</v>
      </c>
      <c r="X39" s="1814"/>
      <c r="Y39" s="3236"/>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9"/>
      <c r="Q40" s="1811" t="str">
        <f t="shared" si="11"/>
        <v>单套建筑面积</v>
      </c>
      <c r="R40" s="773" t="s">
        <v>17</v>
      </c>
      <c r="S40" s="774">
        <f t="shared" si="12"/>
        <v>100</v>
      </c>
      <c r="T40" s="773" t="s">
        <v>17</v>
      </c>
      <c r="U40" s="774">
        <f t="shared" si="13"/>
        <v>100</v>
      </c>
      <c r="V40" s="773" t="s">
        <v>17</v>
      </c>
      <c r="W40" s="774">
        <f t="shared" si="14"/>
        <v>100</v>
      </c>
      <c r="X40" s="1814"/>
      <c r="Y40" s="3236"/>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9"/>
      <c r="Q41" s="775" t="str">
        <f t="shared" si="11"/>
        <v>进深比</v>
      </c>
      <c r="R41" s="776" t="s">
        <v>17</v>
      </c>
      <c r="S41" s="777">
        <f t="shared" si="12"/>
        <v>100</v>
      </c>
      <c r="T41" s="776" t="s">
        <v>17</v>
      </c>
      <c r="U41" s="777">
        <f t="shared" si="13"/>
        <v>100</v>
      </c>
      <c r="V41" s="776" t="s">
        <v>17</v>
      </c>
      <c r="W41" s="777">
        <f t="shared" si="14"/>
        <v>100</v>
      </c>
      <c r="X41" s="778"/>
      <c r="Y41" s="3236"/>
      <c r="Z41" s="779" t="str">
        <f t="shared" si="15"/>
        <v>进深比</v>
      </c>
      <c r="AA41" s="1812">
        <f t="shared" si="3"/>
        <v>1</v>
      </c>
      <c r="AB41" s="1812">
        <f t="shared" si="4"/>
        <v>1</v>
      </c>
      <c r="AC41" s="1812">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9"/>
      <c r="Q42" s="1811" t="str">
        <f t="shared" si="11"/>
        <v>内部装修</v>
      </c>
      <c r="R42" s="773" t="s">
        <v>17</v>
      </c>
      <c r="S42" s="774">
        <f t="shared" si="12"/>
        <v>100</v>
      </c>
      <c r="T42" s="773" t="s">
        <v>17</v>
      </c>
      <c r="U42" s="774">
        <f t="shared" si="13"/>
        <v>100</v>
      </c>
      <c r="V42" s="773" t="s">
        <v>17</v>
      </c>
      <c r="W42" s="774">
        <f t="shared" si="14"/>
        <v>100</v>
      </c>
      <c r="X42" s="1814"/>
      <c r="Y42" s="3236"/>
      <c r="Z42" s="1815" t="str">
        <f t="shared" si="15"/>
        <v>内部装修</v>
      </c>
      <c r="AA42" s="1812">
        <f t="shared" si="3"/>
        <v>1</v>
      </c>
      <c r="AB42" s="1812">
        <f t="shared" si="4"/>
        <v>1</v>
      </c>
      <c r="AC42" s="1812">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9"/>
      <c r="Q43" s="1811" t="str">
        <f t="shared" si="11"/>
        <v>内部装修维护情况</v>
      </c>
      <c r="R43" s="773" t="s">
        <v>17</v>
      </c>
      <c r="S43" s="774">
        <f t="shared" si="12"/>
        <v>100</v>
      </c>
      <c r="T43" s="773" t="s">
        <v>17</v>
      </c>
      <c r="U43" s="774">
        <f t="shared" si="13"/>
        <v>100</v>
      </c>
      <c r="V43" s="773" t="s">
        <v>17</v>
      </c>
      <c r="W43" s="774">
        <f t="shared" si="14"/>
        <v>100</v>
      </c>
      <c r="X43" s="1814"/>
      <c r="Y43" s="3236"/>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9"/>
      <c r="Q44" s="1796">
        <f t="shared" si="11"/>
        <v>111</v>
      </c>
      <c r="R44" s="769" t="s">
        <v>17</v>
      </c>
      <c r="S44" s="770">
        <f t="shared" si="12"/>
        <v>100</v>
      </c>
      <c r="T44" s="769" t="s">
        <v>17</v>
      </c>
      <c r="U44" s="770">
        <f t="shared" si="13"/>
        <v>100</v>
      </c>
      <c r="V44" s="769" t="s">
        <v>17</v>
      </c>
      <c r="W44" s="770">
        <f t="shared" si="14"/>
        <v>100</v>
      </c>
      <c r="X44" s="771"/>
      <c r="Y44" s="3236"/>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9"/>
      <c r="Q45" s="1811">
        <f t="shared" si="11"/>
        <v>111</v>
      </c>
      <c r="R45" s="773" t="s">
        <v>17</v>
      </c>
      <c r="S45" s="774">
        <f t="shared" si="12"/>
        <v>100</v>
      </c>
      <c r="T45" s="773" t="s">
        <v>17</v>
      </c>
      <c r="U45" s="774">
        <f t="shared" si="13"/>
        <v>100</v>
      </c>
      <c r="V45" s="773" t="s">
        <v>17</v>
      </c>
      <c r="W45" s="774">
        <f t="shared" si="14"/>
        <v>100</v>
      </c>
      <c r="X45" s="1814"/>
      <c r="Y45" s="3236"/>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0"/>
      <c r="Q46" s="1811">
        <f t="shared" si="11"/>
        <v>111</v>
      </c>
      <c r="R46" s="773" t="s">
        <v>17</v>
      </c>
      <c r="S46" s="774">
        <f t="shared" si="12"/>
        <v>100</v>
      </c>
      <c r="T46" s="773" t="s">
        <v>17</v>
      </c>
      <c r="U46" s="774">
        <f t="shared" si="13"/>
        <v>100</v>
      </c>
      <c r="V46" s="773" t="s">
        <v>17</v>
      </c>
      <c r="W46" s="774">
        <f t="shared" si="14"/>
        <v>100</v>
      </c>
      <c r="X46" s="1814"/>
      <c r="Y46" s="3251"/>
      <c r="Z46" s="1815">
        <f t="shared" si="15"/>
        <v>111</v>
      </c>
      <c r="AA46" s="1812">
        <f t="shared" si="3"/>
        <v>1</v>
      </c>
      <c r="AB46" s="1812">
        <f t="shared" si="4"/>
        <v>1</v>
      </c>
      <c r="AC46" s="1812">
        <f t="shared" si="5"/>
        <v>1</v>
      </c>
    </row>
    <row r="47" spans="1:29" ht="15">
      <c r="A47" s="479" t="s">
        <v>2574</v>
      </c>
      <c r="B47" s="480"/>
      <c r="C47" s="1409" t="s">
        <v>1</v>
      </c>
      <c r="D47" s="1410"/>
      <c r="E47" s="1411"/>
      <c r="F47" s="1412"/>
      <c r="G47" s="1413"/>
      <c r="H47" s="1414"/>
      <c r="I47" s="1411"/>
      <c r="J47" s="1414"/>
      <c r="K47" s="782"/>
      <c r="L47" s="1145"/>
      <c r="M47" s="1146"/>
      <c r="N47" s="1133"/>
      <c r="O47" s="1146"/>
      <c r="P47" s="3218" t="str">
        <f>A47</f>
        <v>成交单价（元/平方米）</v>
      </c>
      <c r="Q47" s="3218"/>
      <c r="R47" s="3231">
        <f>E47</f>
        <v>0</v>
      </c>
      <c r="S47" s="3231"/>
      <c r="T47" s="3231">
        <f>G47</f>
        <v>0</v>
      </c>
      <c r="U47" s="3231"/>
      <c r="V47" s="3231">
        <f>I47</f>
        <v>0</v>
      </c>
      <c r="W47" s="3231"/>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18" t="str">
        <f>A48</f>
        <v>比较价值（元/平方米）</v>
      </c>
      <c r="Q48" s="3218"/>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38" t="str">
        <f>A49</f>
        <v>估价对象XX用房的比较价值（楼面单价，元/平方米）</v>
      </c>
      <c r="Q49" s="3239"/>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2545</v>
      </c>
      <c r="B58" s="506"/>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2677</v>
      </c>
      <c r="C86" s="2958" t="s">
        <v>3134</v>
      </c>
      <c r="D86" s="2958" t="s">
        <v>3135</v>
      </c>
      <c r="E86" s="2958" t="s">
        <v>3136</v>
      </c>
      <c r="F86" s="2958" t="s">
        <v>3137</v>
      </c>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2560</v>
      </c>
      <c r="B100" s="528" t="s">
        <v>2678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2611</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2613</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2679</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2680</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2681</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2617</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2683</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IF(C2="——",ROUND(C50*D3/10000,0),ROUND(C50*D3/10000,0)-D2)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IF(C2="——",C50,ROUND(B2*10000/D3,0))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19" t="s">
        <v>2643</v>
      </c>
      <c r="D4" s="3220"/>
      <c r="E4" s="3221" t="s">
        <v>2644</v>
      </c>
      <c r="F4" s="3222"/>
      <c r="G4" s="3219" t="s">
        <v>2645</v>
      </c>
      <c r="H4" s="3220"/>
      <c r="I4" s="3219" t="s">
        <v>2646</v>
      </c>
      <c r="J4" s="3220"/>
      <c r="K4" s="610" t="s">
        <v>2647</v>
      </c>
      <c r="L4" s="1132"/>
      <c r="M4" s="1133"/>
      <c r="N4" s="1133"/>
      <c r="O4" s="1133"/>
      <c r="P4" s="3287" t="s">
        <v>2648</v>
      </c>
      <c r="Q4" s="3288"/>
      <c r="R4" s="3282" t="s">
        <v>2644</v>
      </c>
      <c r="S4" s="3283"/>
      <c r="T4" s="3282" t="s">
        <v>2645</v>
      </c>
      <c r="U4" s="3283"/>
      <c r="V4" s="3291" t="s">
        <v>2646</v>
      </c>
      <c r="W4" s="3291"/>
      <c r="X4" s="2667"/>
      <c r="Y4" s="3282" t="s">
        <v>2648</v>
      </c>
      <c r="Z4" s="3283"/>
      <c r="AA4" s="3281" t="s">
        <v>2644</v>
      </c>
      <c r="AB4" s="3281" t="s">
        <v>2645</v>
      </c>
      <c r="AC4" s="3284" t="s">
        <v>2646</v>
      </c>
    </row>
    <row r="5" spans="1:29" ht="15">
      <c r="A5" s="404"/>
      <c r="B5" s="405"/>
      <c r="C5" s="3212" t="s">
        <v>2539</v>
      </c>
      <c r="D5" s="3213"/>
      <c r="E5" s="3210" t="s">
        <v>2540</v>
      </c>
      <c r="F5" s="3211"/>
      <c r="G5" s="3212" t="s">
        <v>2541</v>
      </c>
      <c r="H5" s="3213"/>
      <c r="I5" s="3212" t="s">
        <v>2542</v>
      </c>
      <c r="J5" s="3213"/>
      <c r="K5" s="610"/>
      <c r="L5" s="1132"/>
      <c r="M5" s="1133"/>
      <c r="N5" s="1133"/>
      <c r="O5" s="1133"/>
      <c r="P5" s="3289"/>
      <c r="Q5" s="3226"/>
      <c r="R5" s="3208"/>
      <c r="S5" s="3209"/>
      <c r="T5" s="3208"/>
      <c r="U5" s="3209"/>
      <c r="V5" s="3231"/>
      <c r="W5" s="3231"/>
      <c r="X5" s="1814"/>
      <c r="Y5" s="3208"/>
      <c r="Z5" s="3209"/>
      <c r="AA5" s="3202"/>
      <c r="AB5" s="3202"/>
      <c r="AC5" s="3285"/>
    </row>
    <row r="6" spans="1:29" ht="15.75" thickBot="1">
      <c r="A6" s="406"/>
      <c r="B6" s="407"/>
      <c r="C6" s="3214" t="s">
        <v>2543</v>
      </c>
      <c r="D6" s="3215"/>
      <c r="E6" s="3216" t="s">
        <v>2543</v>
      </c>
      <c r="F6" s="3217"/>
      <c r="G6" s="3214" t="s">
        <v>2543</v>
      </c>
      <c r="H6" s="3215"/>
      <c r="I6" s="3214" t="s">
        <v>2543</v>
      </c>
      <c r="J6" s="3215"/>
      <c r="K6" s="610" t="s">
        <v>2544</v>
      </c>
      <c r="L6" s="1132"/>
      <c r="M6" s="1133"/>
      <c r="N6" s="1133"/>
      <c r="O6" s="1133"/>
      <c r="P6" s="3290"/>
      <c r="Q6" s="3228"/>
      <c r="R6" s="3208"/>
      <c r="S6" s="3209"/>
      <c r="T6" s="3229"/>
      <c r="U6" s="3230"/>
      <c r="V6" s="3231"/>
      <c r="W6" s="3231"/>
      <c r="X6" s="1814"/>
      <c r="Y6" s="3229"/>
      <c r="Z6" s="3230"/>
      <c r="AA6" s="3203"/>
      <c r="AB6" s="3203"/>
      <c r="AC6" s="3286"/>
    </row>
    <row r="7" spans="1:29" s="117" customFormat="1" ht="15.75" thickBot="1">
      <c r="A7" s="408" t="s">
        <v>2545</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92" t="s">
        <v>2546</v>
      </c>
      <c r="Q7" s="3232"/>
      <c r="R7" s="769" t="s">
        <v>17</v>
      </c>
      <c r="S7" s="770">
        <f t="shared" ref="S7:S15" si="0">F7</f>
        <v>0</v>
      </c>
      <c r="T7" s="769" t="s">
        <v>17</v>
      </c>
      <c r="U7" s="770">
        <f t="shared" ref="U7:U15" si="1">H7</f>
        <v>0</v>
      </c>
      <c r="V7" s="769" t="s">
        <v>17</v>
      </c>
      <c r="W7" s="770">
        <f t="shared" ref="W7:W15" si="2">J7</f>
        <v>0</v>
      </c>
      <c r="X7" s="771"/>
      <c r="Y7" s="3204" t="s">
        <v>2546</v>
      </c>
      <c r="Z7" s="3205"/>
      <c r="AA7" s="772" t="e">
        <f>D7/F7</f>
        <v>#DIV/0!</v>
      </c>
      <c r="AB7" s="772"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92" t="s">
        <v>2549</v>
      </c>
      <c r="Q8" s="3205"/>
      <c r="R8" s="769" t="s">
        <v>17</v>
      </c>
      <c r="S8" s="770">
        <f t="shared" si="0"/>
        <v>0</v>
      </c>
      <c r="T8" s="769" t="s">
        <v>17</v>
      </c>
      <c r="U8" s="770">
        <f t="shared" si="1"/>
        <v>0</v>
      </c>
      <c r="V8" s="769" t="s">
        <v>17</v>
      </c>
      <c r="W8" s="770">
        <f t="shared" si="2"/>
        <v>0</v>
      </c>
      <c r="X8" s="771"/>
      <c r="Y8" s="3204" t="s">
        <v>2549</v>
      </c>
      <c r="Z8" s="3205"/>
      <c r="AA8" s="772" t="e">
        <f t="shared" ref="AA8:AA47" si="3">D8/F8</f>
        <v>#DIV/0!</v>
      </c>
      <c r="AB8" s="772"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42" t="s">
        <v>2552</v>
      </c>
      <c r="Q9" s="1796"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42"/>
      <c r="Q10" s="1796"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42"/>
      <c r="Q11" s="1796"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2"/>
      <c r="Q12" s="1796">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2"/>
      <c r="Q13" s="1796">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2"/>
      <c r="Q14" s="1796">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2668">
        <f t="shared" si="5"/>
        <v>1</v>
      </c>
    </row>
    <row r="15" spans="1:29" ht="42.75">
      <c r="A15" s="440" t="s">
        <v>2556</v>
      </c>
      <c r="B15" s="629" t="s">
        <v>2684</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2" t="s">
        <v>2557</v>
      </c>
      <c r="Q15" s="1811" t="str">
        <f t="shared" si="6"/>
        <v>办公集聚程度</v>
      </c>
      <c r="R15" s="773" t="s">
        <v>17</v>
      </c>
      <c r="S15" s="774">
        <f t="shared" si="0"/>
        <v>100</v>
      </c>
      <c r="T15" s="773" t="s">
        <v>17</v>
      </c>
      <c r="U15" s="774">
        <f t="shared" si="1"/>
        <v>100</v>
      </c>
      <c r="V15" s="773" t="s">
        <v>17</v>
      </c>
      <c r="W15" s="774">
        <f t="shared" si="2"/>
        <v>100</v>
      </c>
      <c r="X15" s="1814"/>
      <c r="Y15" s="3233" t="s">
        <v>2557</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53"/>
      <c r="Q16" s="1811"/>
      <c r="R16" s="773"/>
      <c r="S16" s="774"/>
      <c r="T16" s="773"/>
      <c r="U16" s="774"/>
      <c r="V16" s="773"/>
      <c r="W16" s="774"/>
      <c r="X16" s="1814"/>
      <c r="Y16" s="3234"/>
      <c r="Z16" s="1815"/>
      <c r="AA16" s="1812">
        <v>1</v>
      </c>
      <c r="AB16" s="1812">
        <v>1</v>
      </c>
      <c r="AC16" s="2671">
        <v>1</v>
      </c>
    </row>
    <row r="17" spans="1:29" ht="85.5">
      <c r="A17" s="428"/>
      <c r="B17" s="631" t="s">
        <v>2096</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3"/>
      <c r="Q17" s="1811" t="str">
        <f>B17</f>
        <v>交通便捷度</v>
      </c>
      <c r="R17" s="773" t="s">
        <v>17</v>
      </c>
      <c r="S17" s="774">
        <f>F17</f>
        <v>100</v>
      </c>
      <c r="T17" s="773" t="s">
        <v>17</v>
      </c>
      <c r="U17" s="774">
        <f>H17</f>
        <v>100</v>
      </c>
      <c r="V17" s="773" t="s">
        <v>17</v>
      </c>
      <c r="W17" s="774">
        <f>J17</f>
        <v>100</v>
      </c>
      <c r="X17" s="1814"/>
      <c r="Y17" s="3234"/>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53"/>
      <c r="Q18" s="1811"/>
      <c r="R18" s="773"/>
      <c r="S18" s="774"/>
      <c r="T18" s="773"/>
      <c r="U18" s="774"/>
      <c r="V18" s="773"/>
      <c r="W18" s="774"/>
      <c r="X18" s="1814"/>
      <c r="Y18" s="3234"/>
      <c r="Z18" s="1815"/>
      <c r="AA18" s="1812">
        <v>1</v>
      </c>
      <c r="AB18" s="1812">
        <v>1</v>
      </c>
      <c r="AC18" s="2671">
        <v>1</v>
      </c>
    </row>
    <row r="19" spans="1:29" ht="42.75">
      <c r="A19" s="428"/>
      <c r="B19" s="631" t="s">
        <v>2685</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3"/>
      <c r="Q19" s="1811" t="str">
        <f>B19</f>
        <v>公共配套设施</v>
      </c>
      <c r="R19" s="773" t="s">
        <v>17</v>
      </c>
      <c r="S19" s="774">
        <f>F19</f>
        <v>100</v>
      </c>
      <c r="T19" s="773" t="s">
        <v>17</v>
      </c>
      <c r="U19" s="774">
        <f>H19</f>
        <v>100</v>
      </c>
      <c r="V19" s="773" t="s">
        <v>17</v>
      </c>
      <c r="W19" s="774">
        <f>J19</f>
        <v>100</v>
      </c>
      <c r="X19" s="1814"/>
      <c r="Y19" s="3234"/>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53"/>
      <c r="Q20" s="1811"/>
      <c r="R20" s="773"/>
      <c r="S20" s="774"/>
      <c r="T20" s="773"/>
      <c r="U20" s="774"/>
      <c r="V20" s="773"/>
      <c r="W20" s="774"/>
      <c r="X20" s="1814"/>
      <c r="Y20" s="3234"/>
      <c r="Z20" s="1815"/>
      <c r="AA20" s="1812">
        <v>1</v>
      </c>
      <c r="AB20" s="1812">
        <v>1</v>
      </c>
      <c r="AC20" s="2671">
        <v>1</v>
      </c>
    </row>
    <row r="21" spans="1:29" ht="42.75">
      <c r="A21" s="428"/>
      <c r="B21" s="633" t="s">
        <v>2686</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3"/>
      <c r="Q21" s="1811" t="str">
        <f>B21</f>
        <v>基础设施水平</v>
      </c>
      <c r="R21" s="773" t="s">
        <v>17</v>
      </c>
      <c r="S21" s="774">
        <f>F21</f>
        <v>100</v>
      </c>
      <c r="T21" s="773" t="s">
        <v>17</v>
      </c>
      <c r="U21" s="774">
        <f>H21</f>
        <v>100</v>
      </c>
      <c r="V21" s="773" t="s">
        <v>17</v>
      </c>
      <c r="W21" s="774">
        <f>J21</f>
        <v>100</v>
      </c>
      <c r="X21" s="1814"/>
      <c r="Y21" s="3234"/>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253"/>
      <c r="Q22" s="1811"/>
      <c r="R22" s="773"/>
      <c r="S22" s="774"/>
      <c r="T22" s="773"/>
      <c r="U22" s="774"/>
      <c r="V22" s="773"/>
      <c r="W22" s="774"/>
      <c r="X22" s="1814"/>
      <c r="Y22" s="3234"/>
      <c r="Z22" s="1815"/>
      <c r="AA22" s="1812">
        <v>1</v>
      </c>
      <c r="AB22" s="1812">
        <v>1</v>
      </c>
      <c r="AC22" s="2671">
        <v>1</v>
      </c>
    </row>
    <row r="23" spans="1:29" ht="85.5">
      <c r="A23" s="428"/>
      <c r="B23" s="631" t="s">
        <v>2687</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3"/>
      <c r="Q23" s="1811" t="str">
        <f>B23</f>
        <v>环境质量</v>
      </c>
      <c r="R23" s="773" t="s">
        <v>17</v>
      </c>
      <c r="S23" s="774">
        <f>F23</f>
        <v>100</v>
      </c>
      <c r="T23" s="773" t="s">
        <v>17</v>
      </c>
      <c r="U23" s="774">
        <f>H23</f>
        <v>100</v>
      </c>
      <c r="V23" s="773" t="s">
        <v>17</v>
      </c>
      <c r="W23" s="774">
        <f>J23</f>
        <v>100</v>
      </c>
      <c r="X23" s="1814"/>
      <c r="Y23" s="3234"/>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53"/>
      <c r="Q24" s="1811"/>
      <c r="R24" s="773"/>
      <c r="S24" s="774"/>
      <c r="T24" s="773"/>
      <c r="U24" s="774"/>
      <c r="V24" s="773"/>
      <c r="W24" s="774"/>
      <c r="X24" s="1814"/>
      <c r="Y24" s="3234"/>
      <c r="Z24" s="1815"/>
      <c r="AA24" s="1812">
        <v>1</v>
      </c>
      <c r="AB24" s="1812">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53"/>
      <c r="Q25" s="1811" t="str">
        <f>B25</f>
        <v>毗邻道路的类型与等级</v>
      </c>
      <c r="R25" s="773" t="s">
        <v>17</v>
      </c>
      <c r="S25" s="774">
        <f>F25</f>
        <v>100</v>
      </c>
      <c r="T25" s="773" t="s">
        <v>17</v>
      </c>
      <c r="U25" s="774">
        <f>H25</f>
        <v>100</v>
      </c>
      <c r="V25" s="773" t="s">
        <v>17</v>
      </c>
      <c r="W25" s="774">
        <f>J25</f>
        <v>100</v>
      </c>
      <c r="X25" s="1814"/>
      <c r="Y25" s="3234"/>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53"/>
      <c r="Q26" s="1811"/>
      <c r="R26" s="773"/>
      <c r="S26" s="774"/>
      <c r="T26" s="773"/>
      <c r="U26" s="774"/>
      <c r="V26" s="773"/>
      <c r="W26" s="774"/>
      <c r="X26" s="1814"/>
      <c r="Y26" s="3234"/>
      <c r="Z26" s="1815"/>
      <c r="AA26" s="1812">
        <v>1</v>
      </c>
      <c r="AB26" s="1812">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53"/>
      <c r="Q27" s="1811" t="str">
        <f t="shared" ref="Q27:Q47" si="11">B27</f>
        <v>楼层</v>
      </c>
      <c r="R27" s="773" t="s">
        <v>17</v>
      </c>
      <c r="S27" s="774">
        <f>F27</f>
        <v>100</v>
      </c>
      <c r="T27" s="773" t="s">
        <v>17</v>
      </c>
      <c r="U27" s="774">
        <f>H27</f>
        <v>100</v>
      </c>
      <c r="V27" s="773" t="s">
        <v>17</v>
      </c>
      <c r="W27" s="774">
        <f>J27</f>
        <v>100</v>
      </c>
      <c r="X27" s="1814"/>
      <c r="Y27" s="3234"/>
      <c r="Z27" s="1815" t="str">
        <f>Q27</f>
        <v>楼层</v>
      </c>
      <c r="AA27" s="1812">
        <f t="shared" si="3"/>
        <v>1</v>
      </c>
      <c r="AB27" s="1812">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53"/>
      <c r="Q28" s="1796" t="str">
        <f t="shared" si="11"/>
        <v>朝向</v>
      </c>
      <c r="R28" s="769" t="s">
        <v>17</v>
      </c>
      <c r="S28" s="770">
        <f>F28</f>
        <v>100</v>
      </c>
      <c r="T28" s="769" t="s">
        <v>17</v>
      </c>
      <c r="U28" s="770">
        <f>H28</f>
        <v>100</v>
      </c>
      <c r="V28" s="769" t="s">
        <v>17</v>
      </c>
      <c r="W28" s="770">
        <f>J28</f>
        <v>100</v>
      </c>
      <c r="X28" s="771"/>
      <c r="Y28" s="3234"/>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53"/>
      <c r="Q29" s="1811">
        <f t="shared" si="11"/>
        <v>111</v>
      </c>
      <c r="R29" s="773" t="s">
        <v>17</v>
      </c>
      <c r="S29" s="774">
        <f t="shared" ref="S29:S47" si="12">F29</f>
        <v>100</v>
      </c>
      <c r="T29" s="773" t="s">
        <v>17</v>
      </c>
      <c r="U29" s="774">
        <f t="shared" ref="U29:U47" si="13">H29</f>
        <v>100</v>
      </c>
      <c r="V29" s="773" t="s">
        <v>17</v>
      </c>
      <c r="W29" s="774">
        <f t="shared" ref="W29:W47" si="14">J29</f>
        <v>100</v>
      </c>
      <c r="X29" s="1814"/>
      <c r="Y29" s="3234"/>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53"/>
      <c r="Q30" s="1811">
        <f t="shared" si="11"/>
        <v>111</v>
      </c>
      <c r="R30" s="773" t="s">
        <v>17</v>
      </c>
      <c r="S30" s="774">
        <f t="shared" si="12"/>
        <v>100</v>
      </c>
      <c r="T30" s="773" t="s">
        <v>17</v>
      </c>
      <c r="U30" s="774">
        <f t="shared" si="13"/>
        <v>100</v>
      </c>
      <c r="V30" s="773" t="s">
        <v>17</v>
      </c>
      <c r="W30" s="774">
        <f t="shared" si="14"/>
        <v>100</v>
      </c>
      <c r="X30" s="1814"/>
      <c r="Y30" s="3234"/>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53"/>
      <c r="Q31" s="1811">
        <f t="shared" si="11"/>
        <v>111</v>
      </c>
      <c r="R31" s="773" t="s">
        <v>17</v>
      </c>
      <c r="S31" s="774">
        <f t="shared" si="12"/>
        <v>100</v>
      </c>
      <c r="T31" s="773" t="s">
        <v>17</v>
      </c>
      <c r="U31" s="774">
        <f t="shared" si="13"/>
        <v>100</v>
      </c>
      <c r="V31" s="773" t="s">
        <v>17</v>
      </c>
      <c r="W31" s="774">
        <f t="shared" si="14"/>
        <v>100</v>
      </c>
      <c r="X31" s="1814"/>
      <c r="Y31" s="3234"/>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53"/>
      <c r="Q32" s="1811">
        <f t="shared" si="11"/>
        <v>111</v>
      </c>
      <c r="R32" s="773" t="s">
        <v>17</v>
      </c>
      <c r="S32" s="774">
        <f t="shared" si="12"/>
        <v>100</v>
      </c>
      <c r="T32" s="773" t="s">
        <v>17</v>
      </c>
      <c r="U32" s="774">
        <f t="shared" si="13"/>
        <v>100</v>
      </c>
      <c r="V32" s="773" t="s">
        <v>17</v>
      </c>
      <c r="W32" s="774">
        <f t="shared" si="14"/>
        <v>100</v>
      </c>
      <c r="X32" s="1814"/>
      <c r="Y32" s="3234"/>
      <c r="Z32" s="1815">
        <f t="shared" si="15"/>
        <v>111</v>
      </c>
      <c r="AA32" s="1812">
        <f t="shared" si="3"/>
        <v>1</v>
      </c>
      <c r="AB32" s="1812">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8" t="s">
        <v>2562</v>
      </c>
      <c r="Q33" s="1811" t="str">
        <f t="shared" si="11"/>
        <v>建筑类型</v>
      </c>
      <c r="R33" s="773" t="s">
        <v>17</v>
      </c>
      <c r="S33" s="774">
        <f t="shared" si="12"/>
        <v>100</v>
      </c>
      <c r="T33" s="773" t="s">
        <v>17</v>
      </c>
      <c r="U33" s="774">
        <f t="shared" si="13"/>
        <v>100</v>
      </c>
      <c r="V33" s="773" t="s">
        <v>17</v>
      </c>
      <c r="W33" s="774">
        <f t="shared" si="14"/>
        <v>100</v>
      </c>
      <c r="X33" s="1814"/>
      <c r="Y33" s="3236" t="s">
        <v>2562</v>
      </c>
      <c r="Z33" s="1815" t="str">
        <f t="shared" si="15"/>
        <v>建筑类型</v>
      </c>
      <c r="AA33" s="1812">
        <f t="shared" si="3"/>
        <v>1</v>
      </c>
      <c r="AB33" s="1812">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9"/>
      <c r="Q34" s="775" t="str">
        <f t="shared" si="11"/>
        <v>项目建筑规模</v>
      </c>
      <c r="R34" s="776" t="s">
        <v>17</v>
      </c>
      <c r="S34" s="777" t="e">
        <f t="shared" si="12"/>
        <v>#N/A</v>
      </c>
      <c r="T34" s="776" t="s">
        <v>17</v>
      </c>
      <c r="U34" s="777" t="e">
        <f t="shared" si="13"/>
        <v>#N/A</v>
      </c>
      <c r="V34" s="776" t="s">
        <v>17</v>
      </c>
      <c r="W34" s="777" t="e">
        <f t="shared" si="14"/>
        <v>#N/A</v>
      </c>
      <c r="X34" s="778"/>
      <c r="Y34" s="3236"/>
      <c r="Z34" s="779" t="str">
        <f t="shared" si="15"/>
        <v>项目建筑规模</v>
      </c>
      <c r="AA34" s="1812" t="e">
        <f t="shared" si="3"/>
        <v>#N/A</v>
      </c>
      <c r="AB34" s="1812"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9"/>
      <c r="Q35" s="1811" t="str">
        <f t="shared" si="11"/>
        <v>建筑结构</v>
      </c>
      <c r="R35" s="773" t="s">
        <v>17</v>
      </c>
      <c r="S35" s="774">
        <f t="shared" si="12"/>
        <v>100</v>
      </c>
      <c r="T35" s="773" t="s">
        <v>17</v>
      </c>
      <c r="U35" s="774">
        <f t="shared" si="13"/>
        <v>100</v>
      </c>
      <c r="V35" s="773" t="s">
        <v>17</v>
      </c>
      <c r="W35" s="774">
        <f t="shared" si="14"/>
        <v>100</v>
      </c>
      <c r="X35" s="1814"/>
      <c r="Y35" s="3236"/>
      <c r="Z35" s="1815" t="str">
        <f t="shared" si="15"/>
        <v>建筑结构</v>
      </c>
      <c r="AA35" s="1812">
        <f t="shared" si="3"/>
        <v>1</v>
      </c>
      <c r="AB35" s="1812">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9"/>
      <c r="Q36" s="1811" t="str">
        <f t="shared" si="11"/>
        <v>公共部分装修</v>
      </c>
      <c r="R36" s="773" t="s">
        <v>17</v>
      </c>
      <c r="S36" s="774">
        <f t="shared" si="12"/>
        <v>100</v>
      </c>
      <c r="T36" s="773" t="s">
        <v>17</v>
      </c>
      <c r="U36" s="774">
        <f t="shared" si="13"/>
        <v>100</v>
      </c>
      <c r="V36" s="773" t="s">
        <v>17</v>
      </c>
      <c r="W36" s="774">
        <f t="shared" si="14"/>
        <v>100</v>
      </c>
      <c r="X36" s="1814"/>
      <c r="Y36" s="3236"/>
      <c r="Z36" s="1815" t="str">
        <f t="shared" si="15"/>
        <v>公共部分装修</v>
      </c>
      <c r="AA36" s="1812">
        <f t="shared" si="3"/>
        <v>1</v>
      </c>
      <c r="AB36" s="1812">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9"/>
      <c r="Q37" s="1811" t="str">
        <f t="shared" si="11"/>
        <v>成新度</v>
      </c>
      <c r="R37" s="773" t="s">
        <v>17</v>
      </c>
      <c r="S37" s="774" t="e">
        <f t="shared" si="12"/>
        <v>#N/A</v>
      </c>
      <c r="T37" s="773" t="s">
        <v>17</v>
      </c>
      <c r="U37" s="774" t="e">
        <f t="shared" si="13"/>
        <v>#N/A</v>
      </c>
      <c r="V37" s="773" t="s">
        <v>17</v>
      </c>
      <c r="W37" s="774" t="e">
        <f t="shared" si="14"/>
        <v>#N/A</v>
      </c>
      <c r="X37" s="1814"/>
      <c r="Y37" s="3236"/>
      <c r="Z37" s="1815" t="str">
        <f t="shared" si="15"/>
        <v>成新度</v>
      </c>
      <c r="AA37" s="1812" t="e">
        <f t="shared" si="3"/>
        <v>#N/A</v>
      </c>
      <c r="AB37" s="1812"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9"/>
      <c r="Q38" s="1796" t="str">
        <f t="shared" si="11"/>
        <v>写字楼等级</v>
      </c>
      <c r="R38" s="769" t="s">
        <v>17</v>
      </c>
      <c r="S38" s="770">
        <f t="shared" si="12"/>
        <v>100</v>
      </c>
      <c r="T38" s="769" t="s">
        <v>17</v>
      </c>
      <c r="U38" s="770">
        <f t="shared" si="13"/>
        <v>100</v>
      </c>
      <c r="V38" s="769" t="s">
        <v>17</v>
      </c>
      <c r="W38" s="770">
        <f t="shared" si="14"/>
        <v>100</v>
      </c>
      <c r="X38" s="771"/>
      <c r="Y38" s="3236"/>
      <c r="Z38" s="55" t="str">
        <f t="shared" si="15"/>
        <v>写字楼等级</v>
      </c>
      <c r="AA38" s="772">
        <f t="shared" si="3"/>
        <v>1</v>
      </c>
      <c r="AB38" s="772">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9" t="s">
        <v>2562</v>
      </c>
      <c r="Q39" s="1811" t="str">
        <f t="shared" si="11"/>
        <v>物业管理</v>
      </c>
      <c r="R39" s="773" t="s">
        <v>17</v>
      </c>
      <c r="S39" s="774">
        <f t="shared" si="12"/>
        <v>100</v>
      </c>
      <c r="T39" s="773" t="s">
        <v>17</v>
      </c>
      <c r="U39" s="774">
        <f t="shared" si="13"/>
        <v>100</v>
      </c>
      <c r="V39" s="773" t="s">
        <v>17</v>
      </c>
      <c r="W39" s="774">
        <f t="shared" si="14"/>
        <v>100</v>
      </c>
      <c r="X39" s="1814"/>
      <c r="Y39" s="3236" t="s">
        <v>2562</v>
      </c>
      <c r="Z39" s="1815" t="str">
        <f t="shared" si="15"/>
        <v>物业管理</v>
      </c>
      <c r="AA39" s="1812">
        <f t="shared" si="3"/>
        <v>1</v>
      </c>
      <c r="AB39" s="1812">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9"/>
      <c r="Q40" s="1811" t="str">
        <f t="shared" si="11"/>
        <v>市政基础设施</v>
      </c>
      <c r="R40" s="773" t="s">
        <v>17</v>
      </c>
      <c r="S40" s="774">
        <f t="shared" si="12"/>
        <v>100</v>
      </c>
      <c r="T40" s="773" t="s">
        <v>17</v>
      </c>
      <c r="U40" s="774">
        <f t="shared" si="13"/>
        <v>100</v>
      </c>
      <c r="V40" s="773" t="s">
        <v>17</v>
      </c>
      <c r="W40" s="774">
        <f t="shared" si="14"/>
        <v>100</v>
      </c>
      <c r="X40" s="1814"/>
      <c r="Y40" s="3236"/>
      <c r="Z40" s="1815" t="str">
        <f t="shared" si="15"/>
        <v>市政基础设施</v>
      </c>
      <c r="AA40" s="1812">
        <f t="shared" si="3"/>
        <v>1</v>
      </c>
      <c r="AB40" s="1812">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9"/>
      <c r="Q41" s="1811" t="str">
        <f t="shared" si="11"/>
        <v>层高</v>
      </c>
      <c r="R41" s="773" t="s">
        <v>17</v>
      </c>
      <c r="S41" s="774">
        <f t="shared" si="12"/>
        <v>100</v>
      </c>
      <c r="T41" s="773" t="s">
        <v>17</v>
      </c>
      <c r="U41" s="774">
        <f t="shared" si="13"/>
        <v>100</v>
      </c>
      <c r="V41" s="773" t="s">
        <v>17</v>
      </c>
      <c r="W41" s="774">
        <f t="shared" si="14"/>
        <v>100</v>
      </c>
      <c r="X41" s="1814"/>
      <c r="Y41" s="3236"/>
      <c r="Z41" s="1815" t="str">
        <f t="shared" si="15"/>
        <v>层高</v>
      </c>
      <c r="AA41" s="1812">
        <f t="shared" si="3"/>
        <v>1</v>
      </c>
      <c r="AB41" s="1812">
        <f t="shared" si="4"/>
        <v>1</v>
      </c>
      <c r="AC41" s="2671">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9"/>
      <c r="Q42" s="775" t="str">
        <f t="shared" si="11"/>
        <v>单套建筑面积</v>
      </c>
      <c r="R42" s="776" t="s">
        <v>17</v>
      </c>
      <c r="S42" s="777">
        <f t="shared" si="12"/>
        <v>100</v>
      </c>
      <c r="T42" s="776" t="s">
        <v>17</v>
      </c>
      <c r="U42" s="777">
        <f t="shared" si="13"/>
        <v>100</v>
      </c>
      <c r="V42" s="776" t="s">
        <v>17</v>
      </c>
      <c r="W42" s="777">
        <f t="shared" si="14"/>
        <v>100</v>
      </c>
      <c r="X42" s="778"/>
      <c r="Y42" s="3236"/>
      <c r="Z42" s="779" t="str">
        <f t="shared" si="15"/>
        <v>单套建筑面积</v>
      </c>
      <c r="AA42" s="1812">
        <f t="shared" si="3"/>
        <v>1</v>
      </c>
      <c r="AB42" s="1812">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9"/>
      <c r="Q43" s="1811" t="str">
        <f t="shared" si="11"/>
        <v>内部装修</v>
      </c>
      <c r="R43" s="773" t="s">
        <v>17</v>
      </c>
      <c r="S43" s="774">
        <f t="shared" si="12"/>
        <v>100</v>
      </c>
      <c r="T43" s="773" t="s">
        <v>17</v>
      </c>
      <c r="U43" s="774">
        <f t="shared" si="13"/>
        <v>100</v>
      </c>
      <c r="V43" s="773" t="s">
        <v>17</v>
      </c>
      <c r="W43" s="774">
        <f t="shared" si="14"/>
        <v>100</v>
      </c>
      <c r="X43" s="1814"/>
      <c r="Y43" s="3236"/>
      <c r="Z43" s="1815" t="str">
        <f t="shared" si="15"/>
        <v>内部装修</v>
      </c>
      <c r="AA43" s="1812">
        <f t="shared" si="3"/>
        <v>1</v>
      </c>
      <c r="AB43" s="1812">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9"/>
      <c r="Q44" s="1811" t="str">
        <f t="shared" si="11"/>
        <v>内部装修维护情况</v>
      </c>
      <c r="R44" s="773" t="s">
        <v>17</v>
      </c>
      <c r="S44" s="774">
        <f t="shared" si="12"/>
        <v>100</v>
      </c>
      <c r="T44" s="773" t="s">
        <v>17</v>
      </c>
      <c r="U44" s="774">
        <f t="shared" si="13"/>
        <v>100</v>
      </c>
      <c r="V44" s="773" t="s">
        <v>17</v>
      </c>
      <c r="W44" s="774">
        <f t="shared" si="14"/>
        <v>100</v>
      </c>
      <c r="X44" s="1814"/>
      <c r="Y44" s="3236"/>
      <c r="Z44" s="1815" t="str">
        <f t="shared" si="15"/>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9"/>
      <c r="Q45" s="1796">
        <f t="shared" si="11"/>
        <v>111</v>
      </c>
      <c r="R45" s="769" t="s">
        <v>17</v>
      </c>
      <c r="S45" s="770">
        <f t="shared" si="12"/>
        <v>100</v>
      </c>
      <c r="T45" s="769" t="s">
        <v>17</v>
      </c>
      <c r="U45" s="770">
        <f t="shared" si="13"/>
        <v>100</v>
      </c>
      <c r="V45" s="769" t="s">
        <v>17</v>
      </c>
      <c r="W45" s="770">
        <f t="shared" si="14"/>
        <v>100</v>
      </c>
      <c r="X45" s="771"/>
      <c r="Y45" s="3236"/>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9"/>
      <c r="Q46" s="1811">
        <f t="shared" si="11"/>
        <v>111</v>
      </c>
      <c r="R46" s="773" t="s">
        <v>17</v>
      </c>
      <c r="S46" s="774">
        <f t="shared" si="12"/>
        <v>100</v>
      </c>
      <c r="T46" s="773" t="s">
        <v>17</v>
      </c>
      <c r="U46" s="774">
        <f t="shared" si="13"/>
        <v>100</v>
      </c>
      <c r="V46" s="773" t="s">
        <v>17</v>
      </c>
      <c r="W46" s="774">
        <f t="shared" si="14"/>
        <v>100</v>
      </c>
      <c r="X46" s="1814"/>
      <c r="Y46" s="3236"/>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0"/>
      <c r="Q47" s="1811">
        <f t="shared" si="11"/>
        <v>111</v>
      </c>
      <c r="R47" s="773" t="s">
        <v>17</v>
      </c>
      <c r="S47" s="774">
        <f t="shared" si="12"/>
        <v>100</v>
      </c>
      <c r="T47" s="773" t="s">
        <v>17</v>
      </c>
      <c r="U47" s="774">
        <f t="shared" si="13"/>
        <v>100</v>
      </c>
      <c r="V47" s="773" t="s">
        <v>17</v>
      </c>
      <c r="W47" s="774">
        <f t="shared" si="14"/>
        <v>100</v>
      </c>
      <c r="X47" s="1814"/>
      <c r="Y47" s="3251"/>
      <c r="Z47" s="1815">
        <f t="shared" si="15"/>
        <v>111</v>
      </c>
      <c r="AA47" s="1812">
        <f t="shared" si="3"/>
        <v>1</v>
      </c>
      <c r="AB47" s="1812">
        <f t="shared" si="4"/>
        <v>1</v>
      </c>
      <c r="AC47" s="2671">
        <f t="shared" si="5"/>
        <v>1</v>
      </c>
    </row>
    <row r="48" spans="1:29" ht="15">
      <c r="A48" s="479" t="s">
        <v>2574</v>
      </c>
      <c r="B48" s="480"/>
      <c r="C48" s="1409" t="s">
        <v>1</v>
      </c>
      <c r="D48" s="1410"/>
      <c r="E48" s="1411"/>
      <c r="F48" s="1412"/>
      <c r="G48" s="1413"/>
      <c r="H48" s="1414"/>
      <c r="I48" s="1411"/>
      <c r="J48" s="485"/>
      <c r="K48" s="782"/>
      <c r="L48" s="1145"/>
      <c r="M48" s="1133"/>
      <c r="N48" s="1133"/>
      <c r="O48" s="1133"/>
      <c r="P48" s="3242" t="str">
        <f>A48</f>
        <v>成交单价（元/平方米）</v>
      </c>
      <c r="Q48" s="3218"/>
      <c r="R48" s="3247">
        <f>E48</f>
        <v>0</v>
      </c>
      <c r="S48" s="3247"/>
      <c r="T48" s="3247">
        <f>G48</f>
        <v>0</v>
      </c>
      <c r="U48" s="3247"/>
      <c r="V48" s="3247">
        <f>I48</f>
        <v>0</v>
      </c>
      <c r="W48" s="3247"/>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42" t="str">
        <f>A49</f>
        <v>比较价值（元/平方米）</v>
      </c>
      <c r="Q49" s="3218"/>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293" t="str">
        <f>A50</f>
        <v>估价对象XX用房的比较价值（楼面单价，元/平方米）</v>
      </c>
      <c r="Q50" s="3294"/>
      <c r="R50" s="3295" t="e">
        <f>IF(F1="售价",ROUND(AVERAGE(R49:V49),0),ROUND(AVERAGE(R49:V49),1))</f>
        <v>#DIV/0!</v>
      </c>
      <c r="S50" s="3295"/>
      <c r="T50" s="3295"/>
      <c r="U50" s="3295"/>
      <c r="V50" s="3295"/>
      <c r="W50" s="3295"/>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78"/>
      <c r="Q58" s="504"/>
    </row>
    <row r="59" spans="1:29" s="508" customFormat="1" ht="15">
      <c r="A59" s="505" t="s">
        <v>2545</v>
      </c>
      <c r="B59" s="506"/>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2585</v>
      </c>
      <c r="B64" s="528" t="s">
        <v>2551</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2696</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2560</v>
      </c>
      <c r="B101" s="528" t="s">
        <v>2609</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2611</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2613</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2614</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2615</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2698</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2617</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2699</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IF(C2="——",ROUND(C43*D3/10000,0),ROUND(C43*D3/10000,0)-D2)</f>
        <v>#DIV/0!</v>
      </c>
      <c r="C2" s="2583"/>
      <c r="D2" s="1126"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2328</v>
      </c>
      <c r="B3" s="609" t="e">
        <f ca="1">IF(C2="——",C43,ROUND(B2*10000/D3,0))</f>
        <v>#DIV/0!</v>
      </c>
      <c r="C3" s="400" t="s">
        <v>2641</v>
      </c>
      <c r="D3" s="399">
        <f>IF(D1="",'数据-汇总表'!E3,SUMIF('数据-汇总表'!$C19:$C33,D1,'数据-汇总表'!$E19:$E33))</f>
        <v>31541.359999999997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19" t="s">
        <v>2643</v>
      </c>
      <c r="D4" s="3220"/>
      <c r="E4" s="3221" t="s">
        <v>2644</v>
      </c>
      <c r="F4" s="3222"/>
      <c r="G4" s="3219" t="s">
        <v>2645</v>
      </c>
      <c r="H4" s="3220"/>
      <c r="I4" s="3219" t="s">
        <v>2646</v>
      </c>
      <c r="J4" s="3220"/>
      <c r="K4" s="610" t="s">
        <v>2647</v>
      </c>
      <c r="L4" s="1132"/>
      <c r="M4" s="1133"/>
      <c r="N4" s="1133"/>
      <c r="O4" s="1133"/>
      <c r="P4" s="3223" t="s">
        <v>2648</v>
      </c>
      <c r="Q4" s="3224"/>
      <c r="R4" s="3206" t="s">
        <v>2644</v>
      </c>
      <c r="S4" s="3207"/>
      <c r="T4" s="3206" t="s">
        <v>2645</v>
      </c>
      <c r="U4" s="3207"/>
      <c r="V4" s="3231" t="s">
        <v>2646</v>
      </c>
      <c r="W4" s="3231"/>
      <c r="X4" s="1814"/>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2"/>
      <c r="M5" s="1133"/>
      <c r="N5" s="1133"/>
      <c r="O5" s="1133"/>
      <c r="P5" s="3225"/>
      <c r="Q5" s="3226"/>
      <c r="R5" s="3208"/>
      <c r="S5" s="3209"/>
      <c r="T5" s="3208"/>
      <c r="U5" s="3209"/>
      <c r="V5" s="3231"/>
      <c r="W5" s="3231"/>
      <c r="X5" s="1814"/>
      <c r="Y5" s="3208"/>
      <c r="Z5" s="3209"/>
      <c r="AA5" s="3202"/>
      <c r="AB5" s="3202"/>
      <c r="AC5" s="3202"/>
    </row>
    <row r="6" spans="1:29" ht="15.75" thickBot="1">
      <c r="A6" s="406"/>
      <c r="B6" s="407"/>
      <c r="C6" s="3214" t="s">
        <v>2543</v>
      </c>
      <c r="D6" s="3215"/>
      <c r="E6" s="3216" t="s">
        <v>2543</v>
      </c>
      <c r="F6" s="3217"/>
      <c r="G6" s="3214" t="s">
        <v>2543</v>
      </c>
      <c r="H6" s="3215"/>
      <c r="I6" s="3214" t="s">
        <v>2543</v>
      </c>
      <c r="J6" s="3215"/>
      <c r="K6" s="610" t="s">
        <v>2544</v>
      </c>
      <c r="L6" s="1132"/>
      <c r="M6" s="1133"/>
      <c r="N6" s="1133"/>
      <c r="O6" s="1133"/>
      <c r="P6" s="3227"/>
      <c r="Q6" s="3228"/>
      <c r="R6" s="3208"/>
      <c r="S6" s="3209"/>
      <c r="T6" s="3229"/>
      <c r="U6" s="3230"/>
      <c r="V6" s="3231"/>
      <c r="W6" s="3231"/>
      <c r="X6" s="1814"/>
      <c r="Y6" s="3229"/>
      <c r="Z6" s="3230"/>
      <c r="AA6" s="3203"/>
      <c r="AB6" s="3203"/>
      <c r="AC6" s="3203"/>
    </row>
    <row r="7" spans="1:29" s="117" customFormat="1" ht="15.75" thickBot="1">
      <c r="A7" s="408" t="s">
        <v>2545</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4" t="s">
        <v>2546</v>
      </c>
      <c r="Q7" s="3232"/>
      <c r="R7" s="769" t="s">
        <v>17</v>
      </c>
      <c r="S7" s="770">
        <f t="shared" ref="S7:S15" si="0">F7</f>
        <v>0</v>
      </c>
      <c r="T7" s="769" t="s">
        <v>17</v>
      </c>
      <c r="U7" s="770">
        <f t="shared" ref="U7:U15" si="1">H7</f>
        <v>0</v>
      </c>
      <c r="V7" s="769" t="s">
        <v>17</v>
      </c>
      <c r="W7" s="770">
        <f t="shared" ref="W7:W15" si="2">J7</f>
        <v>0</v>
      </c>
      <c r="X7" s="771"/>
      <c r="Y7" s="3204" t="s">
        <v>2546</v>
      </c>
      <c r="Z7" s="3205"/>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4" t="s">
        <v>2549</v>
      </c>
      <c r="Q8" s="3205"/>
      <c r="R8" s="769" t="s">
        <v>17</v>
      </c>
      <c r="S8" s="770">
        <f t="shared" si="0"/>
        <v>0</v>
      </c>
      <c r="T8" s="769" t="s">
        <v>17</v>
      </c>
      <c r="U8" s="770">
        <f t="shared" si="1"/>
        <v>0</v>
      </c>
      <c r="V8" s="769" t="s">
        <v>17</v>
      </c>
      <c r="W8" s="770">
        <f t="shared" si="2"/>
        <v>0</v>
      </c>
      <c r="X8" s="771"/>
      <c r="Y8" s="3204" t="s">
        <v>2549</v>
      </c>
      <c r="Z8" s="3205"/>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8" t="s">
        <v>2552</v>
      </c>
      <c r="Q9" s="1796"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8"/>
      <c r="Q10" s="1796"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8"/>
      <c r="Q11" s="1796"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8"/>
      <c r="Q12" s="1796">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8"/>
      <c r="Q13" s="1796">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8"/>
      <c r="Q14" s="1796">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3" t="s">
        <v>2557</v>
      </c>
      <c r="Q15" s="1811" t="str">
        <f t="shared" si="6"/>
        <v>产业集聚程度</v>
      </c>
      <c r="R15" s="773" t="s">
        <v>17</v>
      </c>
      <c r="S15" s="774">
        <f t="shared" si="0"/>
        <v>100</v>
      </c>
      <c r="T15" s="773" t="s">
        <v>17</v>
      </c>
      <c r="U15" s="774">
        <f t="shared" si="1"/>
        <v>100</v>
      </c>
      <c r="V15" s="773" t="s">
        <v>17</v>
      </c>
      <c r="W15" s="774">
        <f t="shared" si="2"/>
        <v>100</v>
      </c>
      <c r="X15" s="1814"/>
      <c r="Y15" s="3233"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34"/>
      <c r="Q16" s="1811"/>
      <c r="R16" s="773"/>
      <c r="S16" s="774"/>
      <c r="T16" s="773"/>
      <c r="U16" s="774"/>
      <c r="V16" s="773"/>
      <c r="W16" s="774"/>
      <c r="X16" s="1814"/>
      <c r="Y16" s="3234"/>
      <c r="Z16" s="1815"/>
      <c r="AA16" s="1812">
        <v>1</v>
      </c>
      <c r="AB16" s="1812">
        <v>1</v>
      </c>
      <c r="AC16" s="1812">
        <v>1</v>
      </c>
    </row>
    <row r="17" spans="1:29" ht="85.5">
      <c r="A17" s="428"/>
      <c r="B17" s="451" t="s">
        <v>2096</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4"/>
      <c r="Q17" s="1811" t="str">
        <f>B17</f>
        <v>交通便捷度</v>
      </c>
      <c r="R17" s="773" t="s">
        <v>17</v>
      </c>
      <c r="S17" s="774">
        <f>F17</f>
        <v>100</v>
      </c>
      <c r="T17" s="773" t="s">
        <v>17</v>
      </c>
      <c r="U17" s="774">
        <f>H17</f>
        <v>100</v>
      </c>
      <c r="V17" s="773" t="s">
        <v>17</v>
      </c>
      <c r="W17" s="774">
        <f>J17</f>
        <v>100</v>
      </c>
      <c r="X17" s="1814"/>
      <c r="Y17" s="3234"/>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34"/>
      <c r="Q18" s="1811"/>
      <c r="R18" s="773"/>
      <c r="S18" s="774"/>
      <c r="T18" s="773"/>
      <c r="U18" s="774"/>
      <c r="V18" s="773"/>
      <c r="W18" s="774"/>
      <c r="X18" s="1814"/>
      <c r="Y18" s="3234"/>
      <c r="Z18" s="1815"/>
      <c r="AA18" s="1812">
        <v>1</v>
      </c>
      <c r="AB18" s="1812">
        <v>1</v>
      </c>
      <c r="AC18" s="1812">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4"/>
      <c r="Q19" s="1811" t="str">
        <f>B19</f>
        <v>公共配套设施</v>
      </c>
      <c r="R19" s="773" t="s">
        <v>17</v>
      </c>
      <c r="S19" s="774">
        <f>F19</f>
        <v>100</v>
      </c>
      <c r="T19" s="773" t="s">
        <v>17</v>
      </c>
      <c r="U19" s="774">
        <f>H19</f>
        <v>100</v>
      </c>
      <c r="V19" s="773" t="s">
        <v>17</v>
      </c>
      <c r="W19" s="774">
        <f>J19</f>
        <v>100</v>
      </c>
      <c r="X19" s="1814"/>
      <c r="Y19" s="3234"/>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34"/>
      <c r="Q20" s="1811"/>
      <c r="R20" s="773"/>
      <c r="S20" s="774"/>
      <c r="T20" s="773"/>
      <c r="U20" s="774"/>
      <c r="V20" s="773"/>
      <c r="W20" s="774"/>
      <c r="X20" s="1814"/>
      <c r="Y20" s="3234"/>
      <c r="Z20" s="1815"/>
      <c r="AA20" s="1812">
        <v>1</v>
      </c>
      <c r="AB20" s="1812">
        <v>1</v>
      </c>
      <c r="AC20" s="1812">
        <v>1</v>
      </c>
    </row>
    <row r="21" spans="1:29" ht="28.5">
      <c r="A21" s="428"/>
      <c r="B21" s="1386"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4"/>
      <c r="Q21" s="1811" t="str">
        <f>B21</f>
        <v>基础设施水平</v>
      </c>
      <c r="R21" s="773" t="s">
        <v>17</v>
      </c>
      <c r="S21" s="774">
        <f>F21</f>
        <v>100</v>
      </c>
      <c r="T21" s="773" t="s">
        <v>17</v>
      </c>
      <c r="U21" s="774">
        <f>H21</f>
        <v>100</v>
      </c>
      <c r="V21" s="773" t="s">
        <v>17</v>
      </c>
      <c r="W21" s="774">
        <f>J21</f>
        <v>100</v>
      </c>
      <c r="X21" s="1814"/>
      <c r="Y21" s="3234"/>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41"/>
      <c r="P22" s="3234"/>
      <c r="Q22" s="1811"/>
      <c r="R22" s="773"/>
      <c r="S22" s="774"/>
      <c r="T22" s="773"/>
      <c r="U22" s="774"/>
      <c r="V22" s="773"/>
      <c r="W22" s="774"/>
      <c r="X22" s="1814"/>
      <c r="Y22" s="3234"/>
      <c r="Z22" s="1815"/>
      <c r="AA22" s="1812">
        <v>1</v>
      </c>
      <c r="AB22" s="1812">
        <v>1</v>
      </c>
      <c r="AC22" s="1812">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4"/>
      <c r="Q23" s="1811" t="str">
        <f>B23</f>
        <v>环境质量</v>
      </c>
      <c r="R23" s="773" t="s">
        <v>17</v>
      </c>
      <c r="S23" s="774">
        <f>F23</f>
        <v>100</v>
      </c>
      <c r="T23" s="773" t="s">
        <v>17</v>
      </c>
      <c r="U23" s="774">
        <f>H23</f>
        <v>100</v>
      </c>
      <c r="V23" s="773" t="s">
        <v>17</v>
      </c>
      <c r="W23" s="774">
        <f>J23</f>
        <v>100</v>
      </c>
      <c r="X23" s="1814"/>
      <c r="Y23" s="3234"/>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34"/>
      <c r="Q24" s="1811"/>
      <c r="R24" s="773"/>
      <c r="S24" s="774"/>
      <c r="T24" s="773"/>
      <c r="U24" s="774"/>
      <c r="V24" s="773"/>
      <c r="W24" s="774"/>
      <c r="X24" s="1814"/>
      <c r="Y24" s="3234"/>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4"/>
      <c r="Q25" s="1811">
        <f>B25</f>
        <v>111</v>
      </c>
      <c r="R25" s="773" t="s">
        <v>17</v>
      </c>
      <c r="S25" s="774">
        <f>F25</f>
        <v>100</v>
      </c>
      <c r="T25" s="773" t="s">
        <v>17</v>
      </c>
      <c r="U25" s="774">
        <f>H25</f>
        <v>100</v>
      </c>
      <c r="V25" s="773" t="s">
        <v>17</v>
      </c>
      <c r="W25" s="774">
        <f>J25</f>
        <v>100</v>
      </c>
      <c r="X25" s="1814"/>
      <c r="Y25" s="3234"/>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4"/>
      <c r="Q26" s="1811">
        <f t="shared" ref="Q26:Q40" si="11">B26</f>
        <v>111</v>
      </c>
      <c r="R26" s="773" t="s">
        <v>17</v>
      </c>
      <c r="S26" s="774">
        <f>F26</f>
        <v>100</v>
      </c>
      <c r="T26" s="773" t="s">
        <v>17</v>
      </c>
      <c r="U26" s="774">
        <f>H26</f>
        <v>100</v>
      </c>
      <c r="V26" s="773" t="s">
        <v>17</v>
      </c>
      <c r="W26" s="774">
        <f>J26</f>
        <v>100</v>
      </c>
      <c r="X26" s="1814"/>
      <c r="Y26" s="3234"/>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4"/>
      <c r="Q27" s="1796">
        <f t="shared" si="11"/>
        <v>111</v>
      </c>
      <c r="R27" s="769" t="s">
        <v>17</v>
      </c>
      <c r="S27" s="770">
        <f>F27</f>
        <v>100</v>
      </c>
      <c r="T27" s="769" t="s">
        <v>17</v>
      </c>
      <c r="U27" s="770">
        <f>H27</f>
        <v>100</v>
      </c>
      <c r="V27" s="769" t="s">
        <v>17</v>
      </c>
      <c r="W27" s="770">
        <f>J27</f>
        <v>100</v>
      </c>
      <c r="X27" s="771"/>
      <c r="Y27" s="3234"/>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4"/>
      <c r="Q28" s="1811">
        <f t="shared" si="11"/>
        <v>111</v>
      </c>
      <c r="R28" s="773" t="s">
        <v>17</v>
      </c>
      <c r="S28" s="774">
        <f t="shared" ref="S28:S40" si="12">F28</f>
        <v>100</v>
      </c>
      <c r="T28" s="773" t="s">
        <v>17</v>
      </c>
      <c r="U28" s="774">
        <f t="shared" ref="U28:U40" si="13">H28</f>
        <v>100</v>
      </c>
      <c r="V28" s="773" t="s">
        <v>17</v>
      </c>
      <c r="W28" s="774">
        <f t="shared" ref="W28:W40" si="14">J28</f>
        <v>100</v>
      </c>
      <c r="X28" s="1814"/>
      <c r="Y28" s="3234"/>
      <c r="Z28" s="1815">
        <f t="shared" ref="Z28:Z40" si="15">Q28</f>
        <v>111</v>
      </c>
      <c r="AA28" s="1812">
        <f t="shared" si="3"/>
        <v>1</v>
      </c>
      <c r="AB28" s="1812">
        <f t="shared" si="4"/>
        <v>1</v>
      </c>
      <c r="AC28" s="1812">
        <f t="shared" si="5"/>
        <v>1</v>
      </c>
    </row>
    <row r="29" spans="1:29" ht="1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35" t="s">
        <v>2562</v>
      </c>
      <c r="Q29" s="1811" t="str">
        <f t="shared" si="11"/>
        <v>建筑类型</v>
      </c>
      <c r="R29" s="773" t="s">
        <v>17</v>
      </c>
      <c r="S29" s="774">
        <f t="shared" si="12"/>
        <v>100</v>
      </c>
      <c r="T29" s="773" t="s">
        <v>17</v>
      </c>
      <c r="U29" s="774">
        <f t="shared" si="13"/>
        <v>100</v>
      </c>
      <c r="V29" s="773" t="s">
        <v>17</v>
      </c>
      <c r="W29" s="774">
        <f t="shared" si="14"/>
        <v>100</v>
      </c>
      <c r="X29" s="1814"/>
      <c r="Y29" s="3236"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6"/>
      <c r="Q30" s="775" t="str">
        <f t="shared" si="11"/>
        <v>项目建筑规模</v>
      </c>
      <c r="R30" s="776" t="s">
        <v>17</v>
      </c>
      <c r="S30" s="777" t="e">
        <f t="shared" si="12"/>
        <v>#N/A</v>
      </c>
      <c r="T30" s="776" t="s">
        <v>17</v>
      </c>
      <c r="U30" s="777" t="e">
        <f t="shared" si="13"/>
        <v>#N/A</v>
      </c>
      <c r="V30" s="776" t="s">
        <v>17</v>
      </c>
      <c r="W30" s="777" t="e">
        <f t="shared" si="14"/>
        <v>#N/A</v>
      </c>
      <c r="X30" s="778"/>
      <c r="Y30" s="3236"/>
      <c r="Z30" s="779"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6"/>
      <c r="Q31" s="1811" t="str">
        <f t="shared" si="11"/>
        <v>建筑结构</v>
      </c>
      <c r="R31" s="773" t="s">
        <v>17</v>
      </c>
      <c r="S31" s="774">
        <f t="shared" si="12"/>
        <v>100</v>
      </c>
      <c r="T31" s="773" t="s">
        <v>17</v>
      </c>
      <c r="U31" s="774">
        <f t="shared" si="13"/>
        <v>100</v>
      </c>
      <c r="V31" s="773" t="s">
        <v>17</v>
      </c>
      <c r="W31" s="774">
        <f t="shared" si="14"/>
        <v>100</v>
      </c>
      <c r="X31" s="1814"/>
      <c r="Y31" s="3236"/>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6"/>
      <c r="Q32" s="1811" t="str">
        <f t="shared" si="11"/>
        <v>公共部分装修</v>
      </c>
      <c r="R32" s="773" t="s">
        <v>17</v>
      </c>
      <c r="S32" s="774">
        <f t="shared" si="12"/>
        <v>100</v>
      </c>
      <c r="T32" s="773" t="s">
        <v>17</v>
      </c>
      <c r="U32" s="774">
        <f t="shared" si="13"/>
        <v>100</v>
      </c>
      <c r="V32" s="773" t="s">
        <v>17</v>
      </c>
      <c r="W32" s="774">
        <f t="shared" si="14"/>
        <v>100</v>
      </c>
      <c r="X32" s="1814"/>
      <c r="Y32" s="3236"/>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6"/>
      <c r="Q33" s="1811" t="str">
        <f t="shared" si="11"/>
        <v>成新度</v>
      </c>
      <c r="R33" s="773" t="s">
        <v>17</v>
      </c>
      <c r="S33" s="774" t="e">
        <f t="shared" si="12"/>
        <v>#N/A</v>
      </c>
      <c r="T33" s="773" t="s">
        <v>17</v>
      </c>
      <c r="U33" s="774" t="e">
        <f t="shared" si="13"/>
        <v>#N/A</v>
      </c>
      <c r="V33" s="773" t="s">
        <v>17</v>
      </c>
      <c r="W33" s="774" t="e">
        <f t="shared" si="14"/>
        <v>#N/A</v>
      </c>
      <c r="X33" s="1814"/>
      <c r="Y33" s="3236"/>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6"/>
      <c r="Q34" s="1796" t="str">
        <f t="shared" si="11"/>
        <v>物业管理</v>
      </c>
      <c r="R34" s="769" t="s">
        <v>17</v>
      </c>
      <c r="S34" s="770">
        <f t="shared" si="12"/>
        <v>100</v>
      </c>
      <c r="T34" s="769" t="s">
        <v>17</v>
      </c>
      <c r="U34" s="770">
        <f t="shared" si="13"/>
        <v>100</v>
      </c>
      <c r="V34" s="769" t="s">
        <v>17</v>
      </c>
      <c r="W34" s="770">
        <f t="shared" si="14"/>
        <v>100</v>
      </c>
      <c r="X34" s="771"/>
      <c r="Y34" s="3236"/>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6" t="s">
        <v>2562</v>
      </c>
      <c r="Q35" s="1811" t="str">
        <f t="shared" si="11"/>
        <v>市政基础设施</v>
      </c>
      <c r="R35" s="773" t="s">
        <v>17</v>
      </c>
      <c r="S35" s="774">
        <f t="shared" si="12"/>
        <v>100</v>
      </c>
      <c r="T35" s="773" t="s">
        <v>17</v>
      </c>
      <c r="U35" s="774">
        <f t="shared" si="13"/>
        <v>100</v>
      </c>
      <c r="V35" s="773" t="s">
        <v>17</v>
      </c>
      <c r="W35" s="774">
        <f t="shared" si="14"/>
        <v>100</v>
      </c>
      <c r="X35" s="1814"/>
      <c r="Y35" s="3236"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6"/>
      <c r="Q36" s="1811" t="str">
        <f t="shared" si="11"/>
        <v>内部装修</v>
      </c>
      <c r="R36" s="773" t="s">
        <v>17</v>
      </c>
      <c r="S36" s="774">
        <f t="shared" si="12"/>
        <v>100</v>
      </c>
      <c r="T36" s="773" t="s">
        <v>17</v>
      </c>
      <c r="U36" s="774">
        <f t="shared" si="13"/>
        <v>100</v>
      </c>
      <c r="V36" s="773" t="s">
        <v>17</v>
      </c>
      <c r="W36" s="774">
        <f t="shared" si="14"/>
        <v>100</v>
      </c>
      <c r="X36" s="1814"/>
      <c r="Y36" s="3236"/>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6"/>
      <c r="Q37" s="1811" t="str">
        <f t="shared" si="11"/>
        <v>内部装修状况</v>
      </c>
      <c r="R37" s="773" t="s">
        <v>17</v>
      </c>
      <c r="S37" s="774">
        <f t="shared" si="12"/>
        <v>100</v>
      </c>
      <c r="T37" s="773" t="s">
        <v>17</v>
      </c>
      <c r="U37" s="774">
        <f t="shared" si="13"/>
        <v>100</v>
      </c>
      <c r="V37" s="773" t="s">
        <v>17</v>
      </c>
      <c r="W37" s="774">
        <f t="shared" si="14"/>
        <v>100</v>
      </c>
      <c r="X37" s="1814"/>
      <c r="Y37" s="3236"/>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6"/>
      <c r="Q38" s="775">
        <f t="shared" si="11"/>
        <v>111</v>
      </c>
      <c r="R38" s="776" t="s">
        <v>17</v>
      </c>
      <c r="S38" s="777">
        <f t="shared" si="12"/>
        <v>100</v>
      </c>
      <c r="T38" s="776" t="s">
        <v>17</v>
      </c>
      <c r="U38" s="777">
        <f t="shared" si="13"/>
        <v>100</v>
      </c>
      <c r="V38" s="776" t="s">
        <v>17</v>
      </c>
      <c r="W38" s="777">
        <f t="shared" si="14"/>
        <v>100</v>
      </c>
      <c r="X38" s="778"/>
      <c r="Y38" s="3236"/>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6"/>
      <c r="Q39" s="1811">
        <f t="shared" si="11"/>
        <v>111</v>
      </c>
      <c r="R39" s="773" t="s">
        <v>17</v>
      </c>
      <c r="S39" s="774">
        <f t="shared" si="12"/>
        <v>100</v>
      </c>
      <c r="T39" s="773" t="s">
        <v>17</v>
      </c>
      <c r="U39" s="774">
        <f t="shared" si="13"/>
        <v>100</v>
      </c>
      <c r="V39" s="773" t="s">
        <v>17</v>
      </c>
      <c r="W39" s="774">
        <f t="shared" si="14"/>
        <v>100</v>
      </c>
      <c r="X39" s="1814"/>
      <c r="Y39" s="3236"/>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1"/>
      <c r="Q40" s="1811">
        <f t="shared" si="11"/>
        <v>111</v>
      </c>
      <c r="R40" s="773" t="s">
        <v>17</v>
      </c>
      <c r="S40" s="774">
        <f t="shared" si="12"/>
        <v>100</v>
      </c>
      <c r="T40" s="773" t="s">
        <v>17</v>
      </c>
      <c r="U40" s="774">
        <f t="shared" si="13"/>
        <v>100</v>
      </c>
      <c r="V40" s="773" t="s">
        <v>17</v>
      </c>
      <c r="W40" s="774">
        <f t="shared" si="14"/>
        <v>100</v>
      </c>
      <c r="X40" s="1814"/>
      <c r="Y40" s="3251"/>
      <c r="Z40" s="1815">
        <f t="shared" si="15"/>
        <v>111</v>
      </c>
      <c r="AA40" s="1812">
        <f t="shared" si="3"/>
        <v>1</v>
      </c>
      <c r="AB40" s="1812">
        <f t="shared" si="4"/>
        <v>1</v>
      </c>
      <c r="AC40" s="1812">
        <f t="shared" si="5"/>
        <v>1</v>
      </c>
    </row>
    <row r="41" spans="1:29" ht="15">
      <c r="A41" s="479" t="s">
        <v>2574</v>
      </c>
      <c r="B41" s="480"/>
      <c r="C41" s="1409" t="s">
        <v>1</v>
      </c>
      <c r="D41" s="1410"/>
      <c r="E41" s="1411"/>
      <c r="F41" s="1412"/>
      <c r="G41" s="1413"/>
      <c r="H41" s="1414"/>
      <c r="I41" s="1411"/>
      <c r="J41" s="1414"/>
      <c r="K41" s="782"/>
      <c r="L41" s="1145"/>
      <c r="M41" s="1146"/>
      <c r="N41" s="1133"/>
      <c r="O41" s="1146"/>
      <c r="P41" s="3218" t="str">
        <f>A41</f>
        <v>成交单价（元/平方米）</v>
      </c>
      <c r="Q41" s="3218"/>
      <c r="R41" s="3247">
        <f>E41</f>
        <v>0</v>
      </c>
      <c r="S41" s="3247"/>
      <c r="T41" s="3247">
        <f>G41</f>
        <v>0</v>
      </c>
      <c r="U41" s="3247"/>
      <c r="V41" s="3247">
        <f>I41</f>
        <v>0</v>
      </c>
      <c r="W41" s="3247"/>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18" t="str">
        <f>A42</f>
        <v>比较价值（元/平方米）</v>
      </c>
      <c r="Q42" s="3218"/>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38" t="str">
        <f>A43</f>
        <v>估价对象XX用房的比较价值（楼面单价，元/平方米）</v>
      </c>
      <c r="Q43" s="3239"/>
      <c r="R43" s="3246" t="e">
        <f>IF(F1="售价",ROUND(AVERAGE(R42:V42),0),ROUND(AVERAGE(R42:V42),1))</f>
        <v>#DIV/0!</v>
      </c>
      <c r="S43" s="3246"/>
      <c r="T43" s="3246"/>
      <c r="U43" s="3246"/>
      <c r="V43" s="3246"/>
      <c r="W43" s="324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1"/>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2326</v>
      </c>
      <c r="B2" s="1420" t="e">
        <f ca="1">IF(C2="——",IF(B37="元/平方米",ROUND(C39*D3/10000,0),ROUND(F3*C39/10000,0)),IF(B37="元/平方米",ROUND(C39*D3/10000,0),ROUND(F3*C39/10000,0))-D2)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2328</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19" t="s">
        <v>2643</v>
      </c>
      <c r="D4" s="3220"/>
      <c r="E4" s="3221" t="s">
        <v>2644</v>
      </c>
      <c r="F4" s="3222"/>
      <c r="G4" s="3219" t="s">
        <v>2645</v>
      </c>
      <c r="H4" s="3220"/>
      <c r="I4" s="3219" t="s">
        <v>2646</v>
      </c>
      <c r="J4" s="3220"/>
      <c r="K4" s="610" t="s">
        <v>2647</v>
      </c>
      <c r="L4" s="1132"/>
      <c r="M4" s="1133"/>
      <c r="N4" s="1133"/>
      <c r="O4" s="1133"/>
      <c r="P4" s="3223" t="s">
        <v>2648</v>
      </c>
      <c r="Q4" s="3224"/>
      <c r="R4" s="3206" t="s">
        <v>2644</v>
      </c>
      <c r="S4" s="3207"/>
      <c r="T4" s="3206" t="s">
        <v>2645</v>
      </c>
      <c r="U4" s="3207"/>
      <c r="V4" s="3231" t="s">
        <v>2646</v>
      </c>
      <c r="W4" s="3231"/>
      <c r="X4" s="1814"/>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2"/>
      <c r="M5" s="1133"/>
      <c r="N5" s="1133"/>
      <c r="O5" s="1133"/>
      <c r="P5" s="3225"/>
      <c r="Q5" s="3226"/>
      <c r="R5" s="3208"/>
      <c r="S5" s="3209"/>
      <c r="T5" s="3208"/>
      <c r="U5" s="3209"/>
      <c r="V5" s="3231"/>
      <c r="W5" s="3231"/>
      <c r="X5" s="1814"/>
      <c r="Y5" s="3208"/>
      <c r="Z5" s="3209"/>
      <c r="AA5" s="3202"/>
      <c r="AB5" s="3202"/>
      <c r="AC5" s="3202"/>
    </row>
    <row r="6" spans="1:29" ht="15.75" thickBot="1">
      <c r="A6" s="406"/>
      <c r="B6" s="407"/>
      <c r="C6" s="3214" t="s">
        <v>2543</v>
      </c>
      <c r="D6" s="3215"/>
      <c r="E6" s="3216" t="s">
        <v>2543</v>
      </c>
      <c r="F6" s="3217"/>
      <c r="G6" s="3214" t="s">
        <v>2543</v>
      </c>
      <c r="H6" s="3215"/>
      <c r="I6" s="3214" t="s">
        <v>2543</v>
      </c>
      <c r="J6" s="3215"/>
      <c r="K6" s="610" t="s">
        <v>2544</v>
      </c>
      <c r="L6" s="1132"/>
      <c r="M6" s="1133"/>
      <c r="N6" s="1133"/>
      <c r="O6" s="1133"/>
      <c r="P6" s="3227"/>
      <c r="Q6" s="3228"/>
      <c r="R6" s="3208"/>
      <c r="S6" s="3209"/>
      <c r="T6" s="3229"/>
      <c r="U6" s="3230"/>
      <c r="V6" s="3231"/>
      <c r="W6" s="3231"/>
      <c r="X6" s="1814"/>
      <c r="Y6" s="3229"/>
      <c r="Z6" s="3230"/>
      <c r="AA6" s="3203"/>
      <c r="AB6" s="3203"/>
      <c r="AC6" s="3203"/>
    </row>
    <row r="7" spans="1:29" s="117" customFormat="1" ht="15.75" thickBot="1">
      <c r="A7" s="408" t="s">
        <v>2545</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4" t="s">
        <v>2546</v>
      </c>
      <c r="Q7" s="3232"/>
      <c r="R7" s="769" t="s">
        <v>17</v>
      </c>
      <c r="S7" s="770">
        <f t="shared" ref="S7:S14" si="0">F7</f>
        <v>0</v>
      </c>
      <c r="T7" s="769" t="s">
        <v>17</v>
      </c>
      <c r="U7" s="770">
        <f t="shared" ref="U7:U14" si="1">H7</f>
        <v>0</v>
      </c>
      <c r="V7" s="769" t="s">
        <v>17</v>
      </c>
      <c r="W7" s="770">
        <f t="shared" ref="W7:W14" si="2">J7</f>
        <v>0</v>
      </c>
      <c r="X7" s="771"/>
      <c r="Y7" s="3204" t="s">
        <v>2546</v>
      </c>
      <c r="Z7" s="3205"/>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4" t="s">
        <v>2549</v>
      </c>
      <c r="Q8" s="3205"/>
      <c r="R8" s="769" t="s">
        <v>17</v>
      </c>
      <c r="S8" s="770">
        <f t="shared" si="0"/>
        <v>0</v>
      </c>
      <c r="T8" s="769" t="s">
        <v>17</v>
      </c>
      <c r="U8" s="770">
        <f t="shared" si="1"/>
        <v>0</v>
      </c>
      <c r="V8" s="769" t="s">
        <v>17</v>
      </c>
      <c r="W8" s="770">
        <f t="shared" si="2"/>
        <v>0</v>
      </c>
      <c r="X8" s="771"/>
      <c r="Y8" s="3204" t="s">
        <v>2549</v>
      </c>
      <c r="Z8" s="3205"/>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8" t="s">
        <v>2552</v>
      </c>
      <c r="Q9" s="1796" t="str">
        <f t="shared" ref="Q9:Q14" si="6">B9</f>
        <v>用途</v>
      </c>
      <c r="R9" s="769" t="s">
        <v>17</v>
      </c>
      <c r="S9" s="770">
        <f t="shared" si="0"/>
        <v>100</v>
      </c>
      <c r="T9" s="769" t="s">
        <v>17</v>
      </c>
      <c r="U9" s="770">
        <f t="shared" si="1"/>
        <v>100</v>
      </c>
      <c r="V9" s="769" t="s">
        <v>17</v>
      </c>
      <c r="W9" s="770">
        <f t="shared" si="2"/>
        <v>100</v>
      </c>
      <c r="X9" s="771"/>
      <c r="Y9" s="3078"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8"/>
      <c r="Q10" s="1796"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8"/>
      <c r="Q11" s="1796">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8"/>
      <c r="Q12" s="1796">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8"/>
      <c r="Q13" s="1796">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99.75">
      <c r="A14" s="401" t="s">
        <v>2556</v>
      </c>
      <c r="B14" s="629" t="s">
        <v>2706</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33" t="s">
        <v>2557</v>
      </c>
      <c r="Q14" s="1811" t="str">
        <f t="shared" si="6"/>
        <v>交通便捷度</v>
      </c>
      <c r="R14" s="773" t="s">
        <v>17</v>
      </c>
      <c r="S14" s="774">
        <f t="shared" si="0"/>
        <v>100</v>
      </c>
      <c r="T14" s="773" t="s">
        <v>17</v>
      </c>
      <c r="U14" s="774">
        <f t="shared" si="1"/>
        <v>100</v>
      </c>
      <c r="V14" s="773" t="s">
        <v>17</v>
      </c>
      <c r="W14" s="774">
        <f t="shared" si="2"/>
        <v>100</v>
      </c>
      <c r="X14" s="1814"/>
      <c r="Y14" s="3233"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34"/>
      <c r="Q15" s="1811"/>
      <c r="R15" s="773"/>
      <c r="S15" s="774"/>
      <c r="T15" s="773"/>
      <c r="U15" s="774"/>
      <c r="V15" s="773"/>
      <c r="W15" s="774"/>
      <c r="X15" s="1814"/>
      <c r="Y15" s="3234"/>
      <c r="Z15" s="1815"/>
      <c r="AA15" s="1812">
        <v>1</v>
      </c>
      <c r="AB15" s="1812">
        <v>1</v>
      </c>
      <c r="AC15" s="1812">
        <v>1</v>
      </c>
    </row>
    <row r="16" spans="1:29" ht="42.75">
      <c r="A16" s="404"/>
      <c r="B16" s="631" t="s">
        <v>2685</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4"/>
      <c r="Q16" s="1811" t="str">
        <f>B16</f>
        <v>公共配套设施</v>
      </c>
      <c r="R16" s="773" t="s">
        <v>17</v>
      </c>
      <c r="S16" s="774">
        <f>F16</f>
        <v>100</v>
      </c>
      <c r="T16" s="773" t="s">
        <v>17</v>
      </c>
      <c r="U16" s="774">
        <f>H16</f>
        <v>100</v>
      </c>
      <c r="V16" s="773" t="s">
        <v>17</v>
      </c>
      <c r="W16" s="774">
        <f>J16</f>
        <v>100</v>
      </c>
      <c r="X16" s="1814"/>
      <c r="Y16" s="3234"/>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34"/>
      <c r="Q17" s="1811"/>
      <c r="R17" s="773"/>
      <c r="S17" s="774"/>
      <c r="T17" s="773"/>
      <c r="U17" s="774"/>
      <c r="V17" s="773"/>
      <c r="W17" s="774"/>
      <c r="X17" s="1814"/>
      <c r="Y17" s="3234"/>
      <c r="Z17" s="1815"/>
      <c r="AA17" s="1812">
        <v>1</v>
      </c>
      <c r="AB17" s="1812">
        <v>1</v>
      </c>
      <c r="AC17" s="1812">
        <v>1</v>
      </c>
    </row>
    <row r="18" spans="1:29" ht="42.75">
      <c r="A18" s="404"/>
      <c r="B18" s="633" t="s">
        <v>2686</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4"/>
      <c r="Q18" s="1811" t="str">
        <f>B18</f>
        <v>基础设施水平</v>
      </c>
      <c r="R18" s="773" t="s">
        <v>17</v>
      </c>
      <c r="S18" s="774">
        <f>F18</f>
        <v>100</v>
      </c>
      <c r="T18" s="773" t="s">
        <v>17</v>
      </c>
      <c r="U18" s="774">
        <f>H18</f>
        <v>100</v>
      </c>
      <c r="V18" s="773" t="s">
        <v>17</v>
      </c>
      <c r="W18" s="774">
        <f>J18</f>
        <v>100</v>
      </c>
      <c r="X18" s="1814"/>
      <c r="Y18" s="3234"/>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5"/>
      <c r="L19" s="1142"/>
      <c r="M19" s="1133"/>
      <c r="N19" s="1133"/>
      <c r="O19" s="1133"/>
      <c r="P19" s="3234"/>
      <c r="Q19" s="1811"/>
      <c r="R19" s="773"/>
      <c r="S19" s="774"/>
      <c r="T19" s="773"/>
      <c r="U19" s="774"/>
      <c r="V19" s="773"/>
      <c r="W19" s="774"/>
      <c r="X19" s="1814"/>
      <c r="Y19" s="3234"/>
      <c r="Z19" s="1815"/>
      <c r="AA19" s="1812">
        <v>1</v>
      </c>
      <c r="AB19" s="1812">
        <v>1</v>
      </c>
      <c r="AC19" s="1812">
        <v>1</v>
      </c>
    </row>
    <row r="20" spans="1:29" ht="99.75">
      <c r="A20" s="404"/>
      <c r="B20" s="631" t="s">
        <v>2707</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4"/>
      <c r="Q20" s="1811" t="str">
        <f>B20</f>
        <v>自然及人文环境</v>
      </c>
      <c r="R20" s="773" t="s">
        <v>17</v>
      </c>
      <c r="S20" s="774">
        <f>F20</f>
        <v>100</v>
      </c>
      <c r="T20" s="773" t="s">
        <v>17</v>
      </c>
      <c r="U20" s="774">
        <f>H20</f>
        <v>100</v>
      </c>
      <c r="V20" s="773" t="s">
        <v>17</v>
      </c>
      <c r="W20" s="774">
        <f>J20</f>
        <v>100</v>
      </c>
      <c r="X20" s="1814"/>
      <c r="Y20" s="3234"/>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34"/>
      <c r="Q21" s="1811"/>
      <c r="R21" s="773"/>
      <c r="S21" s="774"/>
      <c r="T21" s="773"/>
      <c r="U21" s="774"/>
      <c r="V21" s="773"/>
      <c r="W21" s="774"/>
      <c r="X21" s="1814"/>
      <c r="Y21" s="3234"/>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4"/>
      <c r="Q22" s="1811" t="str">
        <f>B22</f>
        <v>楼层</v>
      </c>
      <c r="R22" s="773" t="s">
        <v>17</v>
      </c>
      <c r="S22" s="774">
        <f>F22</f>
        <v>100</v>
      </c>
      <c r="T22" s="773" t="s">
        <v>17</v>
      </c>
      <c r="U22" s="774">
        <f>H22</f>
        <v>100</v>
      </c>
      <c r="V22" s="773" t="s">
        <v>17</v>
      </c>
      <c r="W22" s="774">
        <f>J22</f>
        <v>100</v>
      </c>
      <c r="X22" s="1814"/>
      <c r="Y22" s="3234"/>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4"/>
      <c r="Q23" s="1811">
        <f>B23</f>
        <v>111</v>
      </c>
      <c r="R23" s="773" t="s">
        <v>17</v>
      </c>
      <c r="S23" s="774">
        <f>F23</f>
        <v>100</v>
      </c>
      <c r="T23" s="773" t="s">
        <v>17</v>
      </c>
      <c r="U23" s="774">
        <f>H23</f>
        <v>100</v>
      </c>
      <c r="V23" s="773" t="s">
        <v>17</v>
      </c>
      <c r="W23" s="774">
        <f>J23</f>
        <v>100</v>
      </c>
      <c r="X23" s="1814"/>
      <c r="Y23" s="3234"/>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4"/>
      <c r="Q24" s="1811">
        <f t="shared" ref="Q24:Q36" si="11">B24</f>
        <v>111</v>
      </c>
      <c r="R24" s="773" t="s">
        <v>17</v>
      </c>
      <c r="S24" s="774">
        <f>F24</f>
        <v>100</v>
      </c>
      <c r="T24" s="773" t="s">
        <v>17</v>
      </c>
      <c r="U24" s="774">
        <f>H24</f>
        <v>100</v>
      </c>
      <c r="V24" s="773" t="s">
        <v>17</v>
      </c>
      <c r="W24" s="774">
        <f>J24</f>
        <v>100</v>
      </c>
      <c r="X24" s="1814"/>
      <c r="Y24" s="3234"/>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4"/>
      <c r="Q25" s="1796">
        <f t="shared" si="11"/>
        <v>111</v>
      </c>
      <c r="R25" s="769" t="s">
        <v>17</v>
      </c>
      <c r="S25" s="770">
        <f>F25</f>
        <v>100</v>
      </c>
      <c r="T25" s="769" t="s">
        <v>17</v>
      </c>
      <c r="U25" s="770">
        <f>H25</f>
        <v>100</v>
      </c>
      <c r="V25" s="769" t="s">
        <v>17</v>
      </c>
      <c r="W25" s="770">
        <f>J25</f>
        <v>100</v>
      </c>
      <c r="X25" s="771"/>
      <c r="Y25" s="3234"/>
      <c r="Z25" s="55">
        <f>Q25</f>
        <v>111</v>
      </c>
      <c r="AA25" s="1812">
        <f>D25/F25</f>
        <v>1</v>
      </c>
      <c r="AB25" s="1812">
        <f>D25/H25</f>
        <v>1</v>
      </c>
      <c r="AC25" s="1812">
        <f>D25/J25</f>
        <v>1</v>
      </c>
    </row>
    <row r="26" spans="1:29" ht="1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5" t="s">
        <v>2562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36"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6"/>
      <c r="Q28" s="1811" t="str">
        <f t="shared" si="11"/>
        <v>公共部分装修</v>
      </c>
      <c r="R28" s="773" t="s">
        <v>17</v>
      </c>
      <c r="S28" s="774">
        <f t="shared" si="12"/>
        <v>100</v>
      </c>
      <c r="T28" s="773" t="s">
        <v>17</v>
      </c>
      <c r="U28" s="774">
        <f t="shared" si="13"/>
        <v>100</v>
      </c>
      <c r="V28" s="773" t="s">
        <v>17</v>
      </c>
      <c r="W28" s="774">
        <f t="shared" si="14"/>
        <v>100</v>
      </c>
      <c r="X28" s="1814"/>
      <c r="Y28" s="3236"/>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6"/>
      <c r="Q29" s="1811" t="str">
        <f t="shared" si="11"/>
        <v>成新率</v>
      </c>
      <c r="R29" s="773" t="s">
        <v>17</v>
      </c>
      <c r="S29" s="774" t="e">
        <f t="shared" si="12"/>
        <v>#N/A</v>
      </c>
      <c r="T29" s="773" t="s">
        <v>17</v>
      </c>
      <c r="U29" s="774" t="e">
        <f t="shared" si="13"/>
        <v>#N/A</v>
      </c>
      <c r="V29" s="773" t="s">
        <v>17</v>
      </c>
      <c r="W29" s="774" t="e">
        <f t="shared" si="14"/>
        <v>#N/A</v>
      </c>
      <c r="X29" s="1814"/>
      <c r="Y29" s="3236"/>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6"/>
      <c r="Q30" s="1811" t="str">
        <f t="shared" si="11"/>
        <v>物业等级</v>
      </c>
      <c r="R30" s="773" t="s">
        <v>17</v>
      </c>
      <c r="S30" s="774">
        <f t="shared" si="12"/>
        <v>100</v>
      </c>
      <c r="T30" s="773" t="s">
        <v>17</v>
      </c>
      <c r="U30" s="774">
        <f t="shared" si="13"/>
        <v>100</v>
      </c>
      <c r="V30" s="773" t="s">
        <v>17</v>
      </c>
      <c r="W30" s="774">
        <f t="shared" si="14"/>
        <v>100</v>
      </c>
      <c r="X30" s="1814"/>
      <c r="Y30" s="3236"/>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6"/>
      <c r="Q31" s="1796" t="str">
        <f t="shared" si="11"/>
        <v>停车位面积</v>
      </c>
      <c r="R31" s="769" t="s">
        <v>17</v>
      </c>
      <c r="S31" s="770" t="e">
        <f t="shared" si="12"/>
        <v>#N/A</v>
      </c>
      <c r="T31" s="769" t="s">
        <v>17</v>
      </c>
      <c r="U31" s="770" t="e">
        <f t="shared" si="13"/>
        <v>#N/A</v>
      </c>
      <c r="V31" s="769" t="s">
        <v>17</v>
      </c>
      <c r="W31" s="770" t="e">
        <f t="shared" si="14"/>
        <v>#N/A</v>
      </c>
      <c r="X31" s="771"/>
      <c r="Y31" s="3236"/>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6" t="s">
        <v>2562</v>
      </c>
      <c r="Q32" s="1811" t="str">
        <f t="shared" si="11"/>
        <v>车位类型</v>
      </c>
      <c r="R32" s="773" t="s">
        <v>17</v>
      </c>
      <c r="S32" s="774">
        <f t="shared" si="12"/>
        <v>100</v>
      </c>
      <c r="T32" s="773" t="s">
        <v>17</v>
      </c>
      <c r="U32" s="774">
        <f t="shared" si="13"/>
        <v>100</v>
      </c>
      <c r="V32" s="773" t="s">
        <v>17</v>
      </c>
      <c r="W32" s="774">
        <f t="shared" si="14"/>
        <v>100</v>
      </c>
      <c r="X32" s="1814"/>
      <c r="Y32" s="3236"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6"/>
      <c r="Q33" s="1811" t="str">
        <f t="shared" si="11"/>
        <v>是否直接入户</v>
      </c>
      <c r="R33" s="773" t="s">
        <v>17</v>
      </c>
      <c r="S33" s="774">
        <f t="shared" si="12"/>
        <v>100</v>
      </c>
      <c r="T33" s="773" t="s">
        <v>17</v>
      </c>
      <c r="U33" s="774">
        <f t="shared" si="13"/>
        <v>100</v>
      </c>
      <c r="V33" s="773" t="s">
        <v>17</v>
      </c>
      <c r="W33" s="774">
        <f t="shared" si="14"/>
        <v>100</v>
      </c>
      <c r="X33" s="1814"/>
      <c r="Y33" s="3236"/>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6"/>
      <c r="Q34" s="1811">
        <f t="shared" si="11"/>
        <v>111</v>
      </c>
      <c r="R34" s="773" t="s">
        <v>17</v>
      </c>
      <c r="S34" s="774">
        <f t="shared" si="12"/>
        <v>100</v>
      </c>
      <c r="T34" s="773" t="s">
        <v>17</v>
      </c>
      <c r="U34" s="774">
        <f t="shared" si="13"/>
        <v>100</v>
      </c>
      <c r="V34" s="773" t="s">
        <v>17</v>
      </c>
      <c r="W34" s="774">
        <f t="shared" si="14"/>
        <v>100</v>
      </c>
      <c r="X34" s="1814"/>
      <c r="Y34" s="3236"/>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6"/>
      <c r="Q36" s="1811">
        <f t="shared" si="11"/>
        <v>111</v>
      </c>
      <c r="R36" s="773" t="s">
        <v>17</v>
      </c>
      <c r="S36" s="774">
        <f t="shared" si="12"/>
        <v>100</v>
      </c>
      <c r="T36" s="773" t="s">
        <v>17</v>
      </c>
      <c r="U36" s="774">
        <f t="shared" si="13"/>
        <v>100</v>
      </c>
      <c r="V36" s="773" t="s">
        <v>17</v>
      </c>
      <c r="W36" s="774">
        <f t="shared" si="14"/>
        <v>100</v>
      </c>
      <c r="X36" s="1814"/>
      <c r="Y36" s="3236"/>
      <c r="Z36" s="1815">
        <f t="shared" si="15"/>
        <v>111</v>
      </c>
      <c r="AA36" s="1812">
        <f t="shared" si="3"/>
        <v>1</v>
      </c>
      <c r="AB36" s="1812">
        <f t="shared" si="4"/>
        <v>1</v>
      </c>
      <c r="AC36" s="1812">
        <f t="shared" si="5"/>
        <v>1</v>
      </c>
    </row>
    <row r="37" spans="1:29" ht="15">
      <c r="A37" s="479" t="s">
        <v>2717</v>
      </c>
      <c r="B37" s="2692" t="s">
        <v>2718</v>
      </c>
      <c r="C37" s="1409" t="s">
        <v>1</v>
      </c>
      <c r="D37" s="1410"/>
      <c r="E37" s="1411"/>
      <c r="F37" s="1412"/>
      <c r="G37" s="1413"/>
      <c r="H37" s="1414"/>
      <c r="I37" s="1411"/>
      <c r="J37" s="1414"/>
      <c r="K37" s="619"/>
      <c r="L37" s="1145"/>
      <c r="M37" s="1146"/>
      <c r="N37" s="1133"/>
      <c r="O37" s="1146"/>
      <c r="P37" s="3218" t="str">
        <f>A37</f>
        <v>成交单价</v>
      </c>
      <c r="Q37" s="3218"/>
      <c r="R37" s="3247">
        <f>E37</f>
        <v>0</v>
      </c>
      <c r="S37" s="3247"/>
      <c r="T37" s="3247">
        <f>G37</f>
        <v>0</v>
      </c>
      <c r="U37" s="3247"/>
      <c r="V37" s="3247">
        <f>I37</f>
        <v>0</v>
      </c>
      <c r="W37" s="3247"/>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8" t="str">
        <f>A38</f>
        <v>比较价值（元/平方米）</v>
      </c>
      <c r="Q38" s="3218"/>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38" t="str">
        <f>A39</f>
        <v>估价对象XX用房的比较价值（楼面单价，元/平方米）</v>
      </c>
      <c r="Q39" s="3239"/>
      <c r="R39" s="3246" t="e">
        <f>IF(F1="售价",ROUND(AVERAGE(R38:V38),0),ROUND(AVERAGE(R38:V38),1))</f>
        <v>#DIV/0!</v>
      </c>
      <c r="S39" s="3246"/>
      <c r="T39" s="3246"/>
      <c r="U39" s="3246"/>
      <c r="V39" s="3246"/>
      <c r="W39" s="324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IF(C2="——",ROUND(C37*D3/10000,0),ROUND(C37*D3/10000,0)-D2)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19" t="s">
        <v>2643</v>
      </c>
      <c r="D4" s="3220"/>
      <c r="E4" s="3221" t="s">
        <v>2644</v>
      </c>
      <c r="F4" s="3222"/>
      <c r="G4" s="3219" t="s">
        <v>2645</v>
      </c>
      <c r="H4" s="3220"/>
      <c r="I4" s="3219" t="s">
        <v>2646</v>
      </c>
      <c r="J4" s="3220"/>
      <c r="K4" s="610" t="s">
        <v>2647</v>
      </c>
      <c r="L4" s="1132"/>
      <c r="M4" s="1133"/>
      <c r="N4" s="1133"/>
      <c r="O4" s="1133"/>
      <c r="P4" s="3223" t="s">
        <v>2648</v>
      </c>
      <c r="Q4" s="3224"/>
      <c r="R4" s="3206" t="s">
        <v>2644</v>
      </c>
      <c r="S4" s="3207"/>
      <c r="T4" s="3206" t="s">
        <v>2645</v>
      </c>
      <c r="U4" s="3207"/>
      <c r="V4" s="3231" t="s">
        <v>2646</v>
      </c>
      <c r="W4" s="3231"/>
      <c r="X4" s="1814"/>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2"/>
      <c r="M5" s="1133"/>
      <c r="N5" s="1133"/>
      <c r="O5" s="1133"/>
      <c r="P5" s="3225"/>
      <c r="Q5" s="3226"/>
      <c r="R5" s="3208"/>
      <c r="S5" s="3209"/>
      <c r="T5" s="3208"/>
      <c r="U5" s="3209"/>
      <c r="V5" s="3231"/>
      <c r="W5" s="3231"/>
      <c r="X5" s="1814"/>
      <c r="Y5" s="3208"/>
      <c r="Z5" s="3209"/>
      <c r="AA5" s="3202"/>
      <c r="AB5" s="3202"/>
      <c r="AC5" s="3202"/>
    </row>
    <row r="6" spans="1:29" ht="15.75" thickBot="1">
      <c r="A6" s="406"/>
      <c r="B6" s="407"/>
      <c r="C6" s="3214" t="s">
        <v>2543</v>
      </c>
      <c r="D6" s="3215"/>
      <c r="E6" s="3216" t="s">
        <v>2543</v>
      </c>
      <c r="F6" s="3217"/>
      <c r="G6" s="3214" t="s">
        <v>2543</v>
      </c>
      <c r="H6" s="3215"/>
      <c r="I6" s="3214" t="s">
        <v>2543</v>
      </c>
      <c r="J6" s="3215"/>
      <c r="K6" s="610" t="s">
        <v>2544</v>
      </c>
      <c r="L6" s="1132"/>
      <c r="M6" s="1133"/>
      <c r="N6" s="1133"/>
      <c r="O6" s="1133"/>
      <c r="P6" s="3227"/>
      <c r="Q6" s="3228"/>
      <c r="R6" s="3208"/>
      <c r="S6" s="3209"/>
      <c r="T6" s="3229"/>
      <c r="U6" s="3230"/>
      <c r="V6" s="3231"/>
      <c r="W6" s="3231"/>
      <c r="X6" s="1814"/>
      <c r="Y6" s="3229"/>
      <c r="Z6" s="3230"/>
      <c r="AA6" s="3203"/>
      <c r="AB6" s="3203"/>
      <c r="AC6" s="3203"/>
    </row>
    <row r="7" spans="1:29" s="117" customFormat="1" ht="15.75" thickBot="1">
      <c r="A7" s="408" t="s">
        <v>2545</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04" t="s">
        <v>2546</v>
      </c>
      <c r="Q7" s="3232"/>
      <c r="R7" s="769" t="s">
        <v>17</v>
      </c>
      <c r="S7" s="770">
        <f t="shared" ref="S7:S14" si="0">F7</f>
        <v>0</v>
      </c>
      <c r="T7" s="769" t="s">
        <v>17</v>
      </c>
      <c r="U7" s="770">
        <f t="shared" ref="U7:U14" si="1">H7</f>
        <v>0</v>
      </c>
      <c r="V7" s="769" t="s">
        <v>17</v>
      </c>
      <c r="W7" s="770">
        <f t="shared" ref="W7:W14" si="2">J7</f>
        <v>0</v>
      </c>
      <c r="X7" s="771"/>
      <c r="Y7" s="3204" t="s">
        <v>2546</v>
      </c>
      <c r="Z7" s="3205"/>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4" t="s">
        <v>2549</v>
      </c>
      <c r="Q8" s="3205"/>
      <c r="R8" s="769" t="s">
        <v>17</v>
      </c>
      <c r="S8" s="770">
        <f t="shared" si="0"/>
        <v>0</v>
      </c>
      <c r="T8" s="769" t="s">
        <v>17</v>
      </c>
      <c r="U8" s="770">
        <f t="shared" si="1"/>
        <v>0</v>
      </c>
      <c r="V8" s="769" t="s">
        <v>17</v>
      </c>
      <c r="W8" s="770">
        <f t="shared" si="2"/>
        <v>0</v>
      </c>
      <c r="X8" s="771"/>
      <c r="Y8" s="3204" t="s">
        <v>2549</v>
      </c>
      <c r="Z8" s="3205"/>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8" t="s">
        <v>2552</v>
      </c>
      <c r="Q9" s="1796" t="str">
        <f t="shared" ref="Q9:Q14" si="6">B9</f>
        <v>用途</v>
      </c>
      <c r="R9" s="769" t="s">
        <v>17</v>
      </c>
      <c r="S9" s="770">
        <f t="shared" si="0"/>
        <v>100</v>
      </c>
      <c r="T9" s="769" t="s">
        <v>17</v>
      </c>
      <c r="U9" s="770">
        <f t="shared" si="1"/>
        <v>100</v>
      </c>
      <c r="V9" s="769" t="s">
        <v>17</v>
      </c>
      <c r="W9" s="770">
        <f t="shared" si="2"/>
        <v>100</v>
      </c>
      <c r="X9" s="771"/>
      <c r="Y9" s="3078"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8"/>
      <c r="Q10" s="1796"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8"/>
      <c r="Q11" s="1796">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8"/>
      <c r="Q12" s="1796">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8"/>
      <c r="Q13" s="1796">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99.75">
      <c r="A14" s="440" t="s">
        <v>2556</v>
      </c>
      <c r="B14" s="69" t="s">
        <v>2706</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3" t="s">
        <v>2557</v>
      </c>
      <c r="Q14" s="1811" t="str">
        <f t="shared" si="6"/>
        <v>交通便捷度</v>
      </c>
      <c r="R14" s="773" t="s">
        <v>17</v>
      </c>
      <c r="S14" s="774">
        <f t="shared" si="0"/>
        <v>100</v>
      </c>
      <c r="T14" s="773" t="s">
        <v>17</v>
      </c>
      <c r="U14" s="774">
        <f t="shared" si="1"/>
        <v>100</v>
      </c>
      <c r="V14" s="773" t="s">
        <v>17</v>
      </c>
      <c r="W14" s="774">
        <f t="shared" si="2"/>
        <v>100</v>
      </c>
      <c r="X14" s="1814"/>
      <c r="Y14" s="3233"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34"/>
      <c r="Q15" s="1811"/>
      <c r="R15" s="773"/>
      <c r="S15" s="774"/>
      <c r="T15" s="773"/>
      <c r="U15" s="774"/>
      <c r="V15" s="773"/>
      <c r="W15" s="774"/>
      <c r="X15" s="1814"/>
      <c r="Y15" s="3234"/>
      <c r="Z15" s="1815"/>
      <c r="AA15" s="1812">
        <v>1</v>
      </c>
      <c r="AB15" s="1812">
        <v>1</v>
      </c>
      <c r="AC15" s="1812">
        <v>1</v>
      </c>
    </row>
    <row r="16" spans="1:29" ht="42.75">
      <c r="A16" s="428"/>
      <c r="B16" s="451" t="s">
        <v>2685</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4"/>
      <c r="Q16" s="1811" t="str">
        <f>B16</f>
        <v>公共配套设施</v>
      </c>
      <c r="R16" s="773" t="s">
        <v>17</v>
      </c>
      <c r="S16" s="774">
        <f>F16</f>
        <v>100</v>
      </c>
      <c r="T16" s="773" t="s">
        <v>17</v>
      </c>
      <c r="U16" s="774">
        <f>H16</f>
        <v>100</v>
      </c>
      <c r="V16" s="773" t="s">
        <v>17</v>
      </c>
      <c r="W16" s="774">
        <f>J16</f>
        <v>100</v>
      </c>
      <c r="X16" s="1814"/>
      <c r="Y16" s="3234"/>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34"/>
      <c r="Q17" s="1811"/>
      <c r="R17" s="773"/>
      <c r="S17" s="774"/>
      <c r="T17" s="773"/>
      <c r="U17" s="774"/>
      <c r="V17" s="773"/>
      <c r="W17" s="774"/>
      <c r="X17" s="1814"/>
      <c r="Y17" s="3234"/>
      <c r="Z17" s="1815"/>
      <c r="AA17" s="1812">
        <v>1</v>
      </c>
      <c r="AB17" s="1812">
        <v>1</v>
      </c>
      <c r="AC17" s="1812">
        <v>1</v>
      </c>
    </row>
    <row r="18" spans="1:29" ht="42.75">
      <c r="A18" s="428"/>
      <c r="B18" s="1386" t="s">
        <v>2686</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4"/>
      <c r="Q18" s="1811" t="str">
        <f>B18</f>
        <v>基础设施水平</v>
      </c>
      <c r="R18" s="773" t="s">
        <v>17</v>
      </c>
      <c r="S18" s="774">
        <f>F18</f>
        <v>100</v>
      </c>
      <c r="T18" s="773" t="s">
        <v>17</v>
      </c>
      <c r="U18" s="774">
        <f>H18</f>
        <v>100</v>
      </c>
      <c r="V18" s="773" t="s">
        <v>17</v>
      </c>
      <c r="W18" s="774">
        <f>J18</f>
        <v>100</v>
      </c>
      <c r="X18" s="1814"/>
      <c r="Y18" s="3234"/>
      <c r="Z18" s="1815" t="str">
        <f>Q18</f>
        <v>基础设施水平</v>
      </c>
      <c r="AA18" s="1812">
        <f t="shared" ref="AA18" si="8">D18/F18</f>
        <v>1</v>
      </c>
      <c r="AB18" s="1812">
        <f t="shared" ref="AB18" si="9">D18/H18</f>
        <v>1</v>
      </c>
      <c r="AC18" s="1812">
        <f t="shared" ref="AC18" si="10">D18/J18</f>
        <v>1</v>
      </c>
    </row>
    <row r="19" spans="1:29" ht="15">
      <c r="A19" s="428"/>
      <c r="B19" s="1386"/>
      <c r="C19" s="2605"/>
      <c r="D19" s="450"/>
      <c r="E19" s="2605"/>
      <c r="F19" s="453"/>
      <c r="G19" s="2605"/>
      <c r="H19" s="448"/>
      <c r="I19" s="447"/>
      <c r="J19" s="448"/>
      <c r="K19" s="1385"/>
      <c r="L19" s="1142"/>
      <c r="M19" s="1133"/>
      <c r="N19" s="1133"/>
      <c r="O19" s="1141"/>
      <c r="P19" s="3234"/>
      <c r="Q19" s="1811"/>
      <c r="R19" s="773"/>
      <c r="S19" s="774"/>
      <c r="T19" s="773"/>
      <c r="U19" s="774"/>
      <c r="V19" s="773"/>
      <c r="W19" s="774"/>
      <c r="X19" s="1814"/>
      <c r="Y19" s="3234"/>
      <c r="Z19" s="1815"/>
      <c r="AA19" s="1812">
        <v>1</v>
      </c>
      <c r="AB19" s="1812">
        <v>1</v>
      </c>
      <c r="AC19" s="1812">
        <v>1</v>
      </c>
    </row>
    <row r="20" spans="1:29" ht="99.75">
      <c r="A20" s="428"/>
      <c r="B20" s="451" t="s">
        <v>2707</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4"/>
      <c r="Q20" s="1811" t="str">
        <f>B20</f>
        <v>自然及人文环境</v>
      </c>
      <c r="R20" s="773" t="s">
        <v>17</v>
      </c>
      <c r="S20" s="774">
        <f>F20</f>
        <v>100</v>
      </c>
      <c r="T20" s="773" t="s">
        <v>17</v>
      </c>
      <c r="U20" s="774">
        <f>H20</f>
        <v>100</v>
      </c>
      <c r="V20" s="773" t="s">
        <v>17</v>
      </c>
      <c r="W20" s="774">
        <f>J20</f>
        <v>100</v>
      </c>
      <c r="X20" s="1814"/>
      <c r="Y20" s="3234"/>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34"/>
      <c r="Q21" s="1811"/>
      <c r="R21" s="773"/>
      <c r="S21" s="774"/>
      <c r="T21" s="773"/>
      <c r="U21" s="774"/>
      <c r="V21" s="773"/>
      <c r="W21" s="774"/>
      <c r="X21" s="1814"/>
      <c r="Y21" s="3234"/>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4"/>
      <c r="Q22" s="1811" t="str">
        <f>B22</f>
        <v>楼层</v>
      </c>
      <c r="R22" s="773" t="s">
        <v>17</v>
      </c>
      <c r="S22" s="774">
        <f>F22</f>
        <v>100</v>
      </c>
      <c r="T22" s="773" t="s">
        <v>17</v>
      </c>
      <c r="U22" s="774">
        <f>H22</f>
        <v>100</v>
      </c>
      <c r="V22" s="773" t="s">
        <v>17</v>
      </c>
      <c r="W22" s="774">
        <f>J22</f>
        <v>100</v>
      </c>
      <c r="X22" s="1814"/>
      <c r="Y22" s="3234"/>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4"/>
      <c r="Q23" s="1811">
        <f>B23</f>
        <v>111</v>
      </c>
      <c r="R23" s="773" t="s">
        <v>17</v>
      </c>
      <c r="S23" s="774">
        <f>F23</f>
        <v>100</v>
      </c>
      <c r="T23" s="773" t="s">
        <v>17</v>
      </c>
      <c r="U23" s="774">
        <f>H23</f>
        <v>100</v>
      </c>
      <c r="V23" s="773" t="s">
        <v>17</v>
      </c>
      <c r="W23" s="774">
        <f>J23</f>
        <v>100</v>
      </c>
      <c r="X23" s="1814"/>
      <c r="Y23" s="3234"/>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4"/>
      <c r="Q24" s="1811">
        <f t="shared" ref="Q24:Q34" si="11">B24</f>
        <v>111</v>
      </c>
      <c r="R24" s="773" t="s">
        <v>17</v>
      </c>
      <c r="S24" s="774">
        <f>F24</f>
        <v>100</v>
      </c>
      <c r="T24" s="773" t="s">
        <v>17</v>
      </c>
      <c r="U24" s="774">
        <f>H24</f>
        <v>100</v>
      </c>
      <c r="V24" s="773" t="s">
        <v>17</v>
      </c>
      <c r="W24" s="774">
        <f>J24</f>
        <v>100</v>
      </c>
      <c r="X24" s="1814"/>
      <c r="Y24" s="3234"/>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34"/>
      <c r="Q25" s="1796">
        <f t="shared" si="11"/>
        <v>111</v>
      </c>
      <c r="R25" s="769" t="s">
        <v>17</v>
      </c>
      <c r="S25" s="770">
        <f>F25</f>
        <v>100</v>
      </c>
      <c r="T25" s="769" t="s">
        <v>17</v>
      </c>
      <c r="U25" s="770">
        <f>H25</f>
        <v>100</v>
      </c>
      <c r="V25" s="769" t="s">
        <v>17</v>
      </c>
      <c r="W25" s="770">
        <f>J25</f>
        <v>100</v>
      </c>
      <c r="X25" s="771"/>
      <c r="Y25" s="3234"/>
      <c r="Z25" s="55">
        <f>Q25</f>
        <v>111</v>
      </c>
      <c r="AA25" s="1812">
        <f>D25/F25</f>
        <v>1</v>
      </c>
      <c r="AB25" s="1812">
        <f>D25/H25</f>
        <v>1</v>
      </c>
      <c r="AC25" s="1812">
        <f>D25/J25</f>
        <v>1</v>
      </c>
    </row>
    <row r="26" spans="1:29" ht="1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35" t="s">
        <v>2562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36"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6"/>
      <c r="Q27" s="775" t="str">
        <f t="shared" si="11"/>
        <v>成新率</v>
      </c>
      <c r="R27" s="776" t="s">
        <v>17</v>
      </c>
      <c r="S27" s="777" t="e">
        <f t="shared" si="12"/>
        <v>#N/A</v>
      </c>
      <c r="T27" s="776" t="s">
        <v>17</v>
      </c>
      <c r="U27" s="777" t="e">
        <f t="shared" si="13"/>
        <v>#N/A</v>
      </c>
      <c r="V27" s="776" t="s">
        <v>17</v>
      </c>
      <c r="W27" s="777" t="e">
        <f t="shared" si="14"/>
        <v>#N/A</v>
      </c>
      <c r="X27" s="778"/>
      <c r="Y27" s="3236"/>
      <c r="Z27" s="779"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6"/>
      <c r="Q28" s="1811" t="str">
        <f t="shared" si="11"/>
        <v>物业等级</v>
      </c>
      <c r="R28" s="773" t="s">
        <v>17</v>
      </c>
      <c r="S28" s="774">
        <f t="shared" si="12"/>
        <v>100</v>
      </c>
      <c r="T28" s="773" t="s">
        <v>17</v>
      </c>
      <c r="U28" s="774">
        <f t="shared" si="13"/>
        <v>100</v>
      </c>
      <c r="V28" s="773" t="s">
        <v>17</v>
      </c>
      <c r="W28" s="774">
        <f t="shared" si="14"/>
        <v>100</v>
      </c>
      <c r="X28" s="1814"/>
      <c r="Y28" s="3236"/>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6"/>
      <c r="Q29" s="1811" t="str">
        <f t="shared" si="11"/>
        <v>有无电梯</v>
      </c>
      <c r="R29" s="773" t="s">
        <v>17</v>
      </c>
      <c r="S29" s="774">
        <f t="shared" si="12"/>
        <v>100</v>
      </c>
      <c r="T29" s="773" t="s">
        <v>17</v>
      </c>
      <c r="U29" s="774">
        <f t="shared" si="13"/>
        <v>100</v>
      </c>
      <c r="V29" s="773" t="s">
        <v>17</v>
      </c>
      <c r="W29" s="774">
        <f t="shared" si="14"/>
        <v>100</v>
      </c>
      <c r="X29" s="1814"/>
      <c r="Y29" s="3236"/>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6"/>
      <c r="Q30" s="1811" t="str">
        <f t="shared" si="11"/>
        <v>建筑面积</v>
      </c>
      <c r="R30" s="773" t="s">
        <v>17</v>
      </c>
      <c r="S30" s="774" t="e">
        <f t="shared" si="12"/>
        <v>#N/A</v>
      </c>
      <c r="T30" s="773" t="s">
        <v>17</v>
      </c>
      <c r="U30" s="774" t="e">
        <f t="shared" si="13"/>
        <v>#N/A</v>
      </c>
      <c r="V30" s="773" t="s">
        <v>17</v>
      </c>
      <c r="W30" s="774" t="e">
        <f t="shared" si="14"/>
        <v>#N/A</v>
      </c>
      <c r="X30" s="1814"/>
      <c r="Y30" s="3236"/>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6"/>
      <c r="Q31" s="1796" t="str">
        <f t="shared" si="11"/>
        <v>是否封闭</v>
      </c>
      <c r="R31" s="769" t="s">
        <v>17</v>
      </c>
      <c r="S31" s="770">
        <f t="shared" si="12"/>
        <v>100</v>
      </c>
      <c r="T31" s="769" t="s">
        <v>17</v>
      </c>
      <c r="U31" s="770">
        <f t="shared" si="13"/>
        <v>100</v>
      </c>
      <c r="V31" s="769" t="s">
        <v>17</v>
      </c>
      <c r="W31" s="770">
        <f t="shared" si="14"/>
        <v>100</v>
      </c>
      <c r="X31" s="771"/>
      <c r="Y31" s="3236"/>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6" t="s">
        <v>2562</v>
      </c>
      <c r="Q32" s="1811">
        <f t="shared" si="11"/>
        <v>111</v>
      </c>
      <c r="R32" s="773" t="s">
        <v>17</v>
      </c>
      <c r="S32" s="774">
        <f t="shared" si="12"/>
        <v>100</v>
      </c>
      <c r="T32" s="773" t="s">
        <v>17</v>
      </c>
      <c r="U32" s="774">
        <f t="shared" si="13"/>
        <v>100</v>
      </c>
      <c r="V32" s="773" t="s">
        <v>17</v>
      </c>
      <c r="W32" s="774">
        <f t="shared" si="14"/>
        <v>100</v>
      </c>
      <c r="X32" s="1814"/>
      <c r="Y32" s="3236" t="s">
        <v>2562</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6"/>
      <c r="Q33" s="1811">
        <f t="shared" si="11"/>
        <v>111</v>
      </c>
      <c r="R33" s="773" t="s">
        <v>17</v>
      </c>
      <c r="S33" s="774">
        <f t="shared" si="12"/>
        <v>100</v>
      </c>
      <c r="T33" s="773" t="s">
        <v>17</v>
      </c>
      <c r="U33" s="774">
        <f t="shared" si="13"/>
        <v>100</v>
      </c>
      <c r="V33" s="773" t="s">
        <v>17</v>
      </c>
      <c r="W33" s="774">
        <f t="shared" si="14"/>
        <v>100</v>
      </c>
      <c r="X33" s="1814"/>
      <c r="Y33" s="3236"/>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36"/>
      <c r="Q34" s="1811">
        <f t="shared" si="11"/>
        <v>111</v>
      </c>
      <c r="R34" s="773" t="s">
        <v>17</v>
      </c>
      <c r="S34" s="774">
        <f t="shared" si="12"/>
        <v>100</v>
      </c>
      <c r="T34" s="773" t="s">
        <v>17</v>
      </c>
      <c r="U34" s="774">
        <f t="shared" si="13"/>
        <v>100</v>
      </c>
      <c r="V34" s="773" t="s">
        <v>17</v>
      </c>
      <c r="W34" s="774">
        <f t="shared" si="14"/>
        <v>100</v>
      </c>
      <c r="X34" s="1814"/>
      <c r="Y34" s="3236"/>
      <c r="Z34" s="1815">
        <f t="shared" si="15"/>
        <v>111</v>
      </c>
      <c r="AA34" s="1812">
        <f t="shared" si="3"/>
        <v>1</v>
      </c>
      <c r="AB34" s="1812">
        <f t="shared" si="4"/>
        <v>1</v>
      </c>
      <c r="AC34" s="1812">
        <f t="shared" si="5"/>
        <v>1</v>
      </c>
    </row>
    <row r="35" spans="1:29" ht="15">
      <c r="A35" s="479" t="s">
        <v>2574</v>
      </c>
      <c r="B35" s="480"/>
      <c r="C35" s="1409" t="s">
        <v>1</v>
      </c>
      <c r="D35" s="1410"/>
      <c r="E35" s="1411"/>
      <c r="F35" s="1412"/>
      <c r="G35" s="1413"/>
      <c r="H35" s="1414"/>
      <c r="I35" s="1411"/>
      <c r="J35" s="1414"/>
      <c r="K35" s="782"/>
      <c r="L35" s="1145"/>
      <c r="M35" s="1146"/>
      <c r="N35" s="1133"/>
      <c r="O35" s="1146"/>
      <c r="P35" s="3218" t="str">
        <f>A35</f>
        <v>成交单价（元/平方米）</v>
      </c>
      <c r="Q35" s="3218"/>
      <c r="R35" s="3247">
        <f>E35</f>
        <v>0</v>
      </c>
      <c r="S35" s="3247"/>
      <c r="T35" s="3247">
        <f>G35</f>
        <v>0</v>
      </c>
      <c r="U35" s="3247"/>
      <c r="V35" s="3247">
        <f>I35</f>
        <v>0</v>
      </c>
      <c r="W35" s="3247"/>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18" t="str">
        <f>A36</f>
        <v>比较价值（元/平方米）</v>
      </c>
      <c r="Q36" s="3218"/>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38" t="str">
        <f>A37</f>
        <v>估价对象XX用房的比较价值（楼面单价，元/平方米）</v>
      </c>
      <c r="Q37" s="3239"/>
      <c r="R37" s="3246" t="e">
        <f>IF(F1="售价",ROUND(AVERAGE(R36:V36),0),ROUND(AVERAGE(R36:V36),1))</f>
        <v>#DIV/0!</v>
      </c>
      <c r="S37" s="3246"/>
      <c r="T37" s="3246"/>
      <c r="U37" s="3246"/>
      <c r="V37" s="3246"/>
      <c r="W37" s="324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ROUND(IF(D3="",B2*10000/'数据-汇总表'!E3,B2*10000/D3),0)</f>
        <v>#DIV/0!</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19" t="s">
        <v>2643</v>
      </c>
      <c r="D4" s="3220"/>
      <c r="E4" s="3221" t="s">
        <v>2644</v>
      </c>
      <c r="F4" s="3222"/>
      <c r="G4" s="3219" t="s">
        <v>2645</v>
      </c>
      <c r="H4" s="3220"/>
      <c r="I4" s="3219" t="s">
        <v>2646</v>
      </c>
      <c r="J4" s="3220"/>
      <c r="K4" s="610" t="s">
        <v>2647</v>
      </c>
      <c r="L4" s="1132"/>
      <c r="M4" s="1133"/>
      <c r="N4" s="1133"/>
      <c r="O4" s="1133"/>
      <c r="P4" s="3223" t="s">
        <v>2648</v>
      </c>
      <c r="Q4" s="3224"/>
      <c r="R4" s="3206" t="s">
        <v>2644</v>
      </c>
      <c r="S4" s="3207"/>
      <c r="T4" s="3206" t="s">
        <v>2645</v>
      </c>
      <c r="U4" s="3207"/>
      <c r="V4" s="3231" t="s">
        <v>2646</v>
      </c>
      <c r="W4" s="3231"/>
      <c r="X4" s="1814"/>
      <c r="Y4" s="3206" t="s">
        <v>2648</v>
      </c>
      <c r="Z4" s="3207"/>
      <c r="AA4" s="3201" t="s">
        <v>2644</v>
      </c>
      <c r="AB4" s="3202" t="s">
        <v>2645</v>
      </c>
      <c r="AC4" s="3201" t="s">
        <v>2646</v>
      </c>
    </row>
    <row r="5" spans="1:29" ht="15">
      <c r="A5" s="404"/>
      <c r="B5" s="405"/>
      <c r="C5" s="3212" t="s">
        <v>2539</v>
      </c>
      <c r="D5" s="3213"/>
      <c r="E5" s="3210" t="s">
        <v>2540</v>
      </c>
      <c r="F5" s="3211"/>
      <c r="G5" s="3212" t="s">
        <v>2541</v>
      </c>
      <c r="H5" s="3213"/>
      <c r="I5" s="3212" t="s">
        <v>2542</v>
      </c>
      <c r="J5" s="3213"/>
      <c r="K5" s="610"/>
      <c r="L5" s="1132"/>
      <c r="M5" s="1133"/>
      <c r="N5" s="1133"/>
      <c r="O5" s="1133"/>
      <c r="P5" s="3225"/>
      <c r="Q5" s="3226"/>
      <c r="R5" s="3208"/>
      <c r="S5" s="3209"/>
      <c r="T5" s="3208"/>
      <c r="U5" s="3209"/>
      <c r="V5" s="3231"/>
      <c r="W5" s="3231"/>
      <c r="X5" s="1814"/>
      <c r="Y5" s="3208"/>
      <c r="Z5" s="3209"/>
      <c r="AA5" s="3202"/>
      <c r="AB5" s="3202"/>
      <c r="AC5" s="3202"/>
    </row>
    <row r="6" spans="1:29" ht="15.75" thickBot="1">
      <c r="A6" s="406"/>
      <c r="B6" s="407"/>
      <c r="C6" s="3296" t="s">
        <v>2794</v>
      </c>
      <c r="D6" s="3297"/>
      <c r="E6" s="3298" t="s">
        <v>2794</v>
      </c>
      <c r="F6" s="3299"/>
      <c r="G6" s="3296" t="s">
        <v>2794</v>
      </c>
      <c r="H6" s="3297"/>
      <c r="I6" s="3296" t="s">
        <v>2794</v>
      </c>
      <c r="J6" s="3297"/>
      <c r="K6" s="610" t="s">
        <v>2544</v>
      </c>
      <c r="L6" s="1132"/>
      <c r="M6" s="1133"/>
      <c r="N6" s="1133"/>
      <c r="O6" s="1133"/>
      <c r="P6" s="3227"/>
      <c r="Q6" s="3228"/>
      <c r="R6" s="3208"/>
      <c r="S6" s="3209"/>
      <c r="T6" s="3229"/>
      <c r="U6" s="3230"/>
      <c r="V6" s="3231"/>
      <c r="W6" s="3231"/>
      <c r="X6" s="1814"/>
      <c r="Y6" s="3229"/>
      <c r="Z6" s="3230"/>
      <c r="AA6" s="3203"/>
      <c r="AB6" s="3203"/>
      <c r="AC6" s="3203"/>
    </row>
    <row r="7" spans="1:29" s="117" customFormat="1" ht="15.75" thickBot="1">
      <c r="A7" s="408" t="s">
        <v>2545</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04" t="s">
        <v>2546</v>
      </c>
      <c r="Q7" s="3232"/>
      <c r="R7" s="769" t="s">
        <v>17</v>
      </c>
      <c r="S7" s="770">
        <f t="shared" ref="S7:S15" si="0">F7</f>
        <v>0</v>
      </c>
      <c r="T7" s="769" t="s">
        <v>17</v>
      </c>
      <c r="U7" s="770">
        <f t="shared" ref="U7:U15" si="1">H7</f>
        <v>0</v>
      </c>
      <c r="V7" s="769" t="s">
        <v>17</v>
      </c>
      <c r="W7" s="770">
        <f t="shared" ref="W7:W15" si="2">J7</f>
        <v>0</v>
      </c>
      <c r="X7" s="771"/>
      <c r="Y7" s="3204" t="s">
        <v>2546</v>
      </c>
      <c r="Z7" s="3205"/>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4" t="s">
        <v>2549</v>
      </c>
      <c r="Q8" s="3205"/>
      <c r="R8" s="769" t="s">
        <v>17</v>
      </c>
      <c r="S8" s="770">
        <f t="shared" si="0"/>
        <v>0</v>
      </c>
      <c r="T8" s="769" t="s">
        <v>17</v>
      </c>
      <c r="U8" s="770">
        <f t="shared" si="1"/>
        <v>0</v>
      </c>
      <c r="V8" s="769" t="s">
        <v>17</v>
      </c>
      <c r="W8" s="770">
        <f t="shared" si="2"/>
        <v>0</v>
      </c>
      <c r="X8" s="771"/>
      <c r="Y8" s="3204" t="s">
        <v>2549</v>
      </c>
      <c r="Z8" s="3205"/>
      <c r="AA8" s="772" t="e">
        <f t="shared" ref="AA8:AA40" si="3">D8/F8</f>
        <v>#DIV/0!</v>
      </c>
      <c r="AB8" s="772" t="e">
        <f t="shared" ref="AB8:AB40" si="4">D8/H8</f>
        <v>#DIV/0!</v>
      </c>
      <c r="AC8" s="772"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8" t="s">
        <v>2552</v>
      </c>
      <c r="Q9" s="1796"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101</v>
      </c>
      <c r="G10" s="432"/>
      <c r="H10" s="136">
        <f>ROUND(100/'数据-取费表'!G16,0)</f>
        <v>101</v>
      </c>
      <c r="I10" s="432"/>
      <c r="J10" s="136">
        <f>ROUND(100/'数据-取费表'!G16,0)</f>
        <v>101</v>
      </c>
      <c r="K10" s="672"/>
      <c r="L10" s="1137"/>
      <c r="M10" s="1138"/>
      <c r="N10" s="1138"/>
      <c r="O10" s="1139"/>
      <c r="P10" s="3218"/>
      <c r="Q10" s="1796" t="str">
        <f t="shared" si="6"/>
        <v>土地使用年限（年）</v>
      </c>
      <c r="R10" s="769" t="s">
        <v>17</v>
      </c>
      <c r="S10" s="770">
        <f t="shared" si="0"/>
        <v>101</v>
      </c>
      <c r="T10" s="769" t="s">
        <v>17</v>
      </c>
      <c r="U10" s="770">
        <f t="shared" si="1"/>
        <v>101</v>
      </c>
      <c r="V10" s="769" t="s">
        <v>17</v>
      </c>
      <c r="W10" s="770">
        <f t="shared" si="2"/>
        <v>101</v>
      </c>
      <c r="X10" s="771"/>
      <c r="Y10" s="3078"/>
      <c r="Z10" s="55" t="str">
        <f t="shared" si="7"/>
        <v>土地使用年限（年）</v>
      </c>
      <c r="AA10" s="772">
        <f t="shared" si="3"/>
        <v>0.99009900990099009</v>
      </c>
      <c r="AB10" s="772">
        <f t="shared" si="4"/>
        <v>0.99009900990099009</v>
      </c>
      <c r="AC10" s="772">
        <f t="shared" si="5"/>
        <v>0.99009900990099009</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8"/>
      <c r="Q11" s="1796"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8"/>
      <c r="Q12" s="1796">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8"/>
      <c r="Q13" s="1796">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8"/>
      <c r="Q14" s="1796">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3" t="s">
        <v>2557</v>
      </c>
      <c r="Q15" s="1811" t="str">
        <f t="shared" si="6"/>
        <v>产业集聚程度</v>
      </c>
      <c r="R15" s="773" t="s">
        <v>17</v>
      </c>
      <c r="S15" s="774">
        <f t="shared" si="0"/>
        <v>100</v>
      </c>
      <c r="T15" s="773" t="s">
        <v>17</v>
      </c>
      <c r="U15" s="774">
        <f t="shared" si="1"/>
        <v>100</v>
      </c>
      <c r="V15" s="773" t="s">
        <v>17</v>
      </c>
      <c r="W15" s="774">
        <f t="shared" si="2"/>
        <v>100</v>
      </c>
      <c r="X15" s="1814"/>
      <c r="Y15" s="3233" t="s">
        <v>2557</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34"/>
      <c r="Q16" s="1811"/>
      <c r="R16" s="773"/>
      <c r="S16" s="774"/>
      <c r="T16" s="773"/>
      <c r="U16" s="774"/>
      <c r="V16" s="773"/>
      <c r="W16" s="774"/>
      <c r="X16" s="1814"/>
      <c r="Y16" s="3234"/>
      <c r="Z16" s="1815"/>
      <c r="AA16" s="1812">
        <v>1</v>
      </c>
      <c r="AB16" s="1812">
        <v>1</v>
      </c>
      <c r="AC16" s="1812">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4"/>
      <c r="Q17" s="1811" t="str">
        <f>B17</f>
        <v>交通便捷度</v>
      </c>
      <c r="R17" s="773" t="s">
        <v>17</v>
      </c>
      <c r="S17" s="774">
        <f>F17</f>
        <v>100</v>
      </c>
      <c r="T17" s="773" t="s">
        <v>17</v>
      </c>
      <c r="U17" s="774">
        <f>H17</f>
        <v>100</v>
      </c>
      <c r="V17" s="773" t="s">
        <v>17</v>
      </c>
      <c r="W17" s="774">
        <f>J17</f>
        <v>100</v>
      </c>
      <c r="X17" s="1814"/>
      <c r="Y17" s="3234"/>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34"/>
      <c r="Q18" s="1811"/>
      <c r="R18" s="773"/>
      <c r="S18" s="774"/>
      <c r="T18" s="773"/>
      <c r="U18" s="774"/>
      <c r="V18" s="773"/>
      <c r="W18" s="774"/>
      <c r="X18" s="1814"/>
      <c r="Y18" s="3234"/>
      <c r="Z18" s="1815"/>
      <c r="AA18" s="1812">
        <v>1</v>
      </c>
      <c r="AB18" s="1812">
        <v>1</v>
      </c>
      <c r="AC18" s="1812">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4"/>
      <c r="Q19" s="1811" t="str">
        <f t="shared" ref="Q19:Q33" si="8">B19</f>
        <v>区域土地利用方向</v>
      </c>
      <c r="R19" s="773" t="s">
        <v>17</v>
      </c>
      <c r="S19" s="774">
        <f>F19</f>
        <v>100</v>
      </c>
      <c r="T19" s="773" t="s">
        <v>17</v>
      </c>
      <c r="U19" s="774">
        <f>H19</f>
        <v>100</v>
      </c>
      <c r="V19" s="773" t="s">
        <v>17</v>
      </c>
      <c r="W19" s="774">
        <f>J19</f>
        <v>100</v>
      </c>
      <c r="X19" s="1814"/>
      <c r="Y19" s="3234"/>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34"/>
      <c r="Q20" s="1811"/>
      <c r="R20" s="773"/>
      <c r="S20" s="774"/>
      <c r="T20" s="773"/>
      <c r="U20" s="774"/>
      <c r="V20" s="773"/>
      <c r="W20" s="774"/>
      <c r="X20" s="1814"/>
      <c r="Y20" s="3234"/>
      <c r="Z20" s="1815"/>
      <c r="AA20" s="1812"/>
      <c r="AB20" s="1812"/>
      <c r="AC20" s="1812"/>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4"/>
      <c r="Q21" s="1811" t="str">
        <f t="shared" si="8"/>
        <v>环境状况</v>
      </c>
      <c r="R21" s="773" t="s">
        <v>17</v>
      </c>
      <c r="S21" s="774">
        <f>F21</f>
        <v>100</v>
      </c>
      <c r="T21" s="773" t="s">
        <v>17</v>
      </c>
      <c r="U21" s="774">
        <f>H21</f>
        <v>100</v>
      </c>
      <c r="V21" s="773" t="s">
        <v>17</v>
      </c>
      <c r="W21" s="774">
        <f>J21</f>
        <v>100</v>
      </c>
      <c r="X21" s="1814"/>
      <c r="Y21" s="3234"/>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34"/>
      <c r="Q22" s="1811"/>
      <c r="R22" s="773"/>
      <c r="S22" s="774"/>
      <c r="T22" s="773"/>
      <c r="U22" s="774"/>
      <c r="V22" s="773"/>
      <c r="W22" s="774"/>
      <c r="X22" s="1814"/>
      <c r="Y22" s="3234"/>
      <c r="Z22" s="1815"/>
      <c r="AA22" s="1812">
        <v>1</v>
      </c>
      <c r="AB22" s="1812">
        <v>1</v>
      </c>
      <c r="AC22" s="1812">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4"/>
      <c r="Q23" s="1796" t="str">
        <f t="shared" si="8"/>
        <v>公共配套设施</v>
      </c>
      <c r="R23" s="769" t="s">
        <v>17</v>
      </c>
      <c r="S23" s="770">
        <f>F23</f>
        <v>100</v>
      </c>
      <c r="T23" s="769" t="s">
        <v>17</v>
      </c>
      <c r="U23" s="770">
        <f>H23</f>
        <v>100</v>
      </c>
      <c r="V23" s="769" t="s">
        <v>17</v>
      </c>
      <c r="W23" s="770">
        <f>J23</f>
        <v>100</v>
      </c>
      <c r="X23" s="771"/>
      <c r="Y23" s="3234"/>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34"/>
      <c r="Q24" s="1796"/>
      <c r="R24" s="769"/>
      <c r="S24" s="770"/>
      <c r="T24" s="769"/>
      <c r="U24" s="770"/>
      <c r="V24" s="769"/>
      <c r="W24" s="770"/>
      <c r="X24" s="771"/>
      <c r="Y24" s="3234"/>
      <c r="Z24" s="55"/>
      <c r="AA24" s="772">
        <v>1</v>
      </c>
      <c r="AB24" s="772">
        <v>1</v>
      </c>
      <c r="AC24" s="772">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4"/>
      <c r="Q25" s="1796" t="str">
        <f t="shared" ref="Q25" si="9">B25</f>
        <v>基础设施水平</v>
      </c>
      <c r="R25" s="769" t="s">
        <v>17</v>
      </c>
      <c r="S25" s="770">
        <f>F25</f>
        <v>100</v>
      </c>
      <c r="T25" s="769" t="s">
        <v>17</v>
      </c>
      <c r="U25" s="770">
        <f>H25</f>
        <v>100</v>
      </c>
      <c r="V25" s="769" t="s">
        <v>17</v>
      </c>
      <c r="W25" s="770">
        <f>J25</f>
        <v>100</v>
      </c>
      <c r="X25" s="771"/>
      <c r="Y25" s="3234"/>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34"/>
      <c r="Q26" s="1796"/>
      <c r="R26" s="769"/>
      <c r="S26" s="770"/>
      <c r="T26" s="769"/>
      <c r="U26" s="770"/>
      <c r="V26" s="769"/>
      <c r="W26" s="770"/>
      <c r="X26" s="771"/>
      <c r="Y26" s="3234"/>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34"/>
      <c r="Z27" s="1815" t="str">
        <f t="shared" ref="Z27:Z40" si="13">Q27</f>
        <v>临街状况</v>
      </c>
      <c r="AA27" s="1812">
        <f t="shared" si="3"/>
        <v>1</v>
      </c>
      <c r="AB27" s="1812">
        <f t="shared" si="4"/>
        <v>1</v>
      </c>
      <c r="AC27" s="1812">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4"/>
      <c r="Q28" s="1811" t="str">
        <f t="shared" si="8"/>
        <v>毗邻道路的类型与等级</v>
      </c>
      <c r="R28" s="773" t="s">
        <v>17</v>
      </c>
      <c r="S28" s="774">
        <f t="shared" si="10"/>
        <v>100</v>
      </c>
      <c r="T28" s="773" t="s">
        <v>17</v>
      </c>
      <c r="U28" s="774">
        <f t="shared" si="11"/>
        <v>100</v>
      </c>
      <c r="V28" s="773" t="s">
        <v>17</v>
      </c>
      <c r="W28" s="774">
        <f t="shared" si="12"/>
        <v>100</v>
      </c>
      <c r="X28" s="1814"/>
      <c r="Y28" s="3234"/>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34"/>
      <c r="Q29" s="1811"/>
      <c r="R29" s="773"/>
      <c r="S29" s="774"/>
      <c r="T29" s="773"/>
      <c r="U29" s="774"/>
      <c r="V29" s="773"/>
      <c r="W29" s="774"/>
      <c r="X29" s="1814"/>
      <c r="Y29" s="3234"/>
      <c r="Z29" s="1815"/>
      <c r="AA29" s="1812">
        <v>1</v>
      </c>
      <c r="AB29" s="1812">
        <v>1</v>
      </c>
      <c r="AC29" s="1812">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4"/>
      <c r="Q30" s="1811" t="str">
        <f t="shared" si="8"/>
        <v>土地级别</v>
      </c>
      <c r="R30" s="773" t="s">
        <v>17</v>
      </c>
      <c r="S30" s="774">
        <f t="shared" si="10"/>
        <v>100</v>
      </c>
      <c r="T30" s="773" t="s">
        <v>17</v>
      </c>
      <c r="U30" s="774">
        <f t="shared" si="11"/>
        <v>100</v>
      </c>
      <c r="V30" s="773" t="s">
        <v>17</v>
      </c>
      <c r="W30" s="774">
        <f t="shared" si="12"/>
        <v>100</v>
      </c>
      <c r="X30" s="1814"/>
      <c r="Y30" s="3234"/>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4"/>
      <c r="Q31" s="1811">
        <f t="shared" si="8"/>
        <v>111</v>
      </c>
      <c r="R31" s="773" t="s">
        <v>17</v>
      </c>
      <c r="S31" s="774">
        <f t="shared" si="10"/>
        <v>100</v>
      </c>
      <c r="T31" s="773" t="s">
        <v>17</v>
      </c>
      <c r="U31" s="774">
        <f t="shared" si="11"/>
        <v>100</v>
      </c>
      <c r="V31" s="773" t="s">
        <v>17</v>
      </c>
      <c r="W31" s="774">
        <f t="shared" si="12"/>
        <v>100</v>
      </c>
      <c r="X31" s="1814"/>
      <c r="Y31" s="3234"/>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5" t="s">
        <v>2562</v>
      </c>
      <c r="Q32" s="1811">
        <f t="shared" si="8"/>
        <v>111</v>
      </c>
      <c r="R32" s="773" t="s">
        <v>17</v>
      </c>
      <c r="S32" s="774">
        <f t="shared" si="10"/>
        <v>100</v>
      </c>
      <c r="T32" s="773" t="s">
        <v>17</v>
      </c>
      <c r="U32" s="774">
        <f t="shared" si="11"/>
        <v>100</v>
      </c>
      <c r="V32" s="773" t="s">
        <v>17</v>
      </c>
      <c r="W32" s="774">
        <f t="shared" si="12"/>
        <v>100</v>
      </c>
      <c r="X32" s="1814"/>
      <c r="Y32" s="3236" t="s">
        <v>2562</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6"/>
      <c r="Q33" s="1811">
        <f t="shared" si="8"/>
        <v>111</v>
      </c>
      <c r="R33" s="776" t="s">
        <v>17</v>
      </c>
      <c r="S33" s="777">
        <f t="shared" si="10"/>
        <v>100</v>
      </c>
      <c r="T33" s="776" t="s">
        <v>17</v>
      </c>
      <c r="U33" s="777">
        <f t="shared" si="11"/>
        <v>100</v>
      </c>
      <c r="V33" s="776" t="s">
        <v>17</v>
      </c>
      <c r="W33" s="777">
        <f t="shared" si="12"/>
        <v>100</v>
      </c>
      <c r="X33" s="778"/>
      <c r="Y33" s="3236"/>
      <c r="Z33" s="779">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6"/>
      <c r="Q34" s="1811" t="str">
        <f>B34</f>
        <v>宗地面积</v>
      </c>
      <c r="R34" s="773" t="s">
        <v>17</v>
      </c>
      <c r="S34" s="774" t="e">
        <f t="shared" si="10"/>
        <v>#N/A</v>
      </c>
      <c r="T34" s="773" t="s">
        <v>17</v>
      </c>
      <c r="U34" s="774" t="e">
        <f t="shared" si="11"/>
        <v>#N/A</v>
      </c>
      <c r="V34" s="773" t="s">
        <v>17</v>
      </c>
      <c r="W34" s="774" t="e">
        <f t="shared" si="12"/>
        <v>#N/A</v>
      </c>
      <c r="X34" s="1814"/>
      <c r="Y34" s="3236"/>
      <c r="Z34" s="1815" t="str">
        <f t="shared" si="13"/>
        <v>宗地面积</v>
      </c>
      <c r="AA34" s="1812" t="e">
        <f t="shared" si="3"/>
        <v>#N/A</v>
      </c>
      <c r="AB34" s="1812" t="e">
        <f t="shared" si="4"/>
        <v>#N/A</v>
      </c>
      <c r="AC34" s="1812"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36"/>
      <c r="Q35" s="1811" t="str">
        <f t="shared" ref="Q35:Q40" si="14">B35</f>
        <v>宗地形状</v>
      </c>
      <c r="R35" s="773" t="s">
        <v>17</v>
      </c>
      <c r="S35" s="774">
        <f t="shared" si="10"/>
        <v>100</v>
      </c>
      <c r="T35" s="773" t="s">
        <v>17</v>
      </c>
      <c r="U35" s="774">
        <f t="shared" si="11"/>
        <v>100</v>
      </c>
      <c r="V35" s="773" t="s">
        <v>17</v>
      </c>
      <c r="W35" s="774">
        <f t="shared" si="12"/>
        <v>100</v>
      </c>
      <c r="X35" s="1814"/>
      <c r="Y35" s="3236"/>
      <c r="Z35" s="1815" t="str">
        <f t="shared" si="13"/>
        <v>宗地形状</v>
      </c>
      <c r="AA35" s="1812">
        <f t="shared" si="3"/>
        <v>1</v>
      </c>
      <c r="AB35" s="1812">
        <f t="shared" si="4"/>
        <v>1</v>
      </c>
      <c r="AC35" s="1812">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36"/>
      <c r="Q36" s="1811" t="str">
        <f t="shared" si="14"/>
        <v>宗地开发程度</v>
      </c>
      <c r="R36" s="769" t="s">
        <v>17</v>
      </c>
      <c r="S36" s="770">
        <f t="shared" si="10"/>
        <v>100</v>
      </c>
      <c r="T36" s="769" t="s">
        <v>17</v>
      </c>
      <c r="U36" s="770">
        <f t="shared" si="11"/>
        <v>100</v>
      </c>
      <c r="V36" s="769" t="s">
        <v>17</v>
      </c>
      <c r="W36" s="770">
        <f t="shared" si="12"/>
        <v>100</v>
      </c>
      <c r="X36" s="771"/>
      <c r="Y36" s="3236"/>
      <c r="Z36" s="55" t="str">
        <f t="shared" si="13"/>
        <v>宗地开发程度</v>
      </c>
      <c r="AA36" s="772">
        <f t="shared" si="3"/>
        <v>1</v>
      </c>
      <c r="AB36" s="772">
        <f t="shared" si="4"/>
        <v>1</v>
      </c>
      <c r="AC36" s="772">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36" t="s">
        <v>2562</v>
      </c>
      <c r="Q37" s="1811" t="str">
        <f t="shared" si="14"/>
        <v>工程地质条件</v>
      </c>
      <c r="R37" s="773" t="s">
        <v>17</v>
      </c>
      <c r="S37" s="774">
        <f t="shared" si="10"/>
        <v>100</v>
      </c>
      <c r="T37" s="773" t="s">
        <v>17</v>
      </c>
      <c r="U37" s="774">
        <f t="shared" si="11"/>
        <v>100</v>
      </c>
      <c r="V37" s="773" t="s">
        <v>17</v>
      </c>
      <c r="W37" s="774">
        <f t="shared" si="12"/>
        <v>100</v>
      </c>
      <c r="X37" s="1814"/>
      <c r="Y37" s="3236" t="s">
        <v>2562</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6"/>
      <c r="Q38" s="1811">
        <f t="shared" si="14"/>
        <v>111</v>
      </c>
      <c r="R38" s="773" t="s">
        <v>17</v>
      </c>
      <c r="S38" s="774">
        <f t="shared" si="10"/>
        <v>100</v>
      </c>
      <c r="T38" s="773" t="s">
        <v>17</v>
      </c>
      <c r="U38" s="774">
        <f t="shared" si="11"/>
        <v>100</v>
      </c>
      <c r="V38" s="773" t="s">
        <v>17</v>
      </c>
      <c r="W38" s="774">
        <f t="shared" si="12"/>
        <v>100</v>
      </c>
      <c r="X38" s="1814"/>
      <c r="Y38" s="3236"/>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6"/>
      <c r="Q39" s="1811">
        <f t="shared" si="14"/>
        <v>111</v>
      </c>
      <c r="R39" s="773" t="s">
        <v>17</v>
      </c>
      <c r="S39" s="774">
        <f t="shared" si="10"/>
        <v>100</v>
      </c>
      <c r="T39" s="773" t="s">
        <v>17</v>
      </c>
      <c r="U39" s="774">
        <f t="shared" si="11"/>
        <v>100</v>
      </c>
      <c r="V39" s="773" t="s">
        <v>17</v>
      </c>
      <c r="W39" s="774">
        <f t="shared" si="12"/>
        <v>100</v>
      </c>
      <c r="X39" s="1814"/>
      <c r="Y39" s="3236"/>
      <c r="Z39" s="1815">
        <f t="shared" si="13"/>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6"/>
      <c r="Q40" s="1811">
        <f t="shared" si="14"/>
        <v>111</v>
      </c>
      <c r="R40" s="776" t="s">
        <v>17</v>
      </c>
      <c r="S40" s="777">
        <f t="shared" si="10"/>
        <v>100</v>
      </c>
      <c r="T40" s="776" t="s">
        <v>17</v>
      </c>
      <c r="U40" s="777">
        <f t="shared" si="11"/>
        <v>100</v>
      </c>
      <c r="V40" s="776" t="s">
        <v>17</v>
      </c>
      <c r="W40" s="777">
        <f t="shared" si="12"/>
        <v>100</v>
      </c>
      <c r="X40" s="778"/>
      <c r="Y40" s="3236"/>
      <c r="Z40" s="779">
        <f t="shared" si="13"/>
        <v>111</v>
      </c>
      <c r="AA40" s="1812">
        <f t="shared" si="3"/>
        <v>1</v>
      </c>
      <c r="AB40" s="1812">
        <f t="shared" si="4"/>
        <v>1</v>
      </c>
      <c r="AC40" s="1812">
        <f t="shared" si="5"/>
        <v>1</v>
      </c>
    </row>
    <row r="41" spans="1:29" ht="15">
      <c r="A41" s="479" t="s">
        <v>2717</v>
      </c>
      <c r="B41" s="2701" t="s">
        <v>2797</v>
      </c>
      <c r="C41" s="682" t="s">
        <v>1</v>
      </c>
      <c r="D41" s="481"/>
      <c r="E41" s="482"/>
      <c r="F41" s="483"/>
      <c r="G41" s="484"/>
      <c r="H41" s="485"/>
      <c r="I41" s="482"/>
      <c r="J41" s="485"/>
      <c r="K41" s="782"/>
      <c r="L41" s="1145"/>
      <c r="M41" s="1133"/>
      <c r="N41" s="1133"/>
      <c r="O41" s="1146"/>
      <c r="P41" s="3218" t="str">
        <f>A41</f>
        <v>成交单价</v>
      </c>
      <c r="Q41" s="3218"/>
      <c r="R41" s="3231">
        <f>E41</f>
        <v>0</v>
      </c>
      <c r="S41" s="3231"/>
      <c r="T41" s="3231">
        <f>G41</f>
        <v>0</v>
      </c>
      <c r="U41" s="3231"/>
      <c r="V41" s="3231">
        <f>I41</f>
        <v>0</v>
      </c>
      <c r="W41" s="3231"/>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18" t="str">
        <f>A42</f>
        <v>比较价值（元/平方米）</v>
      </c>
      <c r="Q42" s="3218"/>
      <c r="R42" s="3237" t="e">
        <f>ROUND(PRODUCT(R41,AA7:AA40),0)</f>
        <v>#DIV/0!</v>
      </c>
      <c r="S42" s="3237"/>
      <c r="T42" s="3237" t="e">
        <f>ROUND(PRODUCT(T41,AB7:AB40),0)</f>
        <v>#DIV/0!</v>
      </c>
      <c r="U42" s="3237"/>
      <c r="V42" s="3237" t="e">
        <f>ROUND(PRODUCT(V41,AC7:AC40),0)</f>
        <v>#DIV/0!</v>
      </c>
      <c r="W42" s="3237"/>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38" t="str">
        <f>A43</f>
        <v>估价对象XX用房的比较价值（楼面单价，元/平方米）</v>
      </c>
      <c r="Q43" s="3239"/>
      <c r="R43" s="3240" t="e">
        <f>ROUND(AVERAGE(R42:V42),0)</f>
        <v>#DIV/0!</v>
      </c>
      <c r="S43" s="3240"/>
      <c r="T43" s="3240"/>
      <c r="U43" s="3240"/>
      <c r="V43" s="3240"/>
      <c r="W43" s="324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2" t="s">
        <v>2757</v>
      </c>
      <c r="D50" s="2703" t="s">
        <v>2758</v>
      </c>
      <c r="E50" s="686" t="s">
        <v>2759</v>
      </c>
      <c r="F50" s="687" t="s">
        <v>2760</v>
      </c>
      <c r="G50" s="3219" t="s">
        <v>2761</v>
      </c>
      <c r="H50" s="3241"/>
      <c r="I50" s="1815" t="s">
        <v>2798</v>
      </c>
      <c r="J50" s="1815">
        <f>项目基本情况!F35</f>
        <v>0</v>
      </c>
      <c r="K50" s="2705" t="s">
        <v>2763</v>
      </c>
      <c r="L50" s="1108"/>
      <c r="M50" s="1146"/>
      <c r="N50" s="1146"/>
      <c r="O50" s="1146"/>
    </row>
    <row r="51" spans="1:17" s="692" customFormat="1">
      <c r="A51" s="688" t="s">
        <v>2764</v>
      </c>
      <c r="B51" s="689" t="e">
        <f>C43</f>
        <v>#DIV/0!</v>
      </c>
      <c r="C51" s="690">
        <v>1</v>
      </c>
      <c r="D51" s="1165">
        <v>1</v>
      </c>
      <c r="E51" s="690">
        <f>'数据-汇总表'!E8+'数据-汇总表'!E9</f>
        <v>27371.22</v>
      </c>
      <c r="F51" s="691" t="e">
        <f t="shared" ref="F51:F60" si="15">ROUND(B51*E51/10000,0)</f>
        <v>#DIV/0!</v>
      </c>
      <c r="G51" s="3242"/>
      <c r="H51" s="3218"/>
      <c r="I51" s="944">
        <v>1</v>
      </c>
      <c r="J51" s="944">
        <v>1</v>
      </c>
      <c r="K51" s="1147"/>
      <c r="L51" s="943"/>
      <c r="M51" s="943"/>
      <c r="N51" s="943"/>
      <c r="O51" s="943"/>
    </row>
    <row r="52" spans="1:17" s="692" customFormat="1">
      <c r="A52" s="693" t="s">
        <v>2765</v>
      </c>
      <c r="B52" s="262" t="e">
        <f>ROUND($C$43*C52*D52,0)</f>
        <v>#DIV/0!</v>
      </c>
      <c r="C52" s="200">
        <f t="shared" ref="C52:C60" si="16">IF($C$50="北京市系数",I52,J52)</f>
        <v>0.6</v>
      </c>
      <c r="D52" s="1166">
        <v>0.25</v>
      </c>
      <c r="E52" s="694"/>
      <c r="F52" s="691" t="e">
        <f t="shared" si="15"/>
        <v>#DIV/0!</v>
      </c>
      <c r="G52" s="3243" t="s">
        <v>2766</v>
      </c>
      <c r="H52" s="1106" t="str">
        <f>项目基本情况!B37</f>
        <v>八级</v>
      </c>
      <c r="I52" s="944">
        <f>SUMIF(修正!A45:A56,H52,修正!B45:B56)</f>
        <v>0.6</v>
      </c>
      <c r="J52" s="945"/>
      <c r="K52" s="1146"/>
      <c r="L52" s="943"/>
      <c r="M52" s="943"/>
      <c r="N52" s="943"/>
      <c r="O52" s="943"/>
    </row>
    <row r="53" spans="1:17" s="692" customFormat="1">
      <c r="A53" s="693" t="s">
        <v>2767</v>
      </c>
      <c r="B53" s="262" t="e">
        <f t="shared" ref="B53:B60" si="17">ROUND($C$43*C53*D53,0)</f>
        <v>#DIV/0!</v>
      </c>
      <c r="C53" s="200">
        <f t="shared" si="16"/>
        <v>0.3</v>
      </c>
      <c r="D53" s="1166">
        <v>0.25</v>
      </c>
      <c r="E53" s="694"/>
      <c r="F53" s="691" t="e">
        <f t="shared" si="15"/>
        <v>#DIV/0!</v>
      </c>
      <c r="G53" s="3243"/>
      <c r="H53" s="1106" t="str">
        <f>项目基本情况!B37</f>
        <v>八级</v>
      </c>
      <c r="I53" s="944">
        <f>SUMIF(修正!A45:A56,H53,修正!C45:C56)</f>
        <v>0.3</v>
      </c>
      <c r="J53" s="945"/>
      <c r="K53" s="1147"/>
      <c r="L53" s="943"/>
      <c r="M53" s="943"/>
      <c r="N53" s="943"/>
      <c r="O53" s="943"/>
    </row>
    <row r="54" spans="1:17" s="692" customFormat="1">
      <c r="A54" s="693" t="s">
        <v>2768</v>
      </c>
      <c r="B54" s="262" t="e">
        <f t="shared" si="17"/>
        <v>#DIV/0!</v>
      </c>
      <c r="C54" s="200">
        <f t="shared" si="16"/>
        <v>0.2</v>
      </c>
      <c r="D54" s="1166">
        <v>0.25</v>
      </c>
      <c r="E54" s="694"/>
      <c r="F54" s="691" t="e">
        <f t="shared" si="15"/>
        <v>#DIV/0!</v>
      </c>
      <c r="G54" s="3243"/>
      <c r="H54" s="1106" t="str">
        <f>项目基本情况!B37</f>
        <v>八级</v>
      </c>
      <c r="I54" s="944">
        <f>SUMIF(修正!A45:A56,H54,修正!D45:D56)</f>
        <v>0.2</v>
      </c>
      <c r="J54" s="945"/>
      <c r="K54" s="1146"/>
      <c r="L54" s="943"/>
      <c r="M54" s="943"/>
      <c r="N54" s="943"/>
      <c r="O54" s="943"/>
    </row>
    <row r="55" spans="1:17" s="692" customFormat="1">
      <c r="A55" s="693" t="s">
        <v>2769</v>
      </c>
      <c r="B55" s="262" t="e">
        <f t="shared" si="17"/>
        <v>#DIV/0!</v>
      </c>
      <c r="C55" s="200">
        <f t="shared" si="16"/>
        <v>0.2</v>
      </c>
      <c r="D55" s="1166">
        <v>0.25</v>
      </c>
      <c r="E55" s="694"/>
      <c r="F55" s="691" t="e">
        <f t="shared" si="15"/>
        <v>#DIV/0!</v>
      </c>
      <c r="G55" s="3243"/>
      <c r="H55" s="1106" t="str">
        <f>项目基本情况!B37</f>
        <v>八级</v>
      </c>
      <c r="I55" s="944">
        <f>SUMIF(修正!A45:A56,H55,修正!E45:E56)</f>
        <v>0.2</v>
      </c>
      <c r="J55" s="945"/>
      <c r="K55" s="1147"/>
      <c r="L55" s="943"/>
      <c r="M55" s="943"/>
      <c r="N55" s="943"/>
      <c r="O55" s="943"/>
    </row>
    <row r="56" spans="1:17" s="692" customFormat="1">
      <c r="A56" s="693" t="s">
        <v>2770</v>
      </c>
      <c r="B56" s="262" t="e">
        <f t="shared" si="17"/>
        <v>#DIV/0!</v>
      </c>
      <c r="C56" s="200">
        <f t="shared" si="16"/>
        <v>0.2</v>
      </c>
      <c r="D56" s="1166">
        <v>0.25</v>
      </c>
      <c r="E56" s="261">
        <f>'数据-汇总表'!E11</f>
        <v>0</v>
      </c>
      <c r="F56" s="691" t="e">
        <f t="shared" si="15"/>
        <v>#DIV/0!</v>
      </c>
      <c r="G56" s="2706"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2752.95</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0.15</v>
      </c>
      <c r="D58" s="1166">
        <v>0.25</v>
      </c>
      <c r="E58" s="261">
        <f>'数据-汇总表'!E13</f>
        <v>584.81999999999971</v>
      </c>
      <c r="F58" s="691" t="e">
        <f t="shared" si="15"/>
        <v>#DIV/0!</v>
      </c>
      <c r="G58" s="1111" t="s">
        <v>2775</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2776</v>
      </c>
      <c r="B59" s="262" t="e">
        <f t="shared" si="17"/>
        <v>#DIV/0!</v>
      </c>
      <c r="C59" s="200">
        <f t="shared" si="16"/>
        <v>0.15</v>
      </c>
      <c r="D59" s="1166">
        <v>0.25</v>
      </c>
      <c r="E59" s="261">
        <f>'数据-汇总表'!E14</f>
        <v>0</v>
      </c>
      <c r="F59" s="691" t="e">
        <f t="shared" si="15"/>
        <v>#DIV/0!</v>
      </c>
      <c r="G59" s="2706" t="s">
        <v>2766</v>
      </c>
      <c r="H59" s="1106" t="str">
        <f>项目基本情况!B37</f>
        <v>八级</v>
      </c>
      <c r="I59" s="944">
        <f>SUMIF(修正!A45:A56,H59,修正!H45:H56)</f>
        <v>0.15</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7"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23323.78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08" t="s">
        <v>2779</v>
      </c>
      <c r="B65" s="1361"/>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7"/>
    </row>
    <row r="66" spans="1:17" s="117" customFormat="1" ht="30.75" customHeight="1">
      <c r="A66" s="2713" t="s">
        <v>2799</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2801</v>
      </c>
      <c r="B1" s="241"/>
      <c r="C1" s="245" t="s">
        <v>2802</v>
      </c>
      <c r="D1" s="388">
        <f>SUM(D29:D30,D33:D39)</f>
        <v>0</v>
      </c>
      <c r="E1" s="2714"/>
      <c r="F1" s="2714"/>
      <c r="G1" s="2714"/>
      <c r="H1" s="2714"/>
      <c r="I1" s="2714"/>
      <c r="J1" s="2714"/>
      <c r="K1" s="1372"/>
      <c r="L1" s="2715" t="s">
        <v>2803</v>
      </c>
      <c r="M1" s="1082">
        <f>SUMPRODUCT((区片价!B5:B9=I2)*(区片价!C3:F3=E2)*(区片价!C5:F9))</f>
        <v>0</v>
      </c>
      <c r="N1" s="1085">
        <f>SUMPRODUCT((因素修正幅度!B5:B9=I2)*(因素修正幅度!C3:F3=E2)*(因素修正幅度!C5:F9))</f>
        <v>0</v>
      </c>
      <c r="O1" s="2716"/>
      <c r="P1" s="2716"/>
      <c r="Q1" s="1372"/>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18" t="s">
        <v>2810</v>
      </c>
      <c r="D2" s="2719" t="s">
        <v>2811</v>
      </c>
      <c r="E2" s="2720"/>
      <c r="F2" s="2719" t="s">
        <v>2812</v>
      </c>
      <c r="G2" s="2721">
        <f>IF(E2="商业",项目基本情况!B37,IF(E2="办公",项目基本情况!C37,IF(E2="住宅",项目基本情况!D37,项目基本情况!E37)))</f>
        <v>0</v>
      </c>
      <c r="H2" s="2719" t="s">
        <v>2813</v>
      </c>
      <c r="I2" s="2721">
        <f>IF(E2="商业",项目基本情况!B38,IF(E2="办公",项目基本情况!C38,IF(E2="住宅",项目基本情况!D38,项目基本情况!E38)))</f>
        <v>0</v>
      </c>
      <c r="J2" s="2722"/>
      <c r="K2" s="1372"/>
      <c r="L2" s="2723" t="s">
        <v>2814</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18" t="s">
        <v>2816</v>
      </c>
      <c r="D3" s="2719" t="s">
        <v>2817</v>
      </c>
      <c r="E3" s="2724"/>
      <c r="F3" s="2725" t="s">
        <v>2818</v>
      </c>
      <c r="G3" s="915">
        <f>IF(F3="宗地容积率",'数据-汇总表'!I4,IF(F3="估价对象容积率",'数据-汇总表'!I6,'数据-汇总表'!I7))</f>
        <v>0.84</v>
      </c>
      <c r="H3" s="198" t="s">
        <v>2819</v>
      </c>
      <c r="I3" s="946"/>
      <c r="J3" s="2722" t="s">
        <v>2820</v>
      </c>
      <c r="K3" s="1372"/>
      <c r="L3" s="2723" t="s">
        <v>2821</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4"/>
      <c r="B4" s="3315"/>
      <c r="C4" s="3315"/>
      <c r="D4" s="3316"/>
      <c r="E4" s="3316"/>
      <c r="F4" s="3316"/>
      <c r="G4" s="3316"/>
      <c r="H4" s="3316"/>
      <c r="I4" s="3316"/>
      <c r="J4" s="3317"/>
      <c r="K4" s="1372"/>
      <c r="L4" s="2723" t="s">
        <v>2822</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2823</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2824</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2825</v>
      </c>
      <c r="B6" s="2737" t="s">
        <v>2826</v>
      </c>
      <c r="C6" s="917">
        <f>SUMIF(L1:L12,G2,M1:M12)</f>
        <v>0</v>
      </c>
      <c r="D6" s="2738" t="s">
        <v>2827</v>
      </c>
      <c r="E6" s="2739"/>
      <c r="F6" s="2739"/>
      <c r="G6" s="2740"/>
      <c r="H6" s="2740"/>
      <c r="I6" s="2740"/>
      <c r="J6" s="2741"/>
      <c r="K6" s="1843"/>
      <c r="L6" s="2723" t="s">
        <v>2828</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0" t="str">
        <f>IF(E2="商业",IF(C8="不临58条商业街","",2),"")</f>
        <v/>
      </c>
      <c r="B7" s="2742" t="s">
        <v>2829</v>
      </c>
      <c r="C7" s="918" t="e">
        <f>IF(C8="不临58条商业街",1,ROUND(1+(1.6*E8+1.2*E9+0.8*E10+0.4*E11)*C9,4))</f>
        <v>#DIV/0!</v>
      </c>
      <c r="D7" s="2743" t="s">
        <v>2830</v>
      </c>
      <c r="E7" s="947"/>
      <c r="F7" s="2744"/>
      <c r="G7" s="2745"/>
      <c r="H7" s="2745"/>
      <c r="I7" s="2745"/>
      <c r="J7" s="2746"/>
      <c r="K7" s="1843"/>
      <c r="L7" s="2723" t="s">
        <v>2831</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2832</v>
      </c>
      <c r="X7" s="1605">
        <f>G2</f>
        <v>0</v>
      </c>
      <c r="Y7" s="1605" t="s">
        <v>2833</v>
      </c>
      <c r="Z7" s="1606">
        <f>G3</f>
        <v>0.84</v>
      </c>
      <c r="AA7" s="1607"/>
      <c r="AB7" s="1607"/>
      <c r="AC7" s="1608"/>
      <c r="AD7" s="1609"/>
      <c r="AE7" s="1609"/>
      <c r="AF7" s="1609"/>
      <c r="AG7" s="1609"/>
      <c r="AH7" s="1609"/>
      <c r="AI7" s="1609"/>
      <c r="AJ7" s="1610"/>
    </row>
    <row r="8" spans="1:36" ht="15">
      <c r="A8" s="3301"/>
      <c r="B8" s="198" t="s">
        <v>2834</v>
      </c>
      <c r="C8" s="2747"/>
      <c r="D8" s="919" t="s">
        <v>139</v>
      </c>
      <c r="E8" s="920" t="e">
        <f>ROUND(C11/E7,4)</f>
        <v>#DIV/0!</v>
      </c>
      <c r="F8" s="2748" t="s">
        <v>2835</v>
      </c>
      <c r="G8" s="2749"/>
      <c r="H8" s="2749"/>
      <c r="I8" s="2749"/>
      <c r="J8" s="2750"/>
      <c r="K8" s="1372"/>
      <c r="L8" s="2723" t="s">
        <v>2836</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11" t="s">
        <v>2837</v>
      </c>
      <c r="X8" s="3312"/>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301"/>
      <c r="B9" s="198" t="s">
        <v>2850</v>
      </c>
      <c r="C9" s="921">
        <f>SUMIF(修正!C59:C119,C8,修正!E59:E119)</f>
        <v>0</v>
      </c>
      <c r="D9" s="200" t="s">
        <v>140</v>
      </c>
      <c r="E9" s="200" t="e">
        <f>ROUND(C11/E7,4)</f>
        <v>#DIV/0!</v>
      </c>
      <c r="F9" s="2748" t="s">
        <v>2851</v>
      </c>
      <c r="G9" s="2749"/>
      <c r="H9" s="2749"/>
      <c r="I9" s="2749"/>
      <c r="J9" s="2750"/>
      <c r="K9" s="1372"/>
      <c r="L9" s="2723" t="s">
        <v>2852</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13"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1"/>
      <c r="B10" s="198" t="s">
        <v>2855</v>
      </c>
      <c r="C10" s="200">
        <f>SUMIF(修正!C59:C119,C8,修正!F59:F119)</f>
        <v>0</v>
      </c>
      <c r="D10" s="200" t="s">
        <v>141</v>
      </c>
      <c r="E10" s="200" t="e">
        <f>ROUND(C11/E7,4)</f>
        <v>#DIV/0!</v>
      </c>
      <c r="F10" s="2748" t="s">
        <v>2856</v>
      </c>
      <c r="G10" s="2749"/>
      <c r="H10" s="2749"/>
      <c r="I10" s="2749"/>
      <c r="J10" s="2750"/>
      <c r="K10" s="1372"/>
      <c r="L10" s="2723" t="s">
        <v>2857</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1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1"/>
      <c r="B11" s="2751" t="s">
        <v>2858</v>
      </c>
      <c r="C11" s="922">
        <f>C10/4</f>
        <v>0</v>
      </c>
      <c r="D11" s="922" t="s">
        <v>142</v>
      </c>
      <c r="E11" s="922" t="e">
        <f>ROUND(C11/E7,4)</f>
        <v>#DIV/0!</v>
      </c>
      <c r="F11" s="2752" t="s">
        <v>2859</v>
      </c>
      <c r="G11" s="2753"/>
      <c r="H11" s="2753"/>
      <c r="I11" s="2753"/>
      <c r="J11" s="2754"/>
      <c r="K11" s="1372"/>
      <c r="L11" s="2723" t="s">
        <v>2860</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13" t="s">
        <v>2861</v>
      </c>
      <c r="X11" s="1615" t="s">
        <v>2862</v>
      </c>
      <c r="Y11" s="1616">
        <f>$G$3</f>
        <v>0.84</v>
      </c>
      <c r="Z11" s="1616">
        <f t="shared" ref="Z11:AJ11" si="3">$G$3</f>
        <v>0.84</v>
      </c>
      <c r="AA11" s="1616">
        <f t="shared" si="3"/>
        <v>0.84</v>
      </c>
      <c r="AB11" s="1616">
        <f t="shared" si="3"/>
        <v>0.84</v>
      </c>
      <c r="AC11" s="1616">
        <f t="shared" si="3"/>
        <v>0.84</v>
      </c>
      <c r="AD11" s="1616">
        <f t="shared" si="3"/>
        <v>0.84</v>
      </c>
      <c r="AE11" s="1616">
        <f t="shared" si="3"/>
        <v>0.84</v>
      </c>
      <c r="AF11" s="1616">
        <f t="shared" si="3"/>
        <v>0.84</v>
      </c>
      <c r="AG11" s="1616">
        <f t="shared" si="3"/>
        <v>0.84</v>
      </c>
      <c r="AH11" s="1616">
        <f t="shared" si="3"/>
        <v>0.84</v>
      </c>
      <c r="AI11" s="1616">
        <f t="shared" si="3"/>
        <v>0.84</v>
      </c>
      <c r="AJ11" s="1616">
        <f t="shared" si="3"/>
        <v>0.84</v>
      </c>
    </row>
    <row r="12" spans="1:36" ht="25.5" thickBot="1">
      <c r="A12" s="3300" t="s">
        <v>2863</v>
      </c>
      <c r="B12" s="2755" t="s">
        <v>2864</v>
      </c>
      <c r="C12" s="918">
        <f>ROUND(C15*D15*E15*F15*G15*H15*I15*J15,4)</f>
        <v>1</v>
      </c>
      <c r="D12" s="2756" t="s">
        <v>2865</v>
      </c>
      <c r="E12" s="2757"/>
      <c r="F12" s="2757"/>
      <c r="G12" s="2758"/>
      <c r="H12" s="2758"/>
      <c r="I12" s="2758"/>
      <c r="J12" s="2759"/>
      <c r="K12" s="1372"/>
      <c r="L12" s="2760" t="s">
        <v>2866</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13"/>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8"/>
      <c r="B13" s="2761" t="s">
        <v>2868</v>
      </c>
      <c r="C13" s="2762" t="s">
        <v>2869</v>
      </c>
      <c r="D13" s="1809" t="s">
        <v>2870</v>
      </c>
      <c r="E13" s="1809" t="s">
        <v>2871</v>
      </c>
      <c r="F13" s="30" t="s">
        <v>2872</v>
      </c>
      <c r="G13" s="2763" t="s">
        <v>2873</v>
      </c>
      <c r="H13" s="2763" t="s">
        <v>2873</v>
      </c>
      <c r="I13" s="2763" t="s">
        <v>2873</v>
      </c>
      <c r="J13" s="2764" t="s">
        <v>2873</v>
      </c>
      <c r="K13" s="1372"/>
      <c r="L13" s="1372"/>
      <c r="M13" s="1372"/>
      <c r="N13" s="1372"/>
      <c r="O13" s="1372"/>
      <c r="P13" s="1372"/>
      <c r="Q13" s="1372"/>
      <c r="R13" s="1603">
        <v>12</v>
      </c>
      <c r="S13" s="1604"/>
      <c r="T13" s="1603" t="e">
        <f t="shared" si="0"/>
        <v>#DIV/0!</v>
      </c>
      <c r="U13" s="1604"/>
      <c r="V13" s="1603" t="e">
        <f t="shared" si="1"/>
        <v>#DIV/0!</v>
      </c>
      <c r="W13" s="3313"/>
      <c r="X13" s="1617"/>
      <c r="Y13" s="1614">
        <f>(-0.163*(Y12^2)-0.59*Y12+7617)*(10^(-4))/Y11</f>
        <v>0.90678571428571442</v>
      </c>
      <c r="Z13" s="1614">
        <f t="shared" ref="Z13:AJ13" si="5">(-0.163*(Z12^2)-0.59*Z12+7617)*(10^(-4))/Z11</f>
        <v>0.90678571428571442</v>
      </c>
      <c r="AA13" s="1614">
        <f t="shared" si="5"/>
        <v>0.90678571428571442</v>
      </c>
      <c r="AB13" s="1614">
        <f t="shared" si="5"/>
        <v>0.90678571428571442</v>
      </c>
      <c r="AC13" s="1614">
        <f t="shared" si="5"/>
        <v>0.90678571428571442</v>
      </c>
      <c r="AD13" s="1614">
        <f t="shared" si="5"/>
        <v>0.90678571428571442</v>
      </c>
      <c r="AE13" s="1614">
        <f t="shared" si="5"/>
        <v>0.90678571428571442</v>
      </c>
      <c r="AF13" s="1614">
        <f t="shared" si="5"/>
        <v>0.90678571428571442</v>
      </c>
      <c r="AG13" s="1614">
        <f t="shared" si="5"/>
        <v>0.90678571428571442</v>
      </c>
      <c r="AH13" s="1614">
        <f t="shared" si="5"/>
        <v>0.90678571428571442</v>
      </c>
      <c r="AI13" s="1614">
        <f t="shared" si="5"/>
        <v>0.90678571428571442</v>
      </c>
      <c r="AJ13" s="1614">
        <f t="shared" si="5"/>
        <v>0.90678571428571442</v>
      </c>
    </row>
    <row r="14" spans="1:36" ht="15">
      <c r="A14" s="3318"/>
      <c r="B14" s="2765"/>
      <c r="C14" s="2766"/>
      <c r="D14" s="2767"/>
      <c r="E14" s="2767"/>
      <c r="F14" s="2768"/>
      <c r="G14" s="2769" t="s">
        <v>2874</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9"/>
      <c r="B15" s="2773" t="s">
        <v>2875</v>
      </c>
      <c r="C15" s="229">
        <f>IF(C14="有",1.1,1)</f>
        <v>1</v>
      </c>
      <c r="D15" s="229">
        <f>IF(D14="有",1.1,1)</f>
        <v>1</v>
      </c>
      <c r="E15" s="229">
        <f>IF(E14="有",1.1,1)</f>
        <v>1</v>
      </c>
      <c r="F15" s="229">
        <f>IF(F14="500米范围内",1.2,IF(F14="500-1000米",1.1,1))</f>
        <v>1</v>
      </c>
      <c r="G15" s="948">
        <v>1</v>
      </c>
      <c r="H15" s="948">
        <v>1</v>
      </c>
      <c r="I15" s="948">
        <v>1</v>
      </c>
      <c r="J15" s="949">
        <v>1</v>
      </c>
      <c r="K15" s="1372"/>
      <c r="L15" s="2774" t="s">
        <v>2811</v>
      </c>
      <c r="M15" s="919" t="s">
        <v>2876</v>
      </c>
      <c r="N15" s="919" t="s">
        <v>2877</v>
      </c>
      <c r="O15" s="919" t="s">
        <v>2878</v>
      </c>
      <c r="P15" s="2775" t="s">
        <v>2879</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0" t="s">
        <v>2880</v>
      </c>
      <c r="B16" s="2742" t="s">
        <v>2881</v>
      </c>
      <c r="C16" s="1802" t="e">
        <f>ROUND(SUM(G17:J17)/C17,0)</f>
        <v>#DIV/0!</v>
      </c>
      <c r="D16" s="2776" t="s">
        <v>2882</v>
      </c>
      <c r="E16" s="2777"/>
      <c r="F16" s="2778"/>
      <c r="G16" s="2779"/>
      <c r="H16" s="2779"/>
      <c r="I16" s="2779"/>
      <c r="J16" s="2780"/>
      <c r="K16" s="1372"/>
      <c r="L16" s="2781" t="s">
        <v>2883</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1"/>
      <c r="B17" s="2782" t="s">
        <v>2884</v>
      </c>
      <c r="C17" s="923">
        <f>SUMPRODUCT((修正!A2:A5=E2)*(修正!B1:M1=G2)*(修正!B2:M5))</f>
        <v>0</v>
      </c>
      <c r="D17" s="2783"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2888</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2889</v>
      </c>
      <c r="C19" s="926" t="e">
        <f>ROUND(IF(H19="按公示增长率计算",SUMPRODUCT((地价!A3:A23=YEAR(G19)&amp;"-"&amp;ROUNDUP(MONTH(G19)/3,0))*(地价!X2:AB2=E2)*(地价!X3:AB23)),IF(H19="地价指数",M20/M19,(1+I19)^O19)),4)</f>
        <v>#DIV/0!</v>
      </c>
      <c r="D19" s="2794" t="s">
        <v>2890</v>
      </c>
      <c r="E19" s="927">
        <v>41640</v>
      </c>
      <c r="F19" s="2794" t="s">
        <v>2891</v>
      </c>
      <c r="G19" s="928">
        <f>'数据-取费表'!B2</f>
        <v>43292</v>
      </c>
      <c r="H19" s="2795" t="s">
        <v>2892</v>
      </c>
      <c r="I19" s="929" t="str">
        <f>IF(H19="季度增幅（自定义）",SUMIF(N21:N24,E2,O21:O24),"")</f>
        <v/>
      </c>
      <c r="J19" s="2792"/>
      <c r="K19" s="1379"/>
      <c r="L19" s="2796" t="s">
        <v>2893</v>
      </c>
      <c r="M19" s="1735">
        <f>ROUND(SUMIF(地价!B2:F2,E2,地价!B23:F23),0)</f>
        <v>0</v>
      </c>
      <c r="N19" s="2797"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2895</v>
      </c>
      <c r="C20" s="931" t="e">
        <f>ROUND(POWER(1+G20,J20-I20)*(POWER(1+G20,I20)-1)/(POWER(1+G20,J20)-1),4)</f>
        <v>#DIV/0!</v>
      </c>
      <c r="D20" s="2803" t="s">
        <v>2896</v>
      </c>
      <c r="E20" s="1769">
        <f ca="1">存贷款利率!D4/100</f>
        <v>4.3499999999999997E-2</v>
      </c>
      <c r="F20" s="2803" t="s">
        <v>2887</v>
      </c>
      <c r="G20" s="936">
        <f>SUMIF(M15:P15,E2,M17:P17)</f>
        <v>0</v>
      </c>
      <c r="H20" s="2803" t="s">
        <v>2897</v>
      </c>
      <c r="I20" s="937" t="e">
        <f>SUMIF('数据-取费表'!C6:C15,E2,'数据-取费表'!F6:F15)/COUNTIF('数据-取费表'!C6:C15,E2)</f>
        <v>#DIV/0!</v>
      </c>
      <c r="J20" s="938">
        <f>IF(E2="住宅",70,IF(E2="商业",40,50))</f>
        <v>50</v>
      </c>
      <c r="K20" s="1379"/>
      <c r="L20" s="2804" t="s">
        <v>2898</v>
      </c>
      <c r="M20" s="1736">
        <f>ROUND(SUMPRODUCT((地价!A4:A23=YEAR(G19)&amp;"-"&amp;ROUNDUP(MONTH(G19)/3,0))*(地价!B2:F2=E2)*(地价!B4:F23)),0)</f>
        <v>0</v>
      </c>
      <c r="N20" s="2805" t="s">
        <v>2899</v>
      </c>
      <c r="O20" s="2806" t="s">
        <v>2900</v>
      </c>
      <c r="P20" s="2807" t="s">
        <v>2901</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2902</v>
      </c>
      <c r="C21" s="939">
        <f>IF(B21="容积率修正",IF(G3&lt;=10,D22,J22),C23)</f>
        <v>0</v>
      </c>
      <c r="D21" s="2810"/>
      <c r="E21" s="2810"/>
      <c r="F21" s="2810"/>
      <c r="G21" s="2810"/>
      <c r="H21" s="2810"/>
      <c r="I21" s="2810"/>
      <c r="J21" s="2811"/>
      <c r="K21" s="1379"/>
      <c r="N21" s="2812" t="s">
        <v>2903</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2904</v>
      </c>
      <c r="B22" s="2813" t="s">
        <v>2905</v>
      </c>
      <c r="C22" s="1811" t="s">
        <v>2906</v>
      </c>
      <c r="D22" s="1811">
        <f>IF(E22=G22,F22,IF(G3&lt;=10,ROUND(F22+(H22-F22)*(G3-E22)/(G22-E22),4),"——"))</f>
        <v>0</v>
      </c>
      <c r="E22" s="915">
        <f>ROUNDDOWN(G3,1)</f>
        <v>0.8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2907</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2908</v>
      </c>
      <c r="B23" s="2814" t="s">
        <v>2909</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2910</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2911</v>
      </c>
      <c r="C24" s="926">
        <f>SUMIF(A45:A88,E2,B45:B88)</f>
        <v>0</v>
      </c>
      <c r="D24" s="2790"/>
      <c r="E24" s="2820"/>
      <c r="F24" s="2820"/>
      <c r="G24" s="2820"/>
      <c r="H24" s="2820"/>
      <c r="I24" s="2820"/>
      <c r="J24" s="2821"/>
      <c r="K24" s="1379"/>
      <c r="N24" s="2822" t="s">
        <v>2912</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2913</v>
      </c>
      <c r="C25" s="932"/>
      <c r="D25" s="2745"/>
      <c r="E25" s="2745"/>
      <c r="F25" s="2824"/>
      <c r="G25" s="2745"/>
      <c r="H25" s="2745"/>
      <c r="I25" s="2745"/>
      <c r="J25" s="2746"/>
      <c r="K25" s="1372"/>
      <c r="N25" s="2825" t="s">
        <v>2914</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2915</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2916</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2917</v>
      </c>
      <c r="C28" s="2837" t="s">
        <v>2918</v>
      </c>
      <c r="D28" s="2837" t="s">
        <v>2919</v>
      </c>
      <c r="E28" s="2838" t="s">
        <v>2920</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2921</v>
      </c>
      <c r="C29" s="206" t="e">
        <f>ROUND(C5*C18*C19*C20*C21*C24,0)</f>
        <v>#DIV/0!</v>
      </c>
      <c r="D29" s="2842"/>
      <c r="E29" s="944" t="e">
        <f>ROUND(C29*D29/10000,0)</f>
        <v>#DIV/0!</v>
      </c>
      <c r="F29" s="2843" t="s">
        <v>2922</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2923</v>
      </c>
      <c r="C30" s="229" t="e">
        <f>ROUND(IF(E2="工业",C29*M39,C29*M38),0)</f>
        <v>#DIV/0!</v>
      </c>
      <c r="D30" s="2848"/>
      <c r="E30" s="944" t="e">
        <f>ROUND(C30*D30/10000,0)</f>
        <v>#DIV/0!</v>
      </c>
      <c r="F30" s="2849" t="s">
        <v>2924</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08" t="s">
        <v>2929</v>
      </c>
      <c r="B33" s="2858" t="s">
        <v>2930</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9"/>
      <c r="B34" s="2762" t="s">
        <v>2931</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9"/>
      <c r="B35" s="2762" t="s">
        <v>2932</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310"/>
      <c r="B36" s="2762" t="s">
        <v>2933</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2934</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2935</v>
      </c>
      <c r="M37" s="2862"/>
      <c r="N37" s="1372"/>
      <c r="O37" s="1372"/>
      <c r="P37" s="1372"/>
      <c r="Q37" s="1372"/>
      <c r="R37" s="1372"/>
      <c r="S37" s="1372"/>
      <c r="T37" s="1372"/>
      <c r="U37" s="1372"/>
      <c r="V37" s="1372"/>
      <c r="W37" s="1372"/>
      <c r="X37" s="1372"/>
      <c r="Y37" s="1372"/>
      <c r="Z37" s="1373"/>
    </row>
    <row r="38" spans="1:37">
      <c r="A38" s="2860"/>
      <c r="B38" s="2762" t="s">
        <v>2936</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8" t="s">
        <v>2937</v>
      </c>
      <c r="M38" s="2863">
        <v>0.25</v>
      </c>
      <c r="N38" s="1372"/>
      <c r="O38" s="1372"/>
      <c r="P38" s="1372"/>
      <c r="Q38" s="1372"/>
      <c r="R38" s="1372"/>
      <c r="S38" s="1372"/>
      <c r="T38" s="1372"/>
      <c r="U38" s="1372"/>
      <c r="V38" s="1372"/>
      <c r="W38" s="1372"/>
      <c r="X38" s="1372"/>
      <c r="Y38" s="1372"/>
      <c r="Z38" s="1373"/>
    </row>
    <row r="39" spans="1:37" ht="13.5" thickBot="1">
      <c r="A39" s="2846"/>
      <c r="B39" s="2864" t="s">
        <v>2938</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2879</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2939</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2940</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2941</v>
      </c>
      <c r="B47" s="1810" t="s">
        <v>2942</v>
      </c>
      <c r="C47" s="1810" t="s">
        <v>2943</v>
      </c>
      <c r="D47" s="1810" t="s">
        <v>2944</v>
      </c>
      <c r="E47" s="818" t="s">
        <v>2945</v>
      </c>
      <c r="F47" s="2876" t="s">
        <v>2946</v>
      </c>
      <c r="G47" s="1810" t="s">
        <v>754</v>
      </c>
      <c r="H47" s="2877" t="s">
        <v>2947</v>
      </c>
      <c r="I47" s="1810" t="s">
        <v>2948</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51">
      <c r="A48" s="2875" t="s">
        <v>2949</v>
      </c>
      <c r="B48" s="2878" t="str">
        <f>估价对象房地状况!C4</f>
        <v>估价对象周边没有大型商业中心、有少量住宅项目底商，人流量较少，商业繁华度较差。</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2950</v>
      </c>
      <c r="B49" s="2879" t="str">
        <f>估价对象房地状况!C18</f>
        <v>估价对象邻近京承高速、机场北线高速；公共交通情况差、停车较便捷，综合评价交通便捷度一般。</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2951</v>
      </c>
      <c r="B50" s="2879" t="str">
        <f>估价对象房地状况!C19</f>
        <v>区域以住宅用地为主、区域土地利用方向较一致。</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2952</v>
      </c>
      <c r="B51" s="2880" t="s">
        <v>2953</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2954</v>
      </c>
      <c r="B52" s="2879" t="str">
        <f>估价对象房地状况!C24</f>
        <v>城市支路——高白路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2955</v>
      </c>
      <c r="B53" s="2881" t="s">
        <v>2956</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2957</v>
      </c>
      <c r="B54" s="1726" t="str">
        <f>估价对象房地状况!C21</f>
        <v>估价对象所在区域公共配套设施齐备情况一般。</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2958</v>
      </c>
      <c r="B55" s="2879" t="str">
        <f>估价对象房地状况!C22</f>
        <v>估价对象所在区域基础设施水平达“七通”。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3" t="s">
        <v>2959</v>
      </c>
      <c r="B56" s="2884" t="str">
        <f>估价对象房地状况!C20</f>
        <v>估价对象所在区域邻近温榆河，自然环境一般；无人文环境场所；综合评价自然及人文环境状况一般。</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2960</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2941</v>
      </c>
      <c r="B58" s="1810"/>
      <c r="C58" s="1810" t="s">
        <v>2943</v>
      </c>
      <c r="D58" s="1810" t="s">
        <v>2944</v>
      </c>
      <c r="E58" s="818" t="s">
        <v>2945</v>
      </c>
      <c r="F58" s="2876" t="s">
        <v>2961</v>
      </c>
      <c r="G58" s="1810" t="s">
        <v>754</v>
      </c>
      <c r="H58" s="2877" t="s">
        <v>2947</v>
      </c>
      <c r="I58" s="1810" t="s">
        <v>2948</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25.5">
      <c r="A59" s="2875" t="s">
        <v>2962</v>
      </c>
      <c r="B59" s="2878" t="str">
        <f>估价对象房地状况!C17</f>
        <v>估价对象周边办公项目较少，办公集聚程度较差。</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2950</v>
      </c>
      <c r="B60" s="2879" t="str">
        <f>估价对象房地状况!C18</f>
        <v>估价对象邻近京承高速、机场北线高速；公共交通情况差、停车较便捷，综合评价交通便捷度一般。</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2951</v>
      </c>
      <c r="B61" s="2879" t="str">
        <f>估价对象房地状况!C19</f>
        <v>区域以住宅用地为主、区域土地利用方向较一致。</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2952</v>
      </c>
      <c r="B62" s="2880" t="s">
        <v>2953</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2954</v>
      </c>
      <c r="B63" s="2879" t="str">
        <f>估价对象房地状况!C24</f>
        <v>城市支路——高白路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2955</v>
      </c>
      <c r="B64" s="2881" t="s">
        <v>2956</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2957</v>
      </c>
      <c r="B65" s="1726" t="str">
        <f>估价对象房地状况!C21</f>
        <v>估价对象所在区域公共配套设施齐备情况一般。</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2958</v>
      </c>
      <c r="B66" s="1726" t="str">
        <f>估价对象房地状况!C22</f>
        <v>估价对象所在区域基础设施水平达“七通”。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3" t="s">
        <v>2959</v>
      </c>
      <c r="B67" s="2885" t="str">
        <f>估价对象房地状况!C20</f>
        <v>估价对象所在区域邻近温榆河，自然环境一般；无人文环境场所；综合评价自然及人文环境状况一般。</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2963</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2941</v>
      </c>
      <c r="B69" s="1810"/>
      <c r="C69" s="1810" t="s">
        <v>2943</v>
      </c>
      <c r="D69" s="1810" t="s">
        <v>2944</v>
      </c>
      <c r="E69" s="818" t="s">
        <v>2945</v>
      </c>
      <c r="F69" s="2876" t="s">
        <v>2961</v>
      </c>
      <c r="G69" s="1810" t="s">
        <v>754</v>
      </c>
      <c r="H69" s="2877" t="s">
        <v>2947</v>
      </c>
      <c r="I69" s="1810" t="s">
        <v>2948</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63.75">
      <c r="A70" s="2875" t="s">
        <v>2964</v>
      </c>
      <c r="B70" s="2878" t="str">
        <f>估价对象房地状况!C15</f>
        <v>估价对象周边有春晖园、新于庄园、新世界丽樽等住宅项目，密集度一般，综合评价居住社区成熟度一般。</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2950</v>
      </c>
      <c r="B71" s="2879" t="str">
        <f>估价对象房地状况!C18</f>
        <v>估价对象邻近京承高速、机场北线高速；公共交通情况差、停车较便捷，综合评价交通便捷度一般。</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2951</v>
      </c>
      <c r="B72" s="2879" t="str">
        <f>估价对象房地状况!C19</f>
        <v>区域以住宅用地为主、区域土地利用方向较一致。</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2965</v>
      </c>
      <c r="B73" s="2879" t="str">
        <f>估价对象房地状况!C24</f>
        <v>城市支路——高白路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2957</v>
      </c>
      <c r="B74" s="1726" t="str">
        <f>估价对象房地状况!C21</f>
        <v>估价对象所在区域公共配套设施齐备情况一般。</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2958</v>
      </c>
      <c r="B75" s="1726" t="str">
        <f>估价对象房地状况!C22</f>
        <v>估价对象所在区域基础设施水平达“七通”。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2955</v>
      </c>
      <c r="B76" s="2881" t="s">
        <v>2956</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63.75">
      <c r="A77" s="2875" t="s">
        <v>2959</v>
      </c>
      <c r="B77" s="2878" t="str">
        <f>估价对象房地状况!C20</f>
        <v>估价对象所在区域邻近温榆河，自然环境一般；无人文环境场所；综合评价自然及人文环境状况一般。</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2966</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2967</v>
      </c>
      <c r="B79" s="2872">
        <f>1+E81</f>
        <v>1</v>
      </c>
      <c r="C79" s="813"/>
      <c r="D79" s="813"/>
      <c r="E79" s="814"/>
      <c r="F79" s="2874"/>
      <c r="G79" s="6"/>
      <c r="H79" s="6"/>
      <c r="I79" s="6"/>
      <c r="J79" s="7"/>
      <c r="K79" s="7"/>
      <c r="L79" s="7"/>
      <c r="M79" s="7"/>
      <c r="N79" s="7"/>
      <c r="Z79" s="2717"/>
      <c r="AA79" s="2793"/>
      <c r="AG79" s="1374"/>
      <c r="AK79" s="2793"/>
    </row>
    <row r="80" spans="1:37" ht="24.75">
      <c r="A80" s="2875" t="s">
        <v>2941</v>
      </c>
      <c r="B80" s="1810"/>
      <c r="C80" s="1810" t="s">
        <v>2943</v>
      </c>
      <c r="D80" s="1810" t="s">
        <v>2944</v>
      </c>
      <c r="E80" s="818" t="s">
        <v>2945</v>
      </c>
      <c r="F80" s="2876" t="s">
        <v>2961</v>
      </c>
      <c r="G80" s="1810" t="s">
        <v>754</v>
      </c>
      <c r="H80" s="2877" t="s">
        <v>2947</v>
      </c>
      <c r="I80" s="1810" t="s">
        <v>2948</v>
      </c>
      <c r="J80" s="603" t="s">
        <v>2594</v>
      </c>
      <c r="K80" s="603" t="s">
        <v>2595</v>
      </c>
      <c r="L80" s="603" t="s">
        <v>2596</v>
      </c>
      <c r="M80" s="603" t="s">
        <v>2597</v>
      </c>
      <c r="N80" s="603" t="s">
        <v>2598</v>
      </c>
      <c r="Z80" s="2717"/>
      <c r="AA80" s="2793"/>
      <c r="AG80" s="1374"/>
      <c r="AK80" s="2793"/>
    </row>
    <row r="81" spans="1:37" ht="38.25">
      <c r="A81" s="2875" t="s">
        <v>2968</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2950</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2951</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2965</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2957</v>
      </c>
      <c r="B85" s="1726"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2958</v>
      </c>
      <c r="B86" s="1726"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2955</v>
      </c>
      <c r="B87" s="2881" t="s">
        <v>2969</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2970</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302" t="s">
        <v>2971</v>
      </c>
      <c r="B90" s="3302"/>
      <c r="C90" s="3302"/>
      <c r="D90" s="3302"/>
      <c r="E90" s="3302"/>
      <c r="F90" s="3302"/>
      <c r="G90" s="3302"/>
      <c r="H90" s="3302"/>
      <c r="I90" s="3302"/>
      <c r="J90" s="3302"/>
      <c r="K90" s="2889"/>
      <c r="L90" s="2889"/>
      <c r="M90" s="2889"/>
      <c r="N90" s="2889"/>
    </row>
    <row r="91" spans="1:37">
      <c r="A91" s="3304" t="s">
        <v>2972</v>
      </c>
      <c r="B91" s="3304" t="s">
        <v>2973</v>
      </c>
      <c r="C91" s="2843" t="s">
        <v>2974</v>
      </c>
      <c r="D91" s="2844"/>
      <c r="E91" s="2844"/>
      <c r="F91" s="2844"/>
      <c r="G91" s="2844"/>
      <c r="H91" s="2844"/>
      <c r="I91" s="2844"/>
      <c r="J91" s="2890"/>
      <c r="K91" s="2891"/>
      <c r="L91" s="2891"/>
      <c r="M91" s="2891"/>
      <c r="N91" s="2891"/>
    </row>
    <row r="92" spans="1:37">
      <c r="A92" s="3304"/>
      <c r="B92" s="3304"/>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305"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6"/>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0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5" t="s">
        <v>2976</v>
      </c>
      <c r="B101" s="2896" t="s">
        <v>2977</v>
      </c>
      <c r="C101" s="2897">
        <f>$G$3</f>
        <v>0.84</v>
      </c>
      <c r="D101" s="2897">
        <f t="shared" ref="D101:N101" si="31">$G$3</f>
        <v>0.84</v>
      </c>
      <c r="E101" s="2897">
        <f t="shared" si="31"/>
        <v>0.84</v>
      </c>
      <c r="F101" s="2897">
        <f t="shared" si="31"/>
        <v>0.84</v>
      </c>
      <c r="G101" s="2897">
        <f t="shared" si="31"/>
        <v>0.84</v>
      </c>
      <c r="H101" s="2897">
        <f t="shared" si="31"/>
        <v>0.84</v>
      </c>
      <c r="I101" s="2897">
        <f t="shared" si="31"/>
        <v>0.84</v>
      </c>
      <c r="J101" s="2897">
        <f t="shared" si="31"/>
        <v>0.84</v>
      </c>
      <c r="K101" s="2897">
        <f t="shared" si="31"/>
        <v>0.84</v>
      </c>
      <c r="L101" s="2897">
        <f t="shared" si="31"/>
        <v>0.84</v>
      </c>
      <c r="M101" s="2897">
        <f t="shared" si="31"/>
        <v>0.84</v>
      </c>
      <c r="N101" s="2897">
        <f t="shared" si="31"/>
        <v>0.84</v>
      </c>
    </row>
    <row r="102" spans="1:14">
      <c r="A102" s="3306"/>
      <c r="B102" s="2892">
        <v>1</v>
      </c>
      <c r="C102" s="2893">
        <f>1.9362/C101</f>
        <v>2.3050000000000002</v>
      </c>
      <c r="D102" s="2893">
        <f>1.9362/D101</f>
        <v>2.3050000000000002</v>
      </c>
      <c r="E102" s="2893">
        <f>1.8629/E101</f>
        <v>2.2177380952380954</v>
      </c>
      <c r="F102" s="2893">
        <f>1.8629/F101</f>
        <v>2.2177380952380954</v>
      </c>
      <c r="G102" s="2893">
        <f>1.8629/G101</f>
        <v>2.2177380952380954</v>
      </c>
      <c r="H102" s="2893">
        <f>1.8629/H101</f>
        <v>2.2177380952380954</v>
      </c>
      <c r="I102" s="2893">
        <f>1.8629/I101</f>
        <v>2.2177380952380954</v>
      </c>
      <c r="J102" s="2893">
        <f>1.942/J101</f>
        <v>2.3119047619047621</v>
      </c>
      <c r="K102" s="2893">
        <f>1.942/K101</f>
        <v>2.3119047619047621</v>
      </c>
      <c r="L102" s="2893">
        <f>1.942/L101</f>
        <v>2.3119047619047621</v>
      </c>
      <c r="M102" s="2893">
        <f>1.942/M101</f>
        <v>2.3119047619047621</v>
      </c>
      <c r="N102" s="2893">
        <f>1.942/N101</f>
        <v>2.3119047619047621</v>
      </c>
    </row>
    <row r="103" spans="1:14">
      <c r="A103" s="3306"/>
      <c r="B103" s="2892">
        <v>2</v>
      </c>
      <c r="C103" s="2893">
        <f>1.4198/C101</f>
        <v>1.6902380952380953</v>
      </c>
      <c r="D103" s="2893">
        <f>1.4198/D101</f>
        <v>1.6902380952380953</v>
      </c>
      <c r="E103" s="2893">
        <f>1.3372/E101</f>
        <v>1.5919047619047619</v>
      </c>
      <c r="F103" s="2893">
        <f>1.3372/F101</f>
        <v>1.5919047619047619</v>
      </c>
      <c r="G103" s="2893">
        <f>1.3372/G101</f>
        <v>1.5919047619047619</v>
      </c>
      <c r="H103" s="2893">
        <f>1.3372/H101</f>
        <v>1.5919047619047619</v>
      </c>
      <c r="I103" s="2893">
        <f>1.3372/I101</f>
        <v>1.5919047619047619</v>
      </c>
      <c r="J103" s="2893">
        <f>1.2799/J101</f>
        <v>1.5236904761904764</v>
      </c>
      <c r="K103" s="2893">
        <f>1.2799/K101</f>
        <v>1.5236904761904764</v>
      </c>
      <c r="L103" s="2893">
        <f>1.2799/L101</f>
        <v>1.5236904761904764</v>
      </c>
      <c r="M103" s="2893">
        <f>1.2799/M101</f>
        <v>1.5236904761904764</v>
      </c>
      <c r="N103" s="2893">
        <f>1.2799/N101</f>
        <v>1.5236904761904764</v>
      </c>
    </row>
    <row r="104" spans="1:14">
      <c r="A104" s="3306"/>
      <c r="B104" s="2892">
        <v>3</v>
      </c>
      <c r="C104" s="2893">
        <f>1.1594/C101</f>
        <v>1.3802380952380953</v>
      </c>
      <c r="D104" s="2893">
        <f>1.1594/D101</f>
        <v>1.3802380952380953</v>
      </c>
      <c r="E104" s="2893">
        <f>1.0788/E101</f>
        <v>1.2842857142857143</v>
      </c>
      <c r="F104" s="2893">
        <f>1.0788/F101</f>
        <v>1.2842857142857143</v>
      </c>
      <c r="G104" s="2893">
        <f>1.0788/G101</f>
        <v>1.2842857142857143</v>
      </c>
      <c r="H104" s="2893">
        <f>1.0788/H101</f>
        <v>1.2842857142857143</v>
      </c>
      <c r="I104" s="2893">
        <f>1.0788/I101</f>
        <v>1.2842857142857143</v>
      </c>
      <c r="J104" s="2893">
        <f>1.0072/J101</f>
        <v>1.1990476190476191</v>
      </c>
      <c r="K104" s="2893">
        <f>1.0072/K101</f>
        <v>1.1990476190476191</v>
      </c>
      <c r="L104" s="2893">
        <f>1.0072/L101</f>
        <v>1.1990476190476191</v>
      </c>
      <c r="M104" s="2893">
        <f>1.0072/M101</f>
        <v>1.1990476190476191</v>
      </c>
      <c r="N104" s="2893">
        <f>1.0072/N101</f>
        <v>1.1990476190476191</v>
      </c>
    </row>
    <row r="105" spans="1:14">
      <c r="A105" s="3306"/>
      <c r="B105" s="2892">
        <v>4</v>
      </c>
      <c r="C105" s="2893">
        <f>0.9622/C101</f>
        <v>1.1454761904761905</v>
      </c>
      <c r="D105" s="2893">
        <f>0.9622/D101</f>
        <v>1.1454761904761905</v>
      </c>
      <c r="E105" s="2893">
        <f>0.8656/E101</f>
        <v>1.0304761904761905</v>
      </c>
      <c r="F105" s="2893">
        <f>0.8656/F101</f>
        <v>1.0304761904761905</v>
      </c>
      <c r="G105" s="2893">
        <f>0.8656/G101</f>
        <v>1.0304761904761905</v>
      </c>
      <c r="H105" s="2893">
        <f>0.8656/H101</f>
        <v>1.0304761904761905</v>
      </c>
      <c r="I105" s="2893">
        <f>0.8656/I101</f>
        <v>1.0304761904761905</v>
      </c>
      <c r="J105" s="2893">
        <f>0.7525/J101</f>
        <v>0.89583333333333326</v>
      </c>
      <c r="K105" s="2893">
        <f>0.7525/K101</f>
        <v>0.89583333333333326</v>
      </c>
      <c r="L105" s="2893">
        <f>0.7525/L101</f>
        <v>0.89583333333333326</v>
      </c>
      <c r="M105" s="2893">
        <f>0.7525/M101</f>
        <v>0.89583333333333326</v>
      </c>
      <c r="N105" s="2893">
        <f>0.7525/N101</f>
        <v>0.89583333333333326</v>
      </c>
    </row>
    <row r="106" spans="1:14">
      <c r="A106" s="3306"/>
      <c r="B106" s="2892">
        <v>5</v>
      </c>
      <c r="C106" s="2893">
        <f>0.8417/C101</f>
        <v>1.0020238095238096</v>
      </c>
      <c r="D106" s="2893">
        <f>0.8417/D101</f>
        <v>1.0020238095238096</v>
      </c>
      <c r="E106" s="2893">
        <f>0.7371/E101</f>
        <v>0.87750000000000006</v>
      </c>
      <c r="F106" s="2893">
        <f>0.7371/F101</f>
        <v>0.87750000000000006</v>
      </c>
      <c r="G106" s="2893">
        <f>0.7371/G101</f>
        <v>0.87750000000000006</v>
      </c>
      <c r="H106" s="2893">
        <f>0.7371/H101</f>
        <v>0.87750000000000006</v>
      </c>
      <c r="I106" s="2893">
        <f>0.7371/I101</f>
        <v>0.87750000000000006</v>
      </c>
      <c r="J106" s="2893">
        <f>0.5659/J101</f>
        <v>0.67369047619047617</v>
      </c>
      <c r="K106" s="2893">
        <f>0.5659/K101</f>
        <v>0.67369047619047617</v>
      </c>
      <c r="L106" s="2893">
        <f>0.5659/L101</f>
        <v>0.67369047619047617</v>
      </c>
      <c r="M106" s="2893">
        <f>0.5659/M101</f>
        <v>0.67369047619047617</v>
      </c>
      <c r="N106" s="2893">
        <f>0.5659/N101</f>
        <v>0.67369047619047617</v>
      </c>
    </row>
    <row r="107" spans="1:14">
      <c r="A107" s="3306"/>
      <c r="B107" s="2892">
        <v>6</v>
      </c>
      <c r="C107" s="2893">
        <f>0.7608/C101</f>
        <v>0.90571428571428581</v>
      </c>
      <c r="D107" s="2893">
        <f>0.7608/D101</f>
        <v>0.90571428571428581</v>
      </c>
      <c r="E107" s="2893">
        <f>0.6482/E101</f>
        <v>0.77166666666666672</v>
      </c>
      <c r="F107" s="2893">
        <f>0.6482/F101</f>
        <v>0.77166666666666672</v>
      </c>
      <c r="G107" s="2893">
        <f>0.6482/G101</f>
        <v>0.77166666666666672</v>
      </c>
      <c r="H107" s="2893">
        <f>0.6482/H101</f>
        <v>0.77166666666666672</v>
      </c>
      <c r="I107" s="2893">
        <f>0.6482/I101</f>
        <v>0.77166666666666672</v>
      </c>
      <c r="J107" s="2893">
        <f>0.4525/J101</f>
        <v>0.53869047619047628</v>
      </c>
      <c r="K107" s="2893">
        <f>0.4525/K101</f>
        <v>0.53869047619047628</v>
      </c>
      <c r="L107" s="2893">
        <f>0.4525/L101</f>
        <v>0.53869047619047628</v>
      </c>
      <c r="M107" s="2893">
        <f>0.4525/M101</f>
        <v>0.53869047619047628</v>
      </c>
      <c r="N107" s="2893">
        <f>0.4525/N101</f>
        <v>0.53869047619047628</v>
      </c>
    </row>
    <row r="108" spans="1:14">
      <c r="A108" s="3306"/>
      <c r="B108" s="3132" t="s">
        <v>2978</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07"/>
      <c r="B109" s="3133"/>
      <c r="C109" s="2895">
        <f>(-0.163*(C108^2)-0.59*C108+7617)*(10^(-4))/C101</f>
        <v>0.90678571428571442</v>
      </c>
      <c r="D109" s="2895">
        <f>(-0.163*(D108^2)-0.59*D108+7617)*(10^(-4))/D101</f>
        <v>0.90678571428571442</v>
      </c>
      <c r="E109" s="2895">
        <f>(-0.161*(E108^2)-7.509*E108+6533)*(10^(-4))/E101</f>
        <v>0.77773809523809523</v>
      </c>
      <c r="F109" s="2895">
        <f>(-0.161*(F108^2)-7.509*F108+6533)*(10^(-4))/F101</f>
        <v>0.77773809523809523</v>
      </c>
      <c r="G109" s="2895">
        <f>(-0.161*(G108^2)-7.509*G108+6533)*(10^(-4))/G101</f>
        <v>0.77773809523809523</v>
      </c>
      <c r="H109" s="2895">
        <f>(-0.161*(H108^2)-7.509*H108+6533)*(10^(-4))/H101</f>
        <v>0.77773809523809523</v>
      </c>
      <c r="I109" s="2895">
        <f>(-0.161*(I108^2)-7.509*I108+6533)*(10^(-4))/I101</f>
        <v>0.77773809523809523</v>
      </c>
      <c r="J109" s="2895">
        <f>(-0.214*(J108^2)-21.991*J108+4665)*(10^(-4))/J101</f>
        <v>0.55535714285714288</v>
      </c>
      <c r="K109" s="2895">
        <f>(-0.214*(K108^2)-21.991*K108+4665)*(10^(-4))/K101</f>
        <v>0.55535714285714288</v>
      </c>
      <c r="L109" s="2895">
        <f>(-0.214*(L108^2)-21.991*L108+4665)*(10^(-4))/L101</f>
        <v>0.55535714285714288</v>
      </c>
      <c r="M109" s="2895">
        <f>(-0.214*(M108^2)-21.991*M108+4665)*(10^(-4))/M101</f>
        <v>0.55535714285714288</v>
      </c>
      <c r="N109" s="2895">
        <f>(-0.214*(N108^2)-21.991*N108+4665)*(10^(-4))/N101</f>
        <v>0.55535714285714288</v>
      </c>
    </row>
    <row r="110" spans="1:14">
      <c r="A110" s="3303" t="s">
        <v>2979</v>
      </c>
      <c r="B110" s="3303"/>
      <c r="C110" s="3303"/>
      <c r="D110" s="3303"/>
      <c r="E110" s="3303"/>
      <c r="F110" s="3303"/>
      <c r="G110" s="3303"/>
      <c r="H110" s="3303"/>
      <c r="I110" s="3303"/>
      <c r="J110" s="3303"/>
      <c r="K110" s="2898"/>
      <c r="L110" s="2898"/>
      <c r="M110" s="2898"/>
      <c r="N110" s="2898"/>
    </row>
    <row r="112" spans="1:14" ht="13.5" thickBot="1"/>
    <row r="113" spans="1:13" ht="25.5" thickBot="1">
      <c r="A113" s="902" t="s">
        <v>2980</v>
      </c>
      <c r="B113" s="1289">
        <f>G3</f>
        <v>0.84</v>
      </c>
      <c r="C113" s="903" t="s">
        <v>2981</v>
      </c>
      <c r="D113" s="904">
        <f>SUMPRODUCT((A115:A118=F113)*(B114:M114=H113)*B115:M118)</f>
        <v>0</v>
      </c>
      <c r="E113" s="2721" t="s">
        <v>2811</v>
      </c>
      <c r="F113" s="2900">
        <f>E2</f>
        <v>0</v>
      </c>
      <c r="G113" s="2721" t="s">
        <v>2812</v>
      </c>
      <c r="H113" s="2900">
        <f>G2</f>
        <v>0</v>
      </c>
      <c r="I113" s="2721"/>
      <c r="J113" s="2901"/>
      <c r="K113" s="2901"/>
      <c r="L113" s="2901"/>
      <c r="M113" s="2901"/>
    </row>
    <row r="114" spans="1:13">
      <c r="A114" s="907"/>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8" t="s">
        <v>2876</v>
      </c>
      <c r="B115" s="909">
        <f>ROUND(0.9335-0.0094*B113,4)</f>
        <v>0.92559999999999998</v>
      </c>
      <c r="C115" s="909">
        <f>B115</f>
        <v>0.92559999999999998</v>
      </c>
      <c r="D115" s="909">
        <f>ROUND(0.8331-0.0109*B113,4)</f>
        <v>0.82389999999999997</v>
      </c>
      <c r="E115" s="909">
        <f>D115</f>
        <v>0.82389999999999997</v>
      </c>
      <c r="F115" s="909">
        <f>E115</f>
        <v>0.82389999999999997</v>
      </c>
      <c r="G115" s="909">
        <f>F115</f>
        <v>0.82389999999999997</v>
      </c>
      <c r="H115" s="909">
        <f>G115</f>
        <v>0.82389999999999997</v>
      </c>
      <c r="I115" s="909">
        <f>ROUND(0.689-0.0155*B113,4)</f>
        <v>0.67600000000000005</v>
      </c>
      <c r="J115" s="909">
        <f t="shared" ref="J115:M118" si="33">I115</f>
        <v>0.67600000000000005</v>
      </c>
      <c r="K115" s="909">
        <f t="shared" si="33"/>
        <v>0.67600000000000005</v>
      </c>
      <c r="L115" s="909">
        <f t="shared" si="33"/>
        <v>0.67600000000000005</v>
      </c>
      <c r="M115" s="910">
        <f t="shared" si="33"/>
        <v>0.67600000000000005</v>
      </c>
    </row>
    <row r="116" spans="1:13">
      <c r="A116" s="908" t="s">
        <v>2877</v>
      </c>
      <c r="B116" s="909">
        <f>ROUND(0.949-0.012*B113,4)</f>
        <v>0.93889999999999996</v>
      </c>
      <c r="C116" s="909">
        <f>B116</f>
        <v>0.93889999999999996</v>
      </c>
      <c r="D116" s="909">
        <f>ROUND(0.8567-0.013*B113,4)</f>
        <v>0.8458</v>
      </c>
      <c r="E116" s="909">
        <f t="shared" ref="E116:H117" si="34">D116</f>
        <v>0.8458</v>
      </c>
      <c r="F116" s="909">
        <f t="shared" si="34"/>
        <v>0.8458</v>
      </c>
      <c r="G116" s="909">
        <f t="shared" si="34"/>
        <v>0.8458</v>
      </c>
      <c r="H116" s="909">
        <f t="shared" si="34"/>
        <v>0.8458</v>
      </c>
      <c r="I116" s="909">
        <f>ROUND(0.7694-0.014*B113,4)</f>
        <v>0.75760000000000005</v>
      </c>
      <c r="J116" s="909">
        <f t="shared" si="33"/>
        <v>0.75760000000000005</v>
      </c>
      <c r="K116" s="909">
        <f t="shared" si="33"/>
        <v>0.75760000000000005</v>
      </c>
      <c r="L116" s="909">
        <f t="shared" si="33"/>
        <v>0.75760000000000005</v>
      </c>
      <c r="M116" s="910">
        <f t="shared" si="33"/>
        <v>0.75760000000000005</v>
      </c>
    </row>
    <row r="117" spans="1:13">
      <c r="A117" s="908" t="s">
        <v>2878</v>
      </c>
      <c r="B117" s="909">
        <f>ROUND(0.8808-0.006*B113,4)</f>
        <v>0.87580000000000002</v>
      </c>
      <c r="C117" s="909">
        <f>B117</f>
        <v>0.87580000000000002</v>
      </c>
      <c r="D117" s="909">
        <f>ROUND(0.8748-0.008*B113,4)</f>
        <v>0.86809999999999998</v>
      </c>
      <c r="E117" s="909">
        <f t="shared" si="34"/>
        <v>0.86809999999999998</v>
      </c>
      <c r="F117" s="909">
        <f t="shared" si="34"/>
        <v>0.86809999999999998</v>
      </c>
      <c r="G117" s="909">
        <f t="shared" si="34"/>
        <v>0.86809999999999998</v>
      </c>
      <c r="H117" s="909">
        <f t="shared" si="34"/>
        <v>0.86809999999999998</v>
      </c>
      <c r="I117" s="909">
        <f>ROUND(0.7412-0.0095*B113,4)</f>
        <v>0.73319999999999996</v>
      </c>
      <c r="J117" s="909">
        <f t="shared" si="33"/>
        <v>0.73319999999999996</v>
      </c>
      <c r="K117" s="909">
        <f t="shared" si="33"/>
        <v>0.73319999999999996</v>
      </c>
      <c r="L117" s="909">
        <f t="shared" si="33"/>
        <v>0.73319999999999996</v>
      </c>
      <c r="M117" s="910">
        <f t="shared" si="33"/>
        <v>0.73319999999999996</v>
      </c>
    </row>
    <row r="118" spans="1:13" ht="13.5" thickBot="1">
      <c r="A118" s="714" t="s">
        <v>2879</v>
      </c>
      <c r="B118" s="911">
        <f>ROUND(0.7275-0.01*B113,4)</f>
        <v>0.71909999999999996</v>
      </c>
      <c r="C118" s="911">
        <f>B118</f>
        <v>0.71909999999999996</v>
      </c>
      <c r="D118" s="911">
        <f>ROUND(0.7043-0.012*B113,4)</f>
        <v>0.69420000000000004</v>
      </c>
      <c r="E118" s="911">
        <f>D118</f>
        <v>0.69420000000000004</v>
      </c>
      <c r="F118" s="911">
        <f>E118</f>
        <v>0.69420000000000004</v>
      </c>
      <c r="G118" s="911">
        <f>ROUND(0.6299-0.0122*B113,4)</f>
        <v>0.61970000000000003</v>
      </c>
      <c r="H118" s="911">
        <f>G118</f>
        <v>0.61970000000000003</v>
      </c>
      <c r="I118" s="911">
        <f>ROUND(0.5667-0.0136*B113,4)</f>
        <v>0.55530000000000002</v>
      </c>
      <c r="J118" s="911">
        <f t="shared" si="33"/>
        <v>0.55530000000000002</v>
      </c>
      <c r="K118" s="911">
        <f t="shared" si="33"/>
        <v>0.55530000000000002</v>
      </c>
      <c r="L118" s="911">
        <f t="shared" si="33"/>
        <v>0.55530000000000002</v>
      </c>
      <c r="M118" s="912">
        <f t="shared" si="33"/>
        <v>0.55530000000000002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8">
      <c r="A3" s="3018" t="str">
        <f>IF(项目基本情况!B9="房地产市场价值","估价结果一览表（市场价值不需“结果表-1”）","估价结果一览表")</f>
        <v>估价结果一览表</v>
      </c>
      <c r="B3" s="3018"/>
      <c r="C3" s="3018"/>
      <c r="D3" s="3018"/>
      <c r="E3" s="3018"/>
    </row>
    <row r="4" spans="1:5" ht="19.5" thickBot="1">
      <c r="A4" s="1962"/>
      <c r="B4" s="3016" t="s">
        <v>1630</v>
      </c>
      <c r="C4" s="3016"/>
      <c r="D4" s="3016"/>
      <c r="E4" s="1962"/>
    </row>
    <row r="5" spans="1:5" ht="16.5" thickTop="1">
      <c r="A5" s="1960"/>
      <c r="B5" s="3014" t="s">
        <v>1622</v>
      </c>
      <c r="C5" s="1963" t="s">
        <v>1623</v>
      </c>
      <c r="D5" s="1042">
        <f ca="1">结果表!H101</f>
        <v>148991</v>
      </c>
      <c r="E5" s="1960"/>
    </row>
    <row r="6" spans="1:5" ht="15.75">
      <c r="A6" s="1960"/>
      <c r="B6" s="3014"/>
      <c r="C6" s="1963" t="s">
        <v>1624</v>
      </c>
      <c r="D6" s="1042" t="str">
        <f ca="1">NUMBERSTRING(INT(D5*10000),2)&amp;"元整"</f>
        <v>壹拾肆亿捌仟玖佰玖拾壹万元整</v>
      </c>
      <c r="E6" s="1960"/>
    </row>
    <row r="7" spans="1:5" ht="15.75">
      <c r="A7" s="1960"/>
      <c r="B7" s="3019"/>
      <c r="C7" s="1964" t="s">
        <v>1625</v>
      </c>
      <c r="D7" s="1043">
        <f ca="1">结果表!H102</f>
        <v>47237</v>
      </c>
      <c r="E7" s="1960"/>
    </row>
    <row r="8" spans="1:5" ht="15.75">
      <c r="A8" s="1960"/>
      <c r="B8" s="3020" t="str">
        <f>结果表!E103</f>
        <v>2.估价师知悉的法定优先受偿款</v>
      </c>
      <c r="C8" s="1965" t="s">
        <v>1626</v>
      </c>
      <c r="D8" s="1043">
        <f>结果表!H103</f>
        <v>0</v>
      </c>
      <c r="E8" s="1960"/>
    </row>
    <row r="9" spans="1:5" ht="15.75">
      <c r="A9" s="1960"/>
      <c r="B9" s="3022"/>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13" t="str">
        <f>结果表!E107</f>
        <v>3.房地产抵押价值</v>
      </c>
      <c r="C13" s="1968" t="s">
        <v>1623</v>
      </c>
      <c r="D13" s="1045">
        <f ca="1">结果表!H107</f>
        <v>148991</v>
      </c>
      <c r="E13" s="1960"/>
    </row>
    <row r="14" spans="1:5" ht="15.75">
      <c r="A14" s="1960"/>
      <c r="B14" s="3014"/>
      <c r="C14" s="1963" t="s">
        <v>1624</v>
      </c>
      <c r="D14" s="1042" t="str">
        <f ca="1">NUMBERSTRING(INT(D13*10000),2)&amp;"元整"</f>
        <v>壹拾肆亿捌仟玖佰玖拾壹万元整</v>
      </c>
      <c r="E14" s="1960"/>
    </row>
    <row r="15" spans="1:5" ht="15">
      <c r="A15" s="1960"/>
      <c r="B15" s="3019"/>
      <c r="C15" s="1964" t="s">
        <v>1634</v>
      </c>
      <c r="D15" s="1054">
        <f ca="1">结果表!H108</f>
        <v>47237</v>
      </c>
      <c r="E15" s="1960"/>
    </row>
    <row r="16" spans="1:5" ht="15">
      <c r="A16" s="1960"/>
      <c r="B16" s="3020" t="str">
        <f>结果表!E109</f>
        <v>——</v>
      </c>
      <c r="C16" s="1968" t="s">
        <v>1635</v>
      </c>
      <c r="D16" s="1969" t="str">
        <f>结果表!H109</f>
        <v>——</v>
      </c>
      <c r="E16" s="1960"/>
    </row>
    <row r="17" spans="1:5" ht="15.75">
      <c r="A17" s="1960"/>
      <c r="B17" s="3021"/>
      <c r="C17" s="1963" t="s">
        <v>1636</v>
      </c>
      <c r="D17" s="1042" t="e">
        <f>NUMBERSTRING(INT(D16*10000),2)&amp;"元整"</f>
        <v>#VALUE!</v>
      </c>
      <c r="E17" s="1960"/>
    </row>
    <row r="18" spans="1:5" ht="15">
      <c r="A18" s="1960"/>
      <c r="B18" s="3022"/>
      <c r="C18" s="1964" t="s">
        <v>1625</v>
      </c>
      <c r="D18" s="1054" t="str">
        <f>结果表!H110</f>
        <v>——</v>
      </c>
      <c r="E18" s="1960"/>
    </row>
    <row r="19" spans="1:5" ht="15.75">
      <c r="A19" s="1960"/>
      <c r="B19" s="3013" t="str">
        <f>结果表!E111</f>
        <v>——</v>
      </c>
      <c r="C19" s="1968" t="s">
        <v>1623</v>
      </c>
      <c r="D19" s="1043" t="str">
        <f>结果表!H111</f>
        <v>——</v>
      </c>
      <c r="E19" s="1960"/>
    </row>
    <row r="20" spans="1:5" ht="15.75">
      <c r="A20" s="1960"/>
      <c r="B20" s="3014"/>
      <c r="C20" s="1963" t="s">
        <v>1636</v>
      </c>
      <c r="D20" s="1042" t="e">
        <f>NUMBERSTRING(INT(D19*10000),2)&amp;"元整"</f>
        <v>#VALUE!</v>
      </c>
      <c r="E20" s="1960"/>
    </row>
    <row r="21" spans="1:5" ht="15.75" thickBot="1">
      <c r="A21" s="1960"/>
      <c r="B21" s="3015"/>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3002</v>
      </c>
    </row>
    <row r="2" spans="1:5" ht="15.75">
      <c r="A2" s="2907" t="s">
        <v>2994</v>
      </c>
      <c r="B2" s="2908" t="e">
        <f ca="1">SUMIF(B6:B13,"&lt;&gt;#ref!",B6:B13)</f>
        <v>#DIV/0!</v>
      </c>
      <c r="C2" s="2907" t="s">
        <v>2995</v>
      </c>
      <c r="D2" s="2907" t="s">
        <v>2996</v>
      </c>
      <c r="E2" s="2908">
        <f ca="1">SUMIF(E6:E13,"&lt;&gt;#ref!",E6:E13)</f>
        <v>0</v>
      </c>
    </row>
    <row r="3" spans="1:5" ht="15.75">
      <c r="A3" s="2907" t="s">
        <v>2997</v>
      </c>
      <c r="B3" s="2908" t="e">
        <f ca="1">ROUND(B2*10000/E2,0)</f>
        <v>#DIV/0!</v>
      </c>
      <c r="C3" s="2907" t="s">
        <v>3003</v>
      </c>
      <c r="D3" s="2909"/>
      <c r="E3" s="2909"/>
    </row>
    <row r="4" spans="1:5" ht="15.75">
      <c r="A4" s="2910"/>
      <c r="B4" s="2909"/>
      <c r="C4" s="2909"/>
      <c r="D4" s="2909"/>
      <c r="E4" s="2909"/>
    </row>
    <row r="5" spans="1:5" ht="28.5">
      <c r="A5" s="2911" t="s">
        <v>2998</v>
      </c>
      <c r="B5" s="2907" t="s">
        <v>2999</v>
      </c>
      <c r="C5" s="2908"/>
      <c r="D5" s="2909"/>
      <c r="E5" s="2907" t="s">
        <v>3000</v>
      </c>
    </row>
    <row r="6" spans="1:5" ht="15.75">
      <c r="A6" s="2912" t="s">
        <v>3001</v>
      </c>
      <c r="B6" s="2908" t="e">
        <f ca="1">SUMIF(INDIRECT("'"&amp;A6&amp;"'"&amp;"!A:A"),"总价",INDIRECT("'"&amp;A6&amp;"'"&amp;"!B:B"))</f>
        <v>#DIV/0!</v>
      </c>
      <c r="C6" s="2907" t="s">
        <v>2995</v>
      </c>
      <c r="D6" s="2909"/>
      <c r="E6" s="2572">
        <f ca="1">SUMIF(INDIRECT("'"&amp;A6&amp;"'"&amp;"!C:C"),"建筑面积",INDIRECT("'"&amp;A6&amp;"'"&amp;"!D:D"))</f>
        <v>0</v>
      </c>
    </row>
    <row r="7" spans="1:5" ht="15.75">
      <c r="A7" s="2912"/>
      <c r="B7" s="2908" t="e">
        <f ca="1">SUMIF(INDIRECT("'"&amp;A7&amp;"'"&amp;"!A:A"),"总价",INDIRECT("'"&amp;A7&amp;"'"&amp;"!B:B"))</f>
        <v>#REF!</v>
      </c>
      <c r="C7" s="2907" t="s">
        <v>2995</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2995</v>
      </c>
      <c r="D8" s="2909"/>
      <c r="E8" s="2572" t="e">
        <f t="shared" ca="1" si="0"/>
        <v>#REF!</v>
      </c>
    </row>
    <row r="9" spans="1:5" ht="15.75">
      <c r="A9" s="2912"/>
      <c r="B9" s="2908" t="e">
        <f t="shared" ca="1" si="1"/>
        <v>#REF!</v>
      </c>
      <c r="C9" s="2907" t="s">
        <v>2995</v>
      </c>
      <c r="D9" s="2909"/>
      <c r="E9" s="2572" t="e">
        <f t="shared" ca="1" si="0"/>
        <v>#REF!</v>
      </c>
    </row>
    <row r="10" spans="1:5" ht="15.75">
      <c r="A10" s="2912"/>
      <c r="B10" s="2908" t="e">
        <f t="shared" ca="1" si="1"/>
        <v>#REF!</v>
      </c>
      <c r="C10" s="2907" t="s">
        <v>2995</v>
      </c>
      <c r="D10" s="2909"/>
      <c r="E10" s="2572" t="e">
        <f t="shared" ca="1" si="0"/>
        <v>#REF!</v>
      </c>
    </row>
    <row r="11" spans="1:5" ht="15.75">
      <c r="A11" s="2912"/>
      <c r="B11" s="2908" t="e">
        <f t="shared" ca="1" si="1"/>
        <v>#REF!</v>
      </c>
      <c r="C11" s="2907" t="s">
        <v>2995</v>
      </c>
      <c r="D11" s="2909"/>
      <c r="E11" s="2572" t="e">
        <f t="shared" ca="1" si="0"/>
        <v>#REF!</v>
      </c>
    </row>
    <row r="12" spans="1:5" ht="15.75">
      <c r="A12" s="2912"/>
      <c r="B12" s="2908" t="e">
        <f t="shared" ca="1" si="1"/>
        <v>#REF!</v>
      </c>
      <c r="C12" s="2907" t="s">
        <v>2995</v>
      </c>
      <c r="D12" s="2909"/>
      <c r="E12" s="2572" t="e">
        <f t="shared" ca="1" si="0"/>
        <v>#REF!</v>
      </c>
    </row>
    <row r="13" spans="1:5" ht="15.75">
      <c r="A13" s="2912"/>
      <c r="B13" s="2908" t="e">
        <f t="shared" ca="1" si="1"/>
        <v>#REF!</v>
      </c>
      <c r="C13" s="2907" t="s">
        <v>2995</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6" t="s">
        <v>1150</v>
      </c>
      <c r="C1" s="3326"/>
      <c r="D1" s="3326"/>
      <c r="E1" s="3326"/>
      <c r="F1" s="3326"/>
      <c r="G1" s="3322" t="s">
        <v>1151</v>
      </c>
      <c r="H1" s="3322"/>
      <c r="I1" s="3322"/>
      <c r="J1" s="3322"/>
      <c r="K1" s="3322"/>
      <c r="L1" s="3322"/>
      <c r="N1" s="3322" t="s">
        <v>1152</v>
      </c>
      <c r="O1" s="3322"/>
      <c r="P1" s="3322"/>
      <c r="Q1" s="3322"/>
      <c r="R1" s="1448"/>
      <c r="S1" s="3322" t="s">
        <v>1153</v>
      </c>
      <c r="T1" s="3322"/>
      <c r="U1" s="3322"/>
      <c r="V1" s="3322"/>
      <c r="X1" s="3321" t="s">
        <v>1154</v>
      </c>
      <c r="Y1" s="3322"/>
      <c r="Z1" s="3322"/>
      <c r="AA1" s="3322"/>
      <c r="AB1" s="3322"/>
      <c r="AD1" s="3321" t="s">
        <v>1155</v>
      </c>
      <c r="AE1" s="3322"/>
      <c r="AF1" s="3322"/>
      <c r="AG1" s="3322"/>
      <c r="AH1" s="332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3037</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3044</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8">
        <v>2018</v>
      </c>
      <c r="H5" s="1731">
        <v>3</v>
      </c>
      <c r="I5" s="2921">
        <v>0</v>
      </c>
      <c r="J5" s="2921">
        <v>0</v>
      </c>
      <c r="K5" s="2921">
        <v>0</v>
      </c>
      <c r="L5" s="2921">
        <v>0</v>
      </c>
      <c r="N5" s="1469">
        <f>I5/100</f>
        <v>0</v>
      </c>
      <c r="O5" s="1469">
        <f t="shared" ref="O5" si="7">J5/100</f>
        <v>0</v>
      </c>
      <c r="P5" s="1469">
        <f t="shared" ref="P5" si="8">K5/100</f>
        <v>0</v>
      </c>
      <c r="Q5" s="1469">
        <f t="shared" ref="Q5" si="9">L5/100</f>
        <v>0</v>
      </c>
      <c r="R5" s="1733"/>
      <c r="S5" s="1734"/>
      <c r="T5" s="1733"/>
      <c r="U5" s="1733"/>
      <c r="V5" s="1733"/>
      <c r="W5" s="2925" t="s">
        <v>3038</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3045</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6"/>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3033</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27">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24"/>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24"/>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25"/>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23">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24"/>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24"/>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25"/>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23">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24"/>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24"/>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25"/>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28">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29"/>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29"/>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30"/>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23">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24"/>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24"/>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25"/>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23">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24">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24">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25">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23">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24">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24">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25">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23">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24">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24">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25">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23">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24">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24">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25">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23">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24">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24">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25">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23">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24">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24">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25">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23">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24">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24">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25">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23">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24">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24">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25">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23">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24">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24">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25">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23">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24">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24">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25">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3004</v>
      </c>
      <c r="C1" s="3332" t="s">
        <v>3005</v>
      </c>
      <c r="D1" s="3333"/>
      <c r="E1" s="3333"/>
      <c r="F1" s="3333"/>
      <c r="G1" s="3333"/>
      <c r="H1" s="3333"/>
      <c r="I1" s="3333"/>
      <c r="J1" s="3333"/>
      <c r="K1" s="3333"/>
      <c r="L1" s="3333"/>
      <c r="M1" s="3333"/>
      <c r="N1" s="3333"/>
      <c r="O1" s="3333"/>
      <c r="P1" s="3333"/>
      <c r="Q1" s="3333"/>
      <c r="R1" s="3333"/>
      <c r="S1" s="3334"/>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3014</v>
      </c>
      <c r="B17" s="2914"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3016</v>
      </c>
      <c r="E19" s="1793"/>
      <c r="F19" s="1793"/>
      <c r="G19" s="1793"/>
      <c r="H19" s="1282"/>
      <c r="I19" s="168"/>
      <c r="J19" s="168"/>
      <c r="K19" s="168"/>
      <c r="L19" s="168"/>
      <c r="M19" s="168"/>
      <c r="N19" s="168"/>
      <c r="O19" s="168"/>
      <c r="P19" s="168"/>
      <c r="Q19" s="168"/>
      <c r="R19" s="787"/>
      <c r="S19" s="138"/>
    </row>
    <row r="20" spans="1:45" ht="16.5" thickBot="1">
      <c r="A20" s="715" t="s">
        <v>3017</v>
      </c>
      <c r="B20" s="338" t="e">
        <f ca="1">IF(D20="——",S22,S22-F20)</f>
        <v>#REF!</v>
      </c>
      <c r="C20" s="168"/>
      <c r="D20" s="2916" t="s">
        <v>3018</v>
      </c>
      <c r="E20" s="1794"/>
      <c r="F20" s="1206" t="e">
        <f ca="1">SUMIF(INDIRECT("'"&amp;H20&amp;"'"&amp;"!A:A"),"承租人权益价值",INDIRECT("'"&amp;H20&amp;"'"&amp;"!c:c"))</f>
        <v>#REF!</v>
      </c>
      <c r="G20" s="1206" t="s">
        <v>3019</v>
      </c>
      <c r="H20" s="2917"/>
      <c r="I20" s="168"/>
      <c r="J20" s="168"/>
      <c r="K20" s="168"/>
      <c r="L20" s="168"/>
      <c r="M20" s="168"/>
      <c r="N20" s="168"/>
      <c r="O20" s="168"/>
      <c r="P20" s="168"/>
      <c r="Q20" s="168"/>
      <c r="R20" s="787"/>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100</v>
      </c>
      <c r="C22" s="3113" t="s">
        <v>33</v>
      </c>
      <c r="D22" s="3114"/>
      <c r="E22" s="3114"/>
      <c r="F22" s="3114"/>
      <c r="G22" s="3114"/>
      <c r="H22" s="3114"/>
      <c r="I22" s="3114"/>
      <c r="J22" s="3114"/>
      <c r="K22" s="3114"/>
      <c r="L22" s="3114"/>
      <c r="M22" s="3114"/>
      <c r="N22" s="3114"/>
      <c r="O22" s="3114"/>
      <c r="P22" s="3114"/>
      <c r="Q22" s="333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44877</v>
      </c>
      <c r="C2" s="2" t="s">
        <v>133</v>
      </c>
      <c r="D2" s="243"/>
      <c r="E2" s="243"/>
      <c r="F2" s="243"/>
      <c r="G2" s="243"/>
    </row>
    <row r="3" spans="1:7" s="244" customFormat="1" ht="18" customHeight="1" thickBot="1">
      <c r="A3" s="247" t="s">
        <v>85</v>
      </c>
      <c r="B3" s="248">
        <f ca="1">ROUND(B2*10000/'数据-汇总表'!E3,0)</f>
        <v>14228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31541.359999999997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536</v>
      </c>
      <c r="D19" s="1038">
        <f>'数据-汇总表'!E3</f>
        <v>31541.359999999997</v>
      </c>
      <c r="E19" s="255">
        <f>'数据-取费表'!B31</f>
        <v>170</v>
      </c>
      <c r="F19" s="275"/>
      <c r="G19" s="1" t="s">
        <v>1074</v>
      </c>
    </row>
    <row r="20" spans="1:7" s="258" customFormat="1" ht="13.5" customHeight="1">
      <c r="A20" s="950" t="s">
        <v>1057</v>
      </c>
      <c r="B20" s="254" t="s">
        <v>104</v>
      </c>
      <c r="C20" s="276">
        <f>ROUND((C5+C19)*F20,0)</f>
        <v>634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1547</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1486</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39</v>
      </c>
      <c r="D24" s="282"/>
      <c r="E24" s="282"/>
      <c r="F24" s="283"/>
      <c r="G24" s="284" t="s">
        <v>109</v>
      </c>
    </row>
    <row r="25" spans="1:7" s="258" customFormat="1" ht="24">
      <c r="A25" s="953" t="s">
        <v>793</v>
      </c>
      <c r="B25" s="259" t="s">
        <v>1058</v>
      </c>
      <c r="C25" s="1357">
        <f ca="1">ROUND(IF('数据-取费表'!B22&lt;=1,C20*F22*'数据-取费表'!B23/2,C20*(POWER((1+F22),'数据-取费表'!B23/2)-1)),0)</f>
        <v>22</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4138</v>
      </c>
      <c r="D27" s="279">
        <f>C29</f>
        <v>5.7000000000000002E-3</v>
      </c>
      <c r="E27" s="280" t="s">
        <v>126</v>
      </c>
      <c r="F27" s="290">
        <f>'数据-取费表'!Q16</f>
        <v>0.19</v>
      </c>
      <c r="G27" s="291" t="s">
        <v>1069</v>
      </c>
    </row>
    <row r="28" spans="1:7" s="258" customFormat="1" ht="13.5" customHeight="1">
      <c r="A28" s="953" t="s">
        <v>794</v>
      </c>
      <c r="B28" s="292" t="s">
        <v>1062</v>
      </c>
      <c r="C28" s="293">
        <f>ROUND((C5+C19+C20)*F27*'数据-取费表'!B21/'数据-取费表'!B20,0)</f>
        <v>4138</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10625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9129</v>
      </c>
      <c r="D34" s="261"/>
      <c r="E34" s="264"/>
      <c r="F34" s="301">
        <f>IF('数据-取费表'!B24=0,1,'数据-取费表'!N16)</f>
        <v>1</v>
      </c>
      <c r="G34" s="263" t="s">
        <v>116</v>
      </c>
    </row>
    <row r="35" spans="1:7" ht="13.5" customHeight="1">
      <c r="A35" s="953" t="s">
        <v>796</v>
      </c>
      <c r="B35" s="259" t="s">
        <v>60</v>
      </c>
      <c r="C35" s="264">
        <f>ROUND(C34*F35,0)</f>
        <v>365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363</v>
      </c>
      <c r="D36" s="264"/>
      <c r="E36" s="264"/>
      <c r="F36" s="303">
        <f>'数据-取费表'!B34</f>
        <v>0.05</v>
      </c>
      <c r="G36" s="304" t="s">
        <v>62</v>
      </c>
    </row>
    <row r="37" spans="1:7" s="302" customFormat="1" ht="13.5" customHeight="1">
      <c r="A37" s="953" t="s">
        <v>798</v>
      </c>
      <c r="B37" s="259" t="s">
        <v>118</v>
      </c>
      <c r="C37" s="293">
        <f>ROUND(E37*D37*F34/10000,0)</f>
        <v>631</v>
      </c>
      <c r="D37" s="261">
        <f>'数据-汇总表'!E3</f>
        <v>31541.359999999997</v>
      </c>
      <c r="E37" s="293">
        <f>'数据-取费表'!B35</f>
        <v>200</v>
      </c>
      <c r="F37" s="303"/>
      <c r="G37" s="305" t="s">
        <v>119</v>
      </c>
    </row>
    <row r="38" spans="1:7" ht="13.5" customHeight="1">
      <c r="A38" s="953" t="s">
        <v>799</v>
      </c>
      <c r="B38" s="259" t="s">
        <v>63</v>
      </c>
      <c r="C38" s="264">
        <f>ROUND(C34*F38,0)</f>
        <v>137</v>
      </c>
      <c r="D38" s="264"/>
      <c r="E38" s="264"/>
      <c r="F38" s="303">
        <f>'数据-取费表'!B36</f>
        <v>1.4999999999999999E-2</v>
      </c>
      <c r="G38" s="263" t="s">
        <v>117</v>
      </c>
    </row>
    <row r="39" spans="1:7" s="258" customFormat="1" ht="13.5" customHeight="1">
      <c r="A39" s="950" t="s">
        <v>783</v>
      </c>
      <c r="B39" s="254" t="s">
        <v>104</v>
      </c>
      <c r="C39" s="276">
        <f>ROUND(C33*F20,0)</f>
        <v>319</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387</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376</v>
      </c>
      <c r="D42" s="282"/>
      <c r="E42" s="282"/>
      <c r="F42" s="283"/>
      <c r="G42" s="3198" t="s">
        <v>121</v>
      </c>
    </row>
    <row r="43" spans="1:7" ht="13.5" customHeight="1">
      <c r="A43" s="953" t="s">
        <v>792</v>
      </c>
      <c r="B43" s="259" t="s">
        <v>1064</v>
      </c>
      <c r="C43" s="282">
        <f ca="1">ROUND(IF('数据-取费表'!B22&lt;=1,C39*F22*'数据-取费表'!B21/2,C39*(POWER((1+F22),'数据-取费表'!B21/2)-1)),0)</f>
        <v>11</v>
      </c>
      <c r="D43" s="282"/>
      <c r="E43" s="282"/>
      <c r="F43" s="283"/>
      <c r="G43" s="3199"/>
    </row>
    <row r="44" spans="1:7" ht="13.5" customHeight="1">
      <c r="A44" s="953" t="s">
        <v>793</v>
      </c>
      <c r="B44" s="259" t="s">
        <v>1066</v>
      </c>
      <c r="C44" s="282">
        <f ca="1">ROUND(IF('数据-取费表'!B22&lt;=1,C40*F22*'数据-取费表'!B21/2,C40*(POWER((1+F22),'数据-取费表'!B21/2)-1)),4)</f>
        <v>1.1000000000000001E-3</v>
      </c>
      <c r="D44" s="282"/>
      <c r="E44" s="282"/>
      <c r="F44" s="283"/>
      <c r="G44" s="3200"/>
    </row>
    <row r="45" spans="1:7" s="258" customFormat="1" ht="13.5" customHeight="1">
      <c r="A45" s="950" t="s">
        <v>786</v>
      </c>
      <c r="B45" s="288" t="s">
        <v>112</v>
      </c>
      <c r="C45" s="289">
        <f>C46</f>
        <v>2079</v>
      </c>
      <c r="D45" s="279">
        <f>C47</f>
        <v>5.7000000000000002E-3</v>
      </c>
      <c r="E45" s="280" t="s">
        <v>129</v>
      </c>
      <c r="F45" s="290"/>
      <c r="G45" s="291" t="s">
        <v>1072</v>
      </c>
    </row>
    <row r="46" spans="1:7" s="258" customFormat="1" ht="13.5" customHeight="1">
      <c r="A46" s="953" t="s">
        <v>794</v>
      </c>
      <c r="B46" s="292" t="s">
        <v>1065</v>
      </c>
      <c r="C46" s="293">
        <f>ROUND((C33+C39)*F27,0)</f>
        <v>2079</v>
      </c>
      <c r="D46" s="307"/>
      <c r="E46" s="280"/>
      <c r="F46" s="290"/>
      <c r="G46" s="291"/>
    </row>
    <row r="47" spans="1:7" s="258" customFormat="1" ht="13.5" customHeight="1">
      <c r="A47" s="953" t="s">
        <v>792</v>
      </c>
      <c r="B47" s="292" t="s">
        <v>1067</v>
      </c>
      <c r="C47" s="282">
        <f>ROUND(C40*F27,4)</f>
        <v>5.7000000000000002E-3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14723</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14723</v>
      </c>
      <c r="D51" s="276"/>
      <c r="E51" s="276"/>
      <c r="F51" s="308"/>
      <c r="G51" s="278" t="s">
        <v>64</v>
      </c>
    </row>
    <row r="52" spans="1:7" s="252" customFormat="1" ht="16.5" thickBot="1">
      <c r="A52" s="309" t="s">
        <v>65</v>
      </c>
      <c r="B52" s="310"/>
      <c r="C52" s="311">
        <f ca="1">C31+C51</f>
        <v>44877</v>
      </c>
      <c r="D52" s="310"/>
      <c r="E52" s="310"/>
      <c r="F52" s="310"/>
      <c r="G52" s="312"/>
    </row>
    <row r="55" spans="1:7" ht="15">
      <c r="B55" s="314" t="s">
        <v>66</v>
      </c>
      <c r="C55" s="315"/>
    </row>
    <row r="56" spans="1:7">
      <c r="B56" s="317" t="s">
        <v>67</v>
      </c>
      <c r="C56" s="318">
        <f ca="1">ROUND(C51/C52,3)</f>
        <v>0.32800000000000001</v>
      </c>
    </row>
    <row r="57" spans="1:7">
      <c r="B57" s="317" t="s">
        <v>68</v>
      </c>
      <c r="C57" s="319">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871</v>
      </c>
      <c r="B1" s="333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4" t="s">
        <v>1403</v>
      </c>
      <c r="C6" s="1298">
        <f ca="1">ROUND(F6*F8*F7*(1-F9)/10000,0)</f>
        <v>0</v>
      </c>
      <c r="D6" s="164" t="s">
        <v>3031</v>
      </c>
      <c r="E6" s="347" t="s">
        <v>1405</v>
      </c>
      <c r="F6" s="348">
        <f ca="1">INDIRECT("'数据-取费表'!u"&amp;$G$1)</f>
        <v>0</v>
      </c>
      <c r="G6" s="1852"/>
      <c r="H6" s="1293" t="s">
        <v>1035</v>
      </c>
      <c r="I6" s="3254" t="s">
        <v>1403</v>
      </c>
      <c r="J6" s="346">
        <f ca="1">ROUND(M6*M8*M7*(1-M9)/10000,0)</f>
        <v>0</v>
      </c>
      <c r="K6" s="164" t="s">
        <v>3030</v>
      </c>
      <c r="L6" s="347" t="s">
        <v>1405</v>
      </c>
      <c r="M6" s="348">
        <f ca="1">INDIRECT("'数据-取费表'!z"&amp;$G$1)</f>
        <v>0</v>
      </c>
    </row>
    <row r="7" spans="1:37" ht="18" customHeight="1">
      <c r="A7" s="1297"/>
      <c r="B7" s="3255"/>
      <c r="C7" s="1299"/>
      <c r="D7" s="352"/>
      <c r="E7" s="2978" t="s">
        <v>1406</v>
      </c>
      <c r="F7" s="348">
        <f ca="1">IF(INDIRECT("'数据-取费表'!ah"&amp;$G$1)="",INDIRECT("'数据-取费表'!k"&amp;$G$1),INDIRECT("'数据-取费表'!ah"&amp;$G$1))</f>
        <v>0</v>
      </c>
      <c r="G7" s="1852"/>
      <c r="H7" s="349"/>
      <c r="I7" s="3255"/>
      <c r="J7" s="351"/>
      <c r="K7" s="352"/>
      <c r="L7" s="347" t="s">
        <v>1406</v>
      </c>
      <c r="M7" s="348">
        <f ca="1">F7</f>
        <v>0</v>
      </c>
    </row>
    <row r="8" spans="1:37" ht="18" customHeight="1">
      <c r="A8" s="349"/>
      <c r="B8" s="3255"/>
      <c r="C8" s="351"/>
      <c r="D8" s="352"/>
      <c r="E8" s="347" t="s">
        <v>1407</v>
      </c>
      <c r="F8" s="348">
        <f ca="1">INDIRECT("'数据-取费表'!ai"&amp;$G$1)</f>
        <v>0</v>
      </c>
      <c r="G8" s="1852"/>
      <c r="H8" s="349"/>
      <c r="I8" s="3255"/>
      <c r="J8" s="351"/>
      <c r="K8" s="352"/>
      <c r="L8" s="347" t="s">
        <v>1407</v>
      </c>
      <c r="M8" s="348">
        <f ca="1">INDIRECT("'数据-取费表'!ai"&amp;$G$1)</f>
        <v>0</v>
      </c>
    </row>
    <row r="9" spans="1:37" ht="18" customHeight="1">
      <c r="A9" s="349"/>
      <c r="B9" s="3256"/>
      <c r="C9" s="351"/>
      <c r="D9" s="352"/>
      <c r="E9" s="347" t="s">
        <v>1408</v>
      </c>
      <c r="F9" s="357">
        <f ca="1">INDIRECT("'数据-取费表'!w"&amp;$G$1)</f>
        <v>0</v>
      </c>
      <c r="G9" s="1852"/>
      <c r="H9" s="349"/>
      <c r="I9" s="32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57" t="s">
        <v>1548</v>
      </c>
      <c r="L53" s="3258"/>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0"/>
  <sheetViews>
    <sheetView topLeftCell="M6" zoomScaleNormal="100" workbookViewId="0">
      <selection activeCell="Z6" sqref="Z6"/>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3075</v>
      </c>
      <c r="B1" s="2952" t="s">
        <v>3076</v>
      </c>
      <c r="C1" s="2952" t="s">
        <v>3077</v>
      </c>
      <c r="D1" s="2952" t="s">
        <v>3078</v>
      </c>
      <c r="G1">
        <v>-151</v>
      </c>
      <c r="H1" s="2952" t="s">
        <v>3081</v>
      </c>
      <c r="I1">
        <v>75.98</v>
      </c>
      <c r="K1" s="2952" t="s">
        <v>3164</v>
      </c>
      <c r="L1" s="2952" t="s">
        <v>3165</v>
      </c>
      <c r="M1" s="2952" t="s">
        <v>3168</v>
      </c>
      <c r="N1" s="2952" t="s">
        <v>3166</v>
      </c>
      <c r="O1" s="2952" t="s">
        <v>3170</v>
      </c>
      <c r="P1" s="2952" t="s">
        <v>3169</v>
      </c>
      <c r="Q1" s="2952" t="s">
        <v>3171</v>
      </c>
      <c r="R1" s="2952" t="s">
        <v>3172</v>
      </c>
      <c r="S1" s="2967"/>
      <c r="T1" s="2952" t="s">
        <v>3199</v>
      </c>
      <c r="U1" s="2952" t="s">
        <v>3202</v>
      </c>
      <c r="V1" s="2952" t="s">
        <v>3203</v>
      </c>
      <c r="W1" s="2952"/>
      <c r="X1" s="2969" t="s">
        <v>3217</v>
      </c>
      <c r="Y1" s="2969" t="s">
        <v>3223</v>
      </c>
      <c r="Z1" s="2969" t="s">
        <v>3224</v>
      </c>
      <c r="AA1" s="2969" t="s">
        <v>3225</v>
      </c>
      <c r="AB1" s="2969" t="s">
        <v>3226</v>
      </c>
      <c r="AC1" s="2969" t="s">
        <v>3210</v>
      </c>
      <c r="AD1" s="2969" t="s">
        <v>3227</v>
      </c>
      <c r="AE1" s="2969" t="s">
        <v>3234</v>
      </c>
    </row>
    <row r="2" spans="1:31">
      <c r="A2" s="2952" t="s">
        <v>3074</v>
      </c>
      <c r="B2">
        <v>104</v>
      </c>
      <c r="C2" s="2952" t="s">
        <v>3079</v>
      </c>
      <c r="D2">
        <v>312.74</v>
      </c>
      <c r="G2">
        <v>-152</v>
      </c>
      <c r="H2" s="2952" t="s">
        <v>3081</v>
      </c>
      <c r="I2">
        <v>75.98</v>
      </c>
      <c r="K2" s="2952" t="s">
        <v>3167</v>
      </c>
      <c r="L2" s="2966">
        <v>101</v>
      </c>
      <c r="M2">
        <v>2587.7800000000002</v>
      </c>
      <c r="N2">
        <f>170.81+567.37</f>
        <v>738.18000000000006</v>
      </c>
      <c r="O2" s="2965">
        <f>N2/M2</f>
        <v>0.28525608823006593</v>
      </c>
      <c r="P2">
        <v>318.92</v>
      </c>
      <c r="Q2">
        <f>ROUND(P2*$O$2,2)</f>
        <v>90.97</v>
      </c>
      <c r="R2">
        <f>P2-Q2</f>
        <v>227.95000000000002</v>
      </c>
      <c r="S2" s="2963"/>
      <c r="T2" s="2952" t="s">
        <v>3200</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3079</v>
      </c>
      <c r="D3">
        <v>340.19</v>
      </c>
      <c r="G3">
        <v>-154</v>
      </c>
      <c r="H3" s="2952" t="s">
        <v>3081</v>
      </c>
      <c r="I3">
        <v>75.98</v>
      </c>
      <c r="L3" s="2966">
        <v>102</v>
      </c>
      <c r="P3">
        <v>317.64</v>
      </c>
      <c r="Q3">
        <f t="shared" ref="Q3:Q8" si="0">ROUND(P3*$O$2,2)</f>
        <v>90.61</v>
      </c>
      <c r="R3">
        <f t="shared" ref="R3:R9" si="1">P3-Q3</f>
        <v>227.02999999999997</v>
      </c>
    </row>
    <row r="4" spans="1:31" ht="40.5">
      <c r="B4">
        <v>103</v>
      </c>
      <c r="C4" s="2952" t="s">
        <v>3080</v>
      </c>
      <c r="D4">
        <v>317.52999999999997</v>
      </c>
      <c r="G4">
        <v>-155</v>
      </c>
      <c r="H4" s="2952" t="s">
        <v>3081</v>
      </c>
      <c r="I4">
        <v>75.98</v>
      </c>
      <c r="L4" s="2966">
        <v>103</v>
      </c>
      <c r="P4">
        <v>317.52999999999997</v>
      </c>
      <c r="Q4">
        <f t="shared" si="0"/>
        <v>90.58</v>
      </c>
      <c r="R4">
        <f t="shared" si="1"/>
        <v>226.95</v>
      </c>
      <c r="X4" s="2971" t="s">
        <v>3233</v>
      </c>
      <c r="Y4" s="2969" t="s">
        <v>3228</v>
      </c>
      <c r="Z4" s="2969" t="s">
        <v>3229</v>
      </c>
      <c r="AA4" s="2969" t="s">
        <v>3230</v>
      </c>
      <c r="AB4" s="2969" t="s">
        <v>3232</v>
      </c>
      <c r="AC4" s="2969" t="s">
        <v>3231</v>
      </c>
      <c r="AD4" s="2969" t="s">
        <v>3227</v>
      </c>
      <c r="AE4" s="2969" t="s">
        <v>3234</v>
      </c>
    </row>
    <row r="5" spans="1:31">
      <c r="B5">
        <v>102</v>
      </c>
      <c r="C5" s="2952" t="s">
        <v>3079</v>
      </c>
      <c r="D5">
        <v>317.64</v>
      </c>
      <c r="G5">
        <v>-156</v>
      </c>
      <c r="H5" s="2952" t="s">
        <v>3081</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3079</v>
      </c>
      <c r="D6">
        <v>318.92</v>
      </c>
      <c r="G6">
        <v>-149</v>
      </c>
      <c r="H6" s="2952" t="s">
        <v>3081</v>
      </c>
      <c r="I6">
        <v>75.98</v>
      </c>
      <c r="L6" s="2966">
        <v>105</v>
      </c>
      <c r="P6">
        <v>314.70999999999998</v>
      </c>
      <c r="Q6">
        <f t="shared" si="0"/>
        <v>89.77</v>
      </c>
      <c r="R6">
        <f t="shared" si="1"/>
        <v>224.94</v>
      </c>
      <c r="AE6">
        <f>AE2+AE5</f>
        <v>90970.280000000028</v>
      </c>
    </row>
    <row r="7" spans="1:31">
      <c r="B7">
        <v>105</v>
      </c>
      <c r="C7" s="2952" t="s">
        <v>3079</v>
      </c>
      <c r="D7">
        <v>314.70999999999998</v>
      </c>
      <c r="G7">
        <v>-150</v>
      </c>
      <c r="H7" s="2952" t="s">
        <v>3081</v>
      </c>
      <c r="I7">
        <v>75.98</v>
      </c>
      <c r="L7" s="2963">
        <v>106</v>
      </c>
      <c r="P7" s="2963">
        <v>334.06</v>
      </c>
      <c r="Q7" s="2963">
        <f t="shared" si="0"/>
        <v>95.29</v>
      </c>
      <c r="R7" s="2963">
        <f t="shared" si="1"/>
        <v>238.76999999999998</v>
      </c>
    </row>
    <row r="8" spans="1:31">
      <c r="B8">
        <v>107</v>
      </c>
      <c r="C8" s="2952" t="s">
        <v>3079</v>
      </c>
      <c r="D8">
        <v>331.99</v>
      </c>
      <c r="G8">
        <v>-147</v>
      </c>
      <c r="H8" s="2952" t="s">
        <v>3081</v>
      </c>
      <c r="I8">
        <v>75.98</v>
      </c>
      <c r="L8" s="2966">
        <v>107</v>
      </c>
      <c r="P8">
        <v>331.99</v>
      </c>
      <c r="Q8">
        <f t="shared" si="0"/>
        <v>94.7</v>
      </c>
      <c r="R8">
        <f t="shared" si="1"/>
        <v>237.29000000000002</v>
      </c>
    </row>
    <row r="9" spans="1:31">
      <c r="D9" s="2963">
        <f>SUM(D2:D8)</f>
        <v>2253.7200000000003</v>
      </c>
      <c r="G9">
        <v>-148</v>
      </c>
      <c r="H9" s="2952" t="s">
        <v>3081</v>
      </c>
      <c r="I9">
        <v>75.98</v>
      </c>
      <c r="L9" s="2966">
        <v>108</v>
      </c>
      <c r="P9">
        <v>340.19</v>
      </c>
      <c r="Q9">
        <f>N2-Q2-Q3-Q4-Q5-Q6-Q7-Q8</f>
        <v>97.050000000000054</v>
      </c>
      <c r="R9">
        <f t="shared" si="1"/>
        <v>243.13999999999993</v>
      </c>
    </row>
    <row r="10" spans="1:31">
      <c r="A10" s="2952" t="s">
        <v>3082</v>
      </c>
      <c r="B10">
        <v>103</v>
      </c>
      <c r="C10" s="2952" t="s">
        <v>3083</v>
      </c>
      <c r="D10">
        <v>319.3</v>
      </c>
      <c r="G10">
        <v>-161</v>
      </c>
      <c r="H10" s="2952" t="s">
        <v>3081</v>
      </c>
      <c r="I10">
        <v>75.98</v>
      </c>
    </row>
    <row r="11" spans="1:31">
      <c r="A11" s="2952"/>
      <c r="B11">
        <v>107</v>
      </c>
      <c r="C11" s="2952" t="s">
        <v>3083</v>
      </c>
      <c r="D11">
        <v>333.28</v>
      </c>
      <c r="G11">
        <v>-162</v>
      </c>
      <c r="H11" s="2952" t="s">
        <v>3081</v>
      </c>
      <c r="I11">
        <v>75.98</v>
      </c>
      <c r="K11" s="2952" t="s">
        <v>3164</v>
      </c>
      <c r="L11" s="2952" t="s">
        <v>3165</v>
      </c>
      <c r="M11" s="2952" t="s">
        <v>3168</v>
      </c>
      <c r="N11" s="2952" t="s">
        <v>3166</v>
      </c>
      <c r="O11" s="2952" t="s">
        <v>3170</v>
      </c>
      <c r="P11" s="2952" t="s">
        <v>3169</v>
      </c>
      <c r="Q11" s="2952" t="s">
        <v>3171</v>
      </c>
      <c r="R11" s="2952" t="s">
        <v>3172</v>
      </c>
      <c r="S11" s="2952"/>
      <c r="T11" s="2952"/>
      <c r="U11" s="2952" t="s">
        <v>3202</v>
      </c>
      <c r="V11" s="2952" t="s">
        <v>3203</v>
      </c>
      <c r="W11" s="2952"/>
      <c r="X11" s="2952"/>
      <c r="Y11" s="2952"/>
      <c r="Z11" s="2952"/>
    </row>
    <row r="12" spans="1:31">
      <c r="B12">
        <v>106</v>
      </c>
      <c r="C12" s="2952" t="s">
        <v>3079</v>
      </c>
      <c r="D12">
        <v>332.51</v>
      </c>
      <c r="G12">
        <v>-157</v>
      </c>
      <c r="H12" s="2952" t="s">
        <v>3081</v>
      </c>
      <c r="I12">
        <v>75.98</v>
      </c>
      <c r="K12" s="2952" t="s">
        <v>3173</v>
      </c>
      <c r="L12" s="2963">
        <v>101</v>
      </c>
      <c r="M12">
        <v>2319.3000000000002</v>
      </c>
      <c r="N12">
        <v>651.54999999999995</v>
      </c>
      <c r="O12" s="2965">
        <f>N12/M12</f>
        <v>0.28092527917906263</v>
      </c>
      <c r="P12" s="2968">
        <v>318.73</v>
      </c>
      <c r="Q12" s="2963">
        <f>ROUND(P12*$O$12,2)</f>
        <v>89.54</v>
      </c>
      <c r="R12" s="2963">
        <f>P12-Q12</f>
        <v>229.19</v>
      </c>
      <c r="U12">
        <f>R12+R13+R15+R16</f>
        <v>959.39999999999986</v>
      </c>
      <c r="V12">
        <f>Q12+Q13+Q15+Q16</f>
        <v>374.81</v>
      </c>
    </row>
    <row r="13" spans="1:31">
      <c r="C13" s="2952"/>
      <c r="D13" s="2963">
        <f>D10+D11+D12</f>
        <v>985.08999999999992</v>
      </c>
      <c r="G13">
        <v>-158</v>
      </c>
      <c r="H13" s="2952" t="s">
        <v>3081</v>
      </c>
      <c r="I13">
        <v>75.98</v>
      </c>
      <c r="L13" s="2963">
        <v>102</v>
      </c>
      <c r="P13" s="2968">
        <v>318.02999999999997</v>
      </c>
      <c r="Q13" s="2963">
        <f t="shared" ref="Q13:Q17" si="2">ROUND(P13*$O$12,2)</f>
        <v>89.34</v>
      </c>
      <c r="R13" s="2963">
        <f t="shared" ref="R13:R18" si="3">P13-Q13</f>
        <v>228.68999999999997</v>
      </c>
    </row>
    <row r="14" spans="1:31">
      <c r="A14" s="2952" t="s">
        <v>3084</v>
      </c>
      <c r="B14">
        <v>104</v>
      </c>
      <c r="C14" s="2952" t="s">
        <v>3079</v>
      </c>
      <c r="D14">
        <v>317.43</v>
      </c>
      <c r="G14">
        <v>-145</v>
      </c>
      <c r="H14" s="2952" t="s">
        <v>3081</v>
      </c>
      <c r="I14">
        <v>75.98</v>
      </c>
      <c r="L14" s="2966">
        <v>103</v>
      </c>
      <c r="P14" s="2952">
        <v>319.3</v>
      </c>
      <c r="Q14">
        <f t="shared" si="2"/>
        <v>89.7</v>
      </c>
      <c r="R14">
        <f t="shared" si="3"/>
        <v>229.60000000000002</v>
      </c>
    </row>
    <row r="15" spans="1:31">
      <c r="B15">
        <v>110</v>
      </c>
      <c r="C15" s="2952" t="s">
        <v>3079</v>
      </c>
      <c r="D15">
        <v>339.9</v>
      </c>
      <c r="G15">
        <v>-146</v>
      </c>
      <c r="H15" s="2952" t="s">
        <v>3081</v>
      </c>
      <c r="I15">
        <v>75.98</v>
      </c>
      <c r="L15" s="2963">
        <v>104</v>
      </c>
      <c r="P15" s="2968">
        <v>362.87</v>
      </c>
      <c r="Q15" s="2963">
        <f t="shared" si="2"/>
        <v>101.94</v>
      </c>
      <c r="R15" s="2963">
        <f t="shared" si="3"/>
        <v>260.93</v>
      </c>
    </row>
    <row r="16" spans="1:31">
      <c r="B16">
        <v>103</v>
      </c>
      <c r="C16" s="2952" t="s">
        <v>3079</v>
      </c>
      <c r="D16">
        <v>317.55</v>
      </c>
      <c r="G16">
        <v>-163</v>
      </c>
      <c r="H16" s="2952" t="s">
        <v>3081</v>
      </c>
      <c r="I16">
        <v>75.98</v>
      </c>
      <c r="L16" s="2963">
        <v>105</v>
      </c>
      <c r="P16" s="2968">
        <v>334.58</v>
      </c>
      <c r="Q16" s="2963">
        <f t="shared" si="2"/>
        <v>93.99</v>
      </c>
      <c r="R16" s="2963">
        <f t="shared" si="3"/>
        <v>240.58999999999997</v>
      </c>
    </row>
    <row r="17" spans="1:22">
      <c r="B17">
        <v>102</v>
      </c>
      <c r="C17" s="2952" t="s">
        <v>3079</v>
      </c>
      <c r="D17">
        <v>317.55</v>
      </c>
      <c r="G17">
        <v>-164</v>
      </c>
      <c r="H17" s="2952" t="s">
        <v>3081</v>
      </c>
      <c r="I17">
        <v>75.98</v>
      </c>
      <c r="L17" s="2966">
        <v>106</v>
      </c>
      <c r="P17" s="2952">
        <v>332.51</v>
      </c>
      <c r="Q17">
        <f t="shared" si="2"/>
        <v>93.41</v>
      </c>
      <c r="R17">
        <f t="shared" si="3"/>
        <v>239.1</v>
      </c>
    </row>
    <row r="18" spans="1:22">
      <c r="B18">
        <v>101</v>
      </c>
      <c r="C18" s="2952" t="s">
        <v>3079</v>
      </c>
      <c r="D18">
        <v>318.83</v>
      </c>
      <c r="G18">
        <v>-165</v>
      </c>
      <c r="H18" s="2952" t="s">
        <v>3081</v>
      </c>
      <c r="I18">
        <v>75.98</v>
      </c>
      <c r="L18" s="2966">
        <v>107</v>
      </c>
      <c r="P18" s="2952">
        <v>333.28</v>
      </c>
      <c r="Q18">
        <f>N12-Q12-Q13-Q14-Q15-Q16-Q17</f>
        <v>93.629999999999967</v>
      </c>
      <c r="R18">
        <f t="shared" si="3"/>
        <v>239.65</v>
      </c>
    </row>
    <row r="19" spans="1:22">
      <c r="B19">
        <v>107</v>
      </c>
      <c r="C19" s="2952" t="s">
        <v>3138</v>
      </c>
      <c r="D19">
        <v>333.96</v>
      </c>
      <c r="G19">
        <v>-166</v>
      </c>
      <c r="H19" s="2952" t="s">
        <v>3081</v>
      </c>
      <c r="I19">
        <v>75.98</v>
      </c>
    </row>
    <row r="20" spans="1:22">
      <c r="D20" s="2963">
        <f>SUM(D14:D19)</f>
        <v>1945.2199999999998</v>
      </c>
      <c r="G20">
        <v>-113</v>
      </c>
      <c r="H20" s="2952" t="s">
        <v>3081</v>
      </c>
      <c r="I20">
        <v>75.98</v>
      </c>
      <c r="K20" s="2952" t="s">
        <v>3164</v>
      </c>
      <c r="L20" s="2952" t="s">
        <v>3165</v>
      </c>
      <c r="M20" s="2952" t="s">
        <v>3168</v>
      </c>
      <c r="N20" s="2952" t="s">
        <v>3166</v>
      </c>
      <c r="O20" s="2952" t="s">
        <v>3170</v>
      </c>
      <c r="P20" s="2952" t="s">
        <v>3169</v>
      </c>
      <c r="Q20" s="2952" t="s">
        <v>3171</v>
      </c>
      <c r="R20" s="2952" t="s">
        <v>3172</v>
      </c>
      <c r="U20" s="2952" t="s">
        <v>3202</v>
      </c>
      <c r="V20" s="2952" t="s">
        <v>3203</v>
      </c>
    </row>
    <row r="21" spans="1:22">
      <c r="A21" s="2952" t="s">
        <v>3139</v>
      </c>
      <c r="B21">
        <v>105</v>
      </c>
      <c r="C21" s="2952" t="s">
        <v>3138</v>
      </c>
      <c r="D21">
        <v>319.02</v>
      </c>
      <c r="G21">
        <v>-114</v>
      </c>
      <c r="H21" s="2952" t="s">
        <v>3081</v>
      </c>
      <c r="I21">
        <v>75.98</v>
      </c>
      <c r="K21" s="2952" t="s">
        <v>3174</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3140</v>
      </c>
      <c r="D22">
        <v>317.86</v>
      </c>
      <c r="G22">
        <v>-115</v>
      </c>
      <c r="H22" s="2952" t="s">
        <v>3081</v>
      </c>
      <c r="I22">
        <v>75.98</v>
      </c>
      <c r="L22" s="2966">
        <v>102</v>
      </c>
      <c r="P22" s="2952">
        <v>317.55</v>
      </c>
      <c r="Q22">
        <f t="shared" ref="Q22:Q29" si="4">ROUND(P22*$O$21,2)</f>
        <v>89.48</v>
      </c>
      <c r="R22">
        <f>P22-Q22</f>
        <v>228.07</v>
      </c>
    </row>
    <row r="23" spans="1:22">
      <c r="B23">
        <v>101</v>
      </c>
      <c r="C23" s="2952" t="s">
        <v>3140</v>
      </c>
      <c r="D23">
        <v>319.14</v>
      </c>
      <c r="G23">
        <v>-116</v>
      </c>
      <c r="H23" s="2952" t="s">
        <v>3081</v>
      </c>
      <c r="I23">
        <v>75.98</v>
      </c>
      <c r="L23" s="2966">
        <v>103</v>
      </c>
      <c r="P23" s="2952">
        <v>317.55</v>
      </c>
      <c r="Q23">
        <f t="shared" si="4"/>
        <v>89.48</v>
      </c>
      <c r="R23">
        <f>P23-Q23</f>
        <v>228.07</v>
      </c>
    </row>
    <row r="24" spans="1:22">
      <c r="B24">
        <v>110</v>
      </c>
      <c r="C24" s="2952" t="s">
        <v>3142</v>
      </c>
      <c r="D24">
        <v>332.99</v>
      </c>
      <c r="G24">
        <v>-117</v>
      </c>
      <c r="H24" s="2952" t="s">
        <v>3081</v>
      </c>
      <c r="I24">
        <v>75.98</v>
      </c>
      <c r="L24" s="2966">
        <v>104</v>
      </c>
      <c r="P24" s="2952">
        <v>317.43</v>
      </c>
      <c r="Q24">
        <f t="shared" si="4"/>
        <v>89.44</v>
      </c>
      <c r="R24">
        <f t="shared" ref="R24:R30" si="5">P24-Q24</f>
        <v>227.99</v>
      </c>
    </row>
    <row r="25" spans="1:22">
      <c r="B25">
        <v>109</v>
      </c>
      <c r="C25" s="2952" t="s">
        <v>3138</v>
      </c>
      <c r="D25">
        <v>332.22</v>
      </c>
      <c r="G25">
        <v>-118</v>
      </c>
      <c r="H25" s="2952" t="s">
        <v>3081</v>
      </c>
      <c r="I25">
        <v>75.98</v>
      </c>
      <c r="L25" s="2963">
        <v>105</v>
      </c>
      <c r="P25" s="2968">
        <v>375.08</v>
      </c>
      <c r="Q25" s="2963">
        <f t="shared" si="4"/>
        <v>105.69</v>
      </c>
      <c r="R25" s="2963">
        <f t="shared" si="5"/>
        <v>269.39</v>
      </c>
    </row>
    <row r="26" spans="1:22">
      <c r="D26" s="2963">
        <f>SUM(D21:D25)</f>
        <v>1621.23</v>
      </c>
      <c r="G26">
        <v>-111</v>
      </c>
      <c r="H26" s="2952" t="s">
        <v>3081</v>
      </c>
      <c r="I26">
        <v>75.98</v>
      </c>
      <c r="L26" s="2963">
        <v>106</v>
      </c>
      <c r="P26" s="2968">
        <v>334.72</v>
      </c>
      <c r="Q26" s="2963">
        <f t="shared" si="4"/>
        <v>94.32</v>
      </c>
      <c r="R26" s="2963">
        <f t="shared" si="5"/>
        <v>240.40000000000003</v>
      </c>
    </row>
    <row r="27" spans="1:22">
      <c r="A27" s="2952" t="s">
        <v>3143</v>
      </c>
      <c r="B27">
        <v>108</v>
      </c>
      <c r="C27" s="2952" t="s">
        <v>3138</v>
      </c>
      <c r="D27">
        <v>339.89</v>
      </c>
      <c r="G27">
        <v>-112</v>
      </c>
      <c r="H27" s="2952" t="s">
        <v>3081</v>
      </c>
      <c r="I27">
        <v>75.98</v>
      </c>
      <c r="L27" s="2966">
        <v>107</v>
      </c>
      <c r="P27" s="2952">
        <v>333.96</v>
      </c>
      <c r="Q27">
        <f t="shared" si="4"/>
        <v>94.1</v>
      </c>
      <c r="R27">
        <f t="shared" si="5"/>
        <v>239.85999999999999</v>
      </c>
    </row>
    <row r="28" spans="1:22">
      <c r="B28">
        <v>104</v>
      </c>
      <c r="C28" s="2952" t="s">
        <v>3138</v>
      </c>
      <c r="D28">
        <v>374.68</v>
      </c>
      <c r="G28">
        <v>-127</v>
      </c>
      <c r="H28" s="2952" t="s">
        <v>3081</v>
      </c>
      <c r="I28">
        <v>75.98</v>
      </c>
      <c r="L28" s="2963">
        <v>108</v>
      </c>
      <c r="P28" s="2968">
        <v>333.96</v>
      </c>
      <c r="Q28" s="2963">
        <f t="shared" si="4"/>
        <v>94.1</v>
      </c>
      <c r="R28" s="2963">
        <f t="shared" si="5"/>
        <v>239.85999999999999</v>
      </c>
    </row>
    <row r="29" spans="1:22">
      <c r="B29">
        <v>105</v>
      </c>
      <c r="C29" s="2952" t="s">
        <v>3138</v>
      </c>
      <c r="D29">
        <v>314.77999999999997</v>
      </c>
      <c r="G29">
        <v>-128</v>
      </c>
      <c r="H29" s="2952" t="s">
        <v>3081</v>
      </c>
      <c r="I29">
        <v>75.98</v>
      </c>
      <c r="L29" s="2963">
        <v>109</v>
      </c>
      <c r="P29" s="2968">
        <v>332.18</v>
      </c>
      <c r="Q29" s="2963">
        <f t="shared" si="4"/>
        <v>93.6</v>
      </c>
      <c r="R29" s="2963">
        <f t="shared" si="5"/>
        <v>238.58</v>
      </c>
    </row>
    <row r="30" spans="1:22">
      <c r="B30">
        <v>101</v>
      </c>
      <c r="C30" s="2952" t="s">
        <v>3138</v>
      </c>
      <c r="D30">
        <v>318.54000000000002</v>
      </c>
      <c r="G30">
        <v>-105</v>
      </c>
      <c r="H30" s="2952" t="s">
        <v>3081</v>
      </c>
      <c r="I30">
        <v>75.98</v>
      </c>
      <c r="L30" s="2966">
        <v>110</v>
      </c>
      <c r="P30" s="2952">
        <v>339.9</v>
      </c>
      <c r="Q30">
        <f>N21-Q21-Q22-Q23-Q24-Q25-Q26-Q27-Q28-Q29</f>
        <v>95.779999999999916</v>
      </c>
      <c r="R30">
        <f t="shared" si="5"/>
        <v>244.12000000000006</v>
      </c>
    </row>
    <row r="31" spans="1:22">
      <c r="D31" s="2963">
        <f>SUM(D27:D30)</f>
        <v>1347.8899999999999</v>
      </c>
      <c r="G31">
        <v>-106</v>
      </c>
      <c r="H31" s="2952" t="s">
        <v>3081</v>
      </c>
      <c r="I31">
        <v>75.98</v>
      </c>
    </row>
    <row r="32" spans="1:22">
      <c r="A32" s="2952" t="s">
        <v>3144</v>
      </c>
      <c r="B32">
        <v>101</v>
      </c>
      <c r="C32" s="2952" t="s">
        <v>3138</v>
      </c>
      <c r="D32">
        <v>374.93</v>
      </c>
      <c r="G32">
        <v>-109</v>
      </c>
      <c r="H32" s="2952" t="s">
        <v>3141</v>
      </c>
      <c r="I32">
        <v>75.98</v>
      </c>
      <c r="K32" s="2952" t="s">
        <v>3164</v>
      </c>
      <c r="L32" s="2952" t="s">
        <v>3165</v>
      </c>
      <c r="M32" s="2952" t="s">
        <v>3168</v>
      </c>
      <c r="N32" s="2952" t="s">
        <v>3166</v>
      </c>
      <c r="O32" s="2952" t="s">
        <v>3170</v>
      </c>
      <c r="P32" s="2952" t="s">
        <v>3169</v>
      </c>
      <c r="Q32" s="2952" t="s">
        <v>3171</v>
      </c>
      <c r="R32" s="2952" t="s">
        <v>3172</v>
      </c>
      <c r="U32" s="2952" t="s">
        <v>3202</v>
      </c>
      <c r="V32" s="2952" t="s">
        <v>3203</v>
      </c>
    </row>
    <row r="33" spans="1:22">
      <c r="D33" s="2963">
        <f>SUM(D32)</f>
        <v>374.93</v>
      </c>
      <c r="G33">
        <v>-110</v>
      </c>
      <c r="H33" s="2952" t="s">
        <v>3141</v>
      </c>
      <c r="I33">
        <v>75.98</v>
      </c>
      <c r="K33" s="2952" t="s">
        <v>3175</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3145</v>
      </c>
      <c r="B34">
        <v>110</v>
      </c>
      <c r="C34" s="2952" t="s">
        <v>3138</v>
      </c>
      <c r="D34">
        <v>339.9</v>
      </c>
      <c r="G34">
        <v>-101</v>
      </c>
      <c r="H34" s="2952" t="s">
        <v>3141</v>
      </c>
      <c r="I34">
        <v>75.98</v>
      </c>
      <c r="L34" s="2968">
        <v>102</v>
      </c>
      <c r="P34" s="2968">
        <v>317.86</v>
      </c>
      <c r="Q34" s="2963">
        <f t="shared" ref="Q34:Q41" si="6">ROUND(P34*$O$33,2)</f>
        <v>90.1</v>
      </c>
      <c r="R34" s="2963">
        <f t="shared" ref="R34:R42" si="7">P34-Q34</f>
        <v>227.76000000000002</v>
      </c>
    </row>
    <row r="35" spans="1:22">
      <c r="B35">
        <v>105</v>
      </c>
      <c r="C35" s="2952" t="s">
        <v>3138</v>
      </c>
      <c r="D35">
        <v>375.08</v>
      </c>
      <c r="G35">
        <v>-102</v>
      </c>
      <c r="H35" s="2952" t="s">
        <v>3141</v>
      </c>
      <c r="I35">
        <v>75.98</v>
      </c>
      <c r="L35" s="2967">
        <v>103</v>
      </c>
      <c r="P35" s="2952">
        <v>317.86</v>
      </c>
      <c r="Q35">
        <f t="shared" si="6"/>
        <v>90.1</v>
      </c>
      <c r="R35">
        <f t="shared" si="7"/>
        <v>227.76000000000002</v>
      </c>
    </row>
    <row r="36" spans="1:22">
      <c r="B36">
        <v>106</v>
      </c>
      <c r="C36" s="2952" t="s">
        <v>3138</v>
      </c>
      <c r="D36">
        <v>334.72</v>
      </c>
      <c r="G36">
        <v>-131</v>
      </c>
      <c r="H36" s="2952" t="s">
        <v>3141</v>
      </c>
      <c r="I36">
        <v>75.98</v>
      </c>
      <c r="L36" s="2968">
        <v>104</v>
      </c>
      <c r="P36" s="2968">
        <v>317.74</v>
      </c>
      <c r="Q36" s="2963">
        <f t="shared" si="6"/>
        <v>90.07</v>
      </c>
      <c r="R36" s="2963">
        <f t="shared" si="7"/>
        <v>227.67000000000002</v>
      </c>
    </row>
    <row r="37" spans="1:22">
      <c r="B37">
        <v>102</v>
      </c>
      <c r="C37" s="2952" t="s">
        <v>3138</v>
      </c>
      <c r="D37">
        <v>317.55</v>
      </c>
      <c r="G37">
        <v>-132</v>
      </c>
      <c r="H37" s="2952" t="s">
        <v>3141</v>
      </c>
      <c r="I37">
        <v>75.98</v>
      </c>
      <c r="L37" s="2967">
        <v>105</v>
      </c>
      <c r="P37" s="2952">
        <v>319.02</v>
      </c>
      <c r="Q37">
        <f t="shared" si="6"/>
        <v>90.43</v>
      </c>
      <c r="R37">
        <f t="shared" si="7"/>
        <v>228.58999999999997</v>
      </c>
    </row>
    <row r="38" spans="1:22">
      <c r="D38" s="2963">
        <f>SUM(D34:D37)</f>
        <v>1367.25</v>
      </c>
      <c r="G38">
        <v>-133</v>
      </c>
      <c r="H38" s="2952" t="s">
        <v>3141</v>
      </c>
      <c r="I38">
        <v>75.98</v>
      </c>
      <c r="L38" s="2968">
        <v>106</v>
      </c>
      <c r="P38" s="2968">
        <v>335.05</v>
      </c>
      <c r="Q38" s="2963">
        <f t="shared" si="6"/>
        <v>94.98</v>
      </c>
      <c r="R38" s="2963">
        <f t="shared" si="7"/>
        <v>240.07</v>
      </c>
    </row>
    <row r="39" spans="1:22">
      <c r="A39" s="2952" t="s">
        <v>3146</v>
      </c>
      <c r="B39">
        <v>107</v>
      </c>
      <c r="C39" s="2952" t="s">
        <v>3138</v>
      </c>
      <c r="D39">
        <v>332.46</v>
      </c>
      <c r="G39">
        <v>-134</v>
      </c>
      <c r="H39" s="2952" t="s">
        <v>3141</v>
      </c>
      <c r="I39">
        <v>75.98</v>
      </c>
      <c r="L39" s="2968">
        <v>107</v>
      </c>
      <c r="P39" s="2968">
        <v>334.29</v>
      </c>
      <c r="Q39" s="2963">
        <f t="shared" si="6"/>
        <v>94.76</v>
      </c>
      <c r="R39" s="2963">
        <f t="shared" si="7"/>
        <v>239.53000000000003</v>
      </c>
    </row>
    <row r="40" spans="1:22">
      <c r="D40" s="2963">
        <f>SUM(D39)</f>
        <v>332.46</v>
      </c>
      <c r="G40">
        <v>-221</v>
      </c>
      <c r="H40" s="2952" t="s">
        <v>3141</v>
      </c>
      <c r="I40">
        <v>75.98</v>
      </c>
      <c r="L40" s="2968">
        <v>108</v>
      </c>
      <c r="P40" s="2968">
        <v>334.29</v>
      </c>
      <c r="Q40" s="2963">
        <f t="shared" si="6"/>
        <v>94.76</v>
      </c>
      <c r="R40" s="2963">
        <f t="shared" si="7"/>
        <v>239.53000000000003</v>
      </c>
    </row>
    <row r="41" spans="1:22">
      <c r="A41" s="2952" t="s">
        <v>3147</v>
      </c>
      <c r="D41">
        <v>0</v>
      </c>
      <c r="G41">
        <v>-222</v>
      </c>
      <c r="H41" s="2952" t="s">
        <v>3141</v>
      </c>
      <c r="I41">
        <v>75.98</v>
      </c>
      <c r="L41" s="2967">
        <v>109</v>
      </c>
      <c r="P41" s="2952">
        <v>332.22</v>
      </c>
      <c r="Q41">
        <f t="shared" si="6"/>
        <v>94.18</v>
      </c>
      <c r="R41">
        <f t="shared" si="7"/>
        <v>238.04000000000002</v>
      </c>
    </row>
    <row r="42" spans="1:22">
      <c r="D42" s="2963">
        <v>0</v>
      </c>
      <c r="G42">
        <v>-219</v>
      </c>
      <c r="H42" s="2952" t="s">
        <v>3141</v>
      </c>
      <c r="I42">
        <v>75.98</v>
      </c>
      <c r="L42" s="2967">
        <v>110</v>
      </c>
      <c r="P42" s="2952">
        <v>332.99</v>
      </c>
      <c r="Q42">
        <f>N33-Q33-Q34-Q35-Q36-Q37-Q38-Q39-Q40-Q41</f>
        <v>94.399999999999977</v>
      </c>
      <c r="R42">
        <f t="shared" si="7"/>
        <v>238.59000000000003</v>
      </c>
    </row>
    <row r="43" spans="1:22">
      <c r="A43" s="2952" t="s">
        <v>3148</v>
      </c>
      <c r="D43">
        <v>0</v>
      </c>
      <c r="G43">
        <v>-220</v>
      </c>
      <c r="H43" s="2952" t="s">
        <v>3141</v>
      </c>
      <c r="I43">
        <v>75.98</v>
      </c>
    </row>
    <row r="44" spans="1:22">
      <c r="D44" s="2963">
        <v>0</v>
      </c>
      <c r="G44">
        <v>-227</v>
      </c>
      <c r="H44" s="2952" t="s">
        <v>3141</v>
      </c>
      <c r="I44">
        <v>75.98</v>
      </c>
      <c r="K44" s="2952" t="s">
        <v>3164</v>
      </c>
      <c r="L44" s="2952" t="s">
        <v>3165</v>
      </c>
      <c r="M44" s="2952" t="s">
        <v>3168</v>
      </c>
      <c r="N44" s="2952" t="s">
        <v>3166</v>
      </c>
      <c r="O44" s="2952" t="s">
        <v>3170</v>
      </c>
      <c r="P44" s="2952" t="s">
        <v>3169</v>
      </c>
      <c r="Q44" s="2952" t="s">
        <v>3171</v>
      </c>
      <c r="R44" s="2952" t="s">
        <v>3172</v>
      </c>
      <c r="U44" s="2952" t="s">
        <v>3202</v>
      </c>
      <c r="V44" s="2952" t="s">
        <v>3203</v>
      </c>
    </row>
    <row r="45" spans="1:22">
      <c r="A45" s="2952" t="s">
        <v>3149</v>
      </c>
      <c r="D45">
        <v>0</v>
      </c>
      <c r="G45">
        <v>-228</v>
      </c>
      <c r="H45" s="2952" t="s">
        <v>3141</v>
      </c>
      <c r="I45">
        <v>75.98</v>
      </c>
      <c r="K45" s="2952" t="s">
        <v>3176</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3141</v>
      </c>
      <c r="I46">
        <v>75.98</v>
      </c>
      <c r="L46" s="2968">
        <v>102</v>
      </c>
      <c r="P46" s="2968">
        <v>317.26</v>
      </c>
      <c r="Q46" s="2963">
        <f t="shared" ref="Q46:Q51" si="8">ROUND(P46*$O$45,2)</f>
        <v>89.84</v>
      </c>
      <c r="R46" s="2963">
        <f t="shared" ref="R46:R52" si="9">P46-Q46</f>
        <v>227.42</v>
      </c>
    </row>
    <row r="47" spans="1:22">
      <c r="A47" s="2952" t="s">
        <v>3150</v>
      </c>
      <c r="D47">
        <v>0</v>
      </c>
      <c r="G47">
        <v>-214</v>
      </c>
      <c r="H47" s="2952" t="s">
        <v>3141</v>
      </c>
      <c r="I47">
        <v>75.98</v>
      </c>
      <c r="L47" s="2968">
        <v>103</v>
      </c>
      <c r="P47" s="2968">
        <v>317.14</v>
      </c>
      <c r="Q47" s="2963">
        <f t="shared" si="8"/>
        <v>89.8</v>
      </c>
      <c r="R47" s="2963">
        <f t="shared" si="9"/>
        <v>227.33999999999997</v>
      </c>
    </row>
    <row r="48" spans="1:22">
      <c r="D48" s="2963">
        <v>0</v>
      </c>
      <c r="G48">
        <v>-205</v>
      </c>
      <c r="H48" s="2952" t="s">
        <v>3141</v>
      </c>
      <c r="I48">
        <v>75.98</v>
      </c>
      <c r="L48" s="2967">
        <v>104</v>
      </c>
      <c r="P48" s="2952">
        <v>374.68</v>
      </c>
      <c r="Q48">
        <f t="shared" si="8"/>
        <v>106.1</v>
      </c>
      <c r="R48">
        <f t="shared" si="9"/>
        <v>268.58000000000004</v>
      </c>
    </row>
    <row r="49" spans="1:22">
      <c r="A49" s="2952" t="s">
        <v>3151</v>
      </c>
      <c r="B49">
        <v>106</v>
      </c>
      <c r="C49" s="2952" t="s">
        <v>3138</v>
      </c>
      <c r="D49">
        <v>314.94</v>
      </c>
      <c r="G49">
        <v>-206</v>
      </c>
      <c r="H49" s="2952" t="s">
        <v>3141</v>
      </c>
      <c r="I49">
        <v>75.98</v>
      </c>
      <c r="L49" s="2967">
        <v>105</v>
      </c>
      <c r="P49" s="2952">
        <v>314.77999999999997</v>
      </c>
      <c r="Q49">
        <f t="shared" si="8"/>
        <v>89.14</v>
      </c>
      <c r="R49">
        <f t="shared" si="9"/>
        <v>225.64</v>
      </c>
    </row>
    <row r="50" spans="1:22">
      <c r="B50">
        <v>102</v>
      </c>
      <c r="C50" s="2952" t="s">
        <v>3138</v>
      </c>
      <c r="D50" s="2964">
        <v>317.27999999999997</v>
      </c>
      <c r="G50">
        <v>-187</v>
      </c>
      <c r="H50" s="2952" t="s">
        <v>3141</v>
      </c>
      <c r="I50">
        <v>75.98</v>
      </c>
      <c r="L50" s="2968">
        <v>106</v>
      </c>
      <c r="P50" s="2968">
        <v>333.65</v>
      </c>
      <c r="Q50" s="2963">
        <f t="shared" si="8"/>
        <v>94.48</v>
      </c>
      <c r="R50" s="2963">
        <f t="shared" si="9"/>
        <v>239.16999999999996</v>
      </c>
    </row>
    <row r="51" spans="1:22">
      <c r="B51">
        <v>101</v>
      </c>
      <c r="C51" s="2952" t="s">
        <v>3138</v>
      </c>
      <c r="D51">
        <v>318.67</v>
      </c>
      <c r="G51">
        <v>-188</v>
      </c>
      <c r="H51" s="2952" t="s">
        <v>3141</v>
      </c>
      <c r="I51">
        <v>75.98</v>
      </c>
      <c r="L51" s="2968">
        <v>107</v>
      </c>
      <c r="P51" s="2968">
        <v>331.59</v>
      </c>
      <c r="Q51" s="2963">
        <f t="shared" si="8"/>
        <v>93.9</v>
      </c>
      <c r="R51" s="2963">
        <f t="shared" si="9"/>
        <v>237.68999999999997</v>
      </c>
    </row>
    <row r="52" spans="1:22">
      <c r="B52">
        <v>103</v>
      </c>
      <c r="C52" s="2952" t="s">
        <v>3152</v>
      </c>
      <c r="D52">
        <v>312.49</v>
      </c>
      <c r="G52">
        <v>-189</v>
      </c>
      <c r="H52" s="2952" t="s">
        <v>3141</v>
      </c>
      <c r="I52">
        <v>75.98</v>
      </c>
      <c r="L52" s="2967">
        <v>108</v>
      </c>
      <c r="P52" s="2952">
        <v>339.89</v>
      </c>
      <c r="Q52">
        <f>N45-Q45-Q46-Q47-Q48-Q49-Q50-Q51</f>
        <v>96.239999999999981</v>
      </c>
      <c r="R52">
        <f t="shared" si="9"/>
        <v>243.65</v>
      </c>
    </row>
    <row r="53" spans="1:22">
      <c r="B53">
        <v>105</v>
      </c>
      <c r="C53" s="2952" t="s">
        <v>3138</v>
      </c>
      <c r="D53">
        <v>312.66000000000003</v>
      </c>
      <c r="G53">
        <v>-190</v>
      </c>
      <c r="H53" s="2952" t="s">
        <v>3141</v>
      </c>
      <c r="I53">
        <v>75.98</v>
      </c>
      <c r="L53" s="2952"/>
      <c r="P53" s="2952"/>
    </row>
    <row r="54" spans="1:22">
      <c r="D54" s="2963">
        <f>SUM(D49:D53)</f>
        <v>1576.0400000000002</v>
      </c>
      <c r="G54">
        <v>-197</v>
      </c>
      <c r="H54" s="2952" t="s">
        <v>3141</v>
      </c>
      <c r="I54">
        <v>75.98</v>
      </c>
      <c r="K54" s="2952" t="s">
        <v>3164</v>
      </c>
      <c r="L54" s="2952" t="s">
        <v>3165</v>
      </c>
      <c r="M54" s="2952" t="s">
        <v>3168</v>
      </c>
      <c r="N54" s="2952" t="s">
        <v>3166</v>
      </c>
      <c r="O54" s="2952" t="s">
        <v>3170</v>
      </c>
      <c r="P54" s="2952" t="s">
        <v>3169</v>
      </c>
      <c r="Q54" s="2952" t="s">
        <v>3171</v>
      </c>
      <c r="R54" s="2952" t="s">
        <v>3172</v>
      </c>
      <c r="U54" s="2952" t="s">
        <v>3202</v>
      </c>
      <c r="V54" s="2952" t="s">
        <v>3203</v>
      </c>
    </row>
    <row r="55" spans="1:22">
      <c r="A55" s="2952" t="s">
        <v>3153</v>
      </c>
      <c r="B55">
        <v>106</v>
      </c>
      <c r="C55" s="2952" t="s">
        <v>3152</v>
      </c>
      <c r="D55">
        <v>333.58</v>
      </c>
      <c r="G55">
        <v>-198</v>
      </c>
      <c r="H55" s="2952" t="s">
        <v>3141</v>
      </c>
      <c r="I55">
        <v>75.98</v>
      </c>
      <c r="K55" s="2952" t="s">
        <v>3177</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3152</v>
      </c>
      <c r="D56">
        <v>317.07</v>
      </c>
      <c r="G56">
        <v>-181</v>
      </c>
      <c r="H56" s="2952" t="s">
        <v>3141</v>
      </c>
      <c r="I56">
        <v>75.98</v>
      </c>
      <c r="L56" s="2968">
        <v>102</v>
      </c>
      <c r="P56" s="2968">
        <v>317.38</v>
      </c>
      <c r="Q56" s="2963">
        <f t="shared" ref="Q56:Q61" si="10">ROUND(P56*$O$55,2)</f>
        <v>89.18</v>
      </c>
      <c r="R56" s="2963">
        <f t="shared" ref="R56:R62" si="11">P56-Q56</f>
        <v>228.2</v>
      </c>
    </row>
    <row r="57" spans="1:22">
      <c r="B57">
        <v>104</v>
      </c>
      <c r="C57" s="2952" t="s">
        <v>3152</v>
      </c>
      <c r="D57">
        <v>318.33999999999997</v>
      </c>
      <c r="G57">
        <v>-182</v>
      </c>
      <c r="H57" s="2952" t="s">
        <v>3141</v>
      </c>
      <c r="I57">
        <v>75.98</v>
      </c>
      <c r="L57" s="2968">
        <v>103</v>
      </c>
      <c r="P57" s="2968">
        <v>317.26</v>
      </c>
      <c r="Q57" s="2963">
        <f t="shared" si="10"/>
        <v>89.15</v>
      </c>
      <c r="R57" s="2963">
        <f t="shared" si="11"/>
        <v>228.10999999999999</v>
      </c>
    </row>
    <row r="58" spans="1:22">
      <c r="B58">
        <v>108</v>
      </c>
      <c r="C58" s="2952" t="s">
        <v>3152</v>
      </c>
      <c r="D58">
        <v>312.64999999999998</v>
      </c>
      <c r="G58">
        <v>-199</v>
      </c>
      <c r="H58" s="2952" t="s">
        <v>3141</v>
      </c>
      <c r="I58">
        <v>75.98</v>
      </c>
      <c r="L58" s="2968">
        <v>104</v>
      </c>
      <c r="P58" s="2968">
        <v>318.52999999999997</v>
      </c>
      <c r="Q58" s="2963">
        <f t="shared" si="10"/>
        <v>89.51</v>
      </c>
      <c r="R58" s="2963">
        <f t="shared" si="11"/>
        <v>229.01999999999998</v>
      </c>
    </row>
    <row r="59" spans="1:22">
      <c r="B59">
        <v>102</v>
      </c>
      <c r="C59" s="2952" t="s">
        <v>3152</v>
      </c>
      <c r="D59">
        <v>317.19</v>
      </c>
      <c r="G59">
        <v>-200</v>
      </c>
      <c r="H59" s="2952" t="s">
        <v>3141</v>
      </c>
      <c r="I59">
        <v>75.98</v>
      </c>
      <c r="L59" s="2968">
        <v>105</v>
      </c>
      <c r="P59" s="2968">
        <v>341.96</v>
      </c>
      <c r="Q59" s="2963">
        <f t="shared" si="10"/>
        <v>96.09</v>
      </c>
      <c r="R59" s="2963">
        <f t="shared" si="11"/>
        <v>245.86999999999998</v>
      </c>
    </row>
    <row r="60" spans="1:22">
      <c r="B60">
        <v>105</v>
      </c>
      <c r="C60" s="2952" t="s">
        <v>3152</v>
      </c>
      <c r="D60">
        <v>341.76</v>
      </c>
      <c r="G60">
        <v>-387</v>
      </c>
      <c r="H60" s="2952" t="s">
        <v>3141</v>
      </c>
      <c r="I60">
        <v>75.98</v>
      </c>
      <c r="L60" s="2968">
        <v>106</v>
      </c>
      <c r="P60" s="2968">
        <v>333.77</v>
      </c>
      <c r="Q60" s="2963">
        <f t="shared" si="10"/>
        <v>93.79</v>
      </c>
      <c r="R60" s="2963">
        <f t="shared" si="11"/>
        <v>239.97999999999996</v>
      </c>
    </row>
    <row r="61" spans="1:22">
      <c r="B61">
        <v>107</v>
      </c>
      <c r="C61" s="2952" t="s">
        <v>3152</v>
      </c>
      <c r="D61">
        <v>331.51</v>
      </c>
      <c r="G61">
        <v>-388</v>
      </c>
      <c r="H61" s="2952" t="s">
        <v>3141</v>
      </c>
      <c r="I61">
        <v>75.98</v>
      </c>
      <c r="L61" s="2968">
        <v>107</v>
      </c>
      <c r="P61" s="2968">
        <v>331.71</v>
      </c>
      <c r="Q61" s="2963">
        <f t="shared" si="10"/>
        <v>93.21</v>
      </c>
      <c r="R61" s="2963">
        <f t="shared" si="11"/>
        <v>238.5</v>
      </c>
    </row>
    <row r="62" spans="1:22">
      <c r="B62">
        <v>101</v>
      </c>
      <c r="C62" s="2952" t="s">
        <v>3152</v>
      </c>
      <c r="D62">
        <v>374.71</v>
      </c>
      <c r="G62">
        <v>-391</v>
      </c>
      <c r="H62" s="2952" t="s">
        <v>3141</v>
      </c>
      <c r="I62">
        <v>75.98</v>
      </c>
      <c r="L62" s="2968">
        <v>108</v>
      </c>
      <c r="P62" s="2968">
        <v>332.47</v>
      </c>
      <c r="Q62" s="2963">
        <f>N55-Q55-Q56-Q57-Q58-Q59-Q60-Q61</f>
        <v>93.420000000000059</v>
      </c>
      <c r="R62" s="2963">
        <f t="shared" si="11"/>
        <v>239.04999999999995</v>
      </c>
    </row>
    <row r="63" spans="1:22">
      <c r="D63" s="2963">
        <f>SUM(D55:D62)</f>
        <v>2646.81</v>
      </c>
      <c r="G63">
        <v>-392</v>
      </c>
      <c r="H63" s="2952" t="s">
        <v>3141</v>
      </c>
      <c r="I63">
        <v>75.98</v>
      </c>
    </row>
    <row r="64" spans="1:22">
      <c r="A64" s="2952" t="s">
        <v>3154</v>
      </c>
      <c r="B64">
        <v>114</v>
      </c>
      <c r="C64" s="2952" t="s">
        <v>3138</v>
      </c>
      <c r="D64">
        <v>313.01</v>
      </c>
      <c r="G64">
        <v>-383</v>
      </c>
      <c r="H64" s="2952" t="s">
        <v>3141</v>
      </c>
      <c r="I64">
        <v>75.98</v>
      </c>
      <c r="K64" s="2952" t="s">
        <v>3164</v>
      </c>
      <c r="L64" s="2952" t="s">
        <v>3165</v>
      </c>
      <c r="M64" s="2952" t="s">
        <v>3168</v>
      </c>
      <c r="N64" s="2952" t="s">
        <v>3166</v>
      </c>
      <c r="O64" s="2952" t="s">
        <v>3170</v>
      </c>
      <c r="P64" s="2952" t="s">
        <v>3169</v>
      </c>
      <c r="Q64" s="2952" t="s">
        <v>3171</v>
      </c>
      <c r="R64" s="2952" t="s">
        <v>3172</v>
      </c>
      <c r="U64" s="2952" t="s">
        <v>3202</v>
      </c>
      <c r="V64" s="2952" t="s">
        <v>3203</v>
      </c>
    </row>
    <row r="65" spans="1:22">
      <c r="B65">
        <v>101</v>
      </c>
      <c r="C65" s="2952" t="s">
        <v>3138</v>
      </c>
      <c r="D65">
        <v>375.16</v>
      </c>
      <c r="G65">
        <v>-384</v>
      </c>
      <c r="H65" s="2952" t="s">
        <v>3141</v>
      </c>
      <c r="I65">
        <v>75.98</v>
      </c>
      <c r="K65" s="2952" t="s">
        <v>3178</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3138</v>
      </c>
      <c r="D66">
        <v>318.72000000000003</v>
      </c>
      <c r="G66">
        <v>-385</v>
      </c>
      <c r="H66" s="2952" t="s">
        <v>3141</v>
      </c>
      <c r="I66">
        <v>75.98</v>
      </c>
      <c r="L66" s="2967">
        <v>102</v>
      </c>
      <c r="P66" s="2952">
        <v>317.55</v>
      </c>
      <c r="Q66">
        <f t="shared" ref="Q66:Q73" si="12">ROUND(P66*$O$65,2)</f>
        <v>89.48</v>
      </c>
      <c r="R66">
        <f t="shared" ref="R66:R74" si="13">P66-Q66</f>
        <v>228.07</v>
      </c>
    </row>
    <row r="67" spans="1:22">
      <c r="B67">
        <v>112</v>
      </c>
      <c r="C67" s="2952" t="s">
        <v>3138</v>
      </c>
      <c r="D67">
        <v>333.98</v>
      </c>
      <c r="G67">
        <v>-386</v>
      </c>
      <c r="H67" s="2952" t="s">
        <v>3141</v>
      </c>
      <c r="I67">
        <v>75.98</v>
      </c>
      <c r="L67" s="2968">
        <v>103</v>
      </c>
      <c r="P67" s="2968">
        <v>317.55</v>
      </c>
      <c r="Q67" s="2963">
        <f t="shared" si="12"/>
        <v>89.48</v>
      </c>
      <c r="R67" s="2963">
        <f t="shared" si="13"/>
        <v>228.07</v>
      </c>
    </row>
    <row r="68" spans="1:22">
      <c r="B68">
        <v>105</v>
      </c>
      <c r="C68" s="2952" t="s">
        <v>3138</v>
      </c>
      <c r="D68">
        <v>317.57</v>
      </c>
      <c r="G68">
        <v>-389</v>
      </c>
      <c r="H68" s="2952" t="s">
        <v>3141</v>
      </c>
      <c r="I68">
        <v>75.98</v>
      </c>
      <c r="L68" s="2968">
        <v>104</v>
      </c>
      <c r="P68" s="2968">
        <v>317.43</v>
      </c>
      <c r="Q68" s="2963">
        <f t="shared" si="12"/>
        <v>89.44</v>
      </c>
      <c r="R68" s="2963">
        <f t="shared" si="13"/>
        <v>227.99</v>
      </c>
    </row>
    <row r="69" spans="1:22">
      <c r="B69">
        <v>111</v>
      </c>
      <c r="C69" s="2952" t="s">
        <v>3138</v>
      </c>
      <c r="D69">
        <v>333.98</v>
      </c>
      <c r="G69">
        <v>-390</v>
      </c>
      <c r="H69" s="2952" t="s">
        <v>3141</v>
      </c>
      <c r="I69">
        <v>75.98</v>
      </c>
      <c r="L69" s="2967">
        <v>105</v>
      </c>
      <c r="P69" s="2952">
        <v>375.08</v>
      </c>
      <c r="Q69">
        <f t="shared" si="12"/>
        <v>105.69</v>
      </c>
      <c r="R69">
        <f t="shared" si="13"/>
        <v>269.39</v>
      </c>
    </row>
    <row r="70" spans="1:22">
      <c r="B70">
        <v>104</v>
      </c>
      <c r="C70" s="2952" t="s">
        <v>3138</v>
      </c>
      <c r="D70">
        <v>317.57</v>
      </c>
      <c r="G70">
        <v>-377</v>
      </c>
      <c r="H70" s="2952" t="s">
        <v>3141</v>
      </c>
      <c r="I70">
        <v>75.98</v>
      </c>
      <c r="L70" s="2967">
        <v>106</v>
      </c>
      <c r="P70" s="2952">
        <v>334.72</v>
      </c>
      <c r="Q70">
        <f t="shared" si="12"/>
        <v>94.32</v>
      </c>
      <c r="R70">
        <f t="shared" si="13"/>
        <v>240.40000000000003</v>
      </c>
    </row>
    <row r="71" spans="1:22">
      <c r="D71" s="2963">
        <f>SUM(D64:D70)</f>
        <v>2309.9900000000002</v>
      </c>
      <c r="G71">
        <v>-378</v>
      </c>
      <c r="H71" s="2952" t="s">
        <v>3141</v>
      </c>
      <c r="I71">
        <v>75.98</v>
      </c>
      <c r="L71" s="2968">
        <v>107</v>
      </c>
      <c r="P71" s="2968">
        <v>333.96</v>
      </c>
      <c r="Q71" s="2963">
        <f t="shared" si="12"/>
        <v>94.1</v>
      </c>
      <c r="R71" s="2963">
        <f t="shared" si="13"/>
        <v>239.85999999999999</v>
      </c>
    </row>
    <row r="72" spans="1:22">
      <c r="A72" s="2952" t="s">
        <v>3155</v>
      </c>
      <c r="B72">
        <v>104</v>
      </c>
      <c r="C72" s="2952" t="s">
        <v>3152</v>
      </c>
      <c r="D72">
        <v>314.91000000000003</v>
      </c>
      <c r="G72">
        <v>-401</v>
      </c>
      <c r="H72" s="2952" t="s">
        <v>3141</v>
      </c>
      <c r="I72">
        <v>75.98</v>
      </c>
      <c r="L72" s="2968">
        <v>108</v>
      </c>
      <c r="P72" s="2968">
        <v>333.96</v>
      </c>
      <c r="Q72" s="2963">
        <f t="shared" si="12"/>
        <v>94.1</v>
      </c>
      <c r="R72" s="2963">
        <f t="shared" si="13"/>
        <v>239.85999999999999</v>
      </c>
    </row>
    <row r="73" spans="1:22">
      <c r="B73">
        <v>101</v>
      </c>
      <c r="C73" s="2952" t="s">
        <v>3152</v>
      </c>
      <c r="D73">
        <v>318.67</v>
      </c>
      <c r="G73">
        <v>-402</v>
      </c>
      <c r="H73" s="2952" t="s">
        <v>3141</v>
      </c>
      <c r="I73">
        <v>75.98</v>
      </c>
      <c r="L73" s="2968">
        <v>109</v>
      </c>
      <c r="P73" s="2968">
        <v>332.18</v>
      </c>
      <c r="Q73" s="2963">
        <f t="shared" si="12"/>
        <v>93.6</v>
      </c>
      <c r="R73" s="2963">
        <f t="shared" si="13"/>
        <v>238.58</v>
      </c>
    </row>
    <row r="74" spans="1:22">
      <c r="B74">
        <v>103</v>
      </c>
      <c r="C74" s="2952" t="s">
        <v>3152</v>
      </c>
      <c r="D74">
        <v>312.49</v>
      </c>
      <c r="G74">
        <v>-397</v>
      </c>
      <c r="H74" s="2952" t="s">
        <v>3141</v>
      </c>
      <c r="I74">
        <v>75.98</v>
      </c>
      <c r="L74" s="2967">
        <v>110</v>
      </c>
      <c r="P74" s="2952">
        <v>339.9</v>
      </c>
      <c r="Q74">
        <f>N65-Q65-Q66-Q67-Q68-Q69-Q70-Q71-Q72-Q73</f>
        <v>95.779999999999916</v>
      </c>
      <c r="R74">
        <f t="shared" si="13"/>
        <v>244.12000000000006</v>
      </c>
    </row>
    <row r="75" spans="1:22">
      <c r="B75">
        <v>102</v>
      </c>
      <c r="C75" s="2952" t="s">
        <v>3152</v>
      </c>
      <c r="D75">
        <v>317.27999999999997</v>
      </c>
      <c r="G75">
        <v>-398</v>
      </c>
      <c r="H75" s="2952" t="s">
        <v>3141</v>
      </c>
      <c r="I75">
        <v>75.98</v>
      </c>
    </row>
    <row r="76" spans="1:22">
      <c r="B76">
        <v>106</v>
      </c>
      <c r="C76" s="2952" t="s">
        <v>3138</v>
      </c>
      <c r="D76">
        <v>314.94</v>
      </c>
      <c r="G76">
        <v>-381</v>
      </c>
      <c r="H76" s="2952" t="s">
        <v>3141</v>
      </c>
      <c r="I76">
        <v>75.98</v>
      </c>
      <c r="K76" s="2952" t="s">
        <v>3164</v>
      </c>
      <c r="L76" s="2952" t="s">
        <v>3165</v>
      </c>
      <c r="M76" s="2952" t="s">
        <v>3168</v>
      </c>
      <c r="N76" s="2952" t="s">
        <v>3166</v>
      </c>
      <c r="O76" s="2952" t="s">
        <v>3170</v>
      </c>
      <c r="P76" s="2952" t="s">
        <v>3169</v>
      </c>
      <c r="Q76" s="2952" t="s">
        <v>3171</v>
      </c>
      <c r="R76" s="2952" t="s">
        <v>3172</v>
      </c>
      <c r="U76" s="2952" t="s">
        <v>3202</v>
      </c>
      <c r="V76" s="2952" t="s">
        <v>3203</v>
      </c>
    </row>
    <row r="77" spans="1:22">
      <c r="D77" s="2963">
        <f>SUM(D72:D76)</f>
        <v>1578.29</v>
      </c>
      <c r="G77">
        <v>-382</v>
      </c>
      <c r="H77" s="2952" t="s">
        <v>3141</v>
      </c>
      <c r="I77">
        <v>75.98</v>
      </c>
      <c r="K77" s="2952" t="s">
        <v>3179</v>
      </c>
      <c r="L77" s="2968">
        <v>101</v>
      </c>
      <c r="M77">
        <v>2270.39</v>
      </c>
      <c r="N77">
        <v>638.64</v>
      </c>
      <c r="O77" s="2965">
        <f>N77/M77</f>
        <v>0.28129087954051946</v>
      </c>
      <c r="P77" s="2968">
        <v>318.64</v>
      </c>
      <c r="Q77" s="2963">
        <f>ROUND(P77*$O$77,2)</f>
        <v>89.63</v>
      </c>
      <c r="R77" s="2963">
        <f>P77-Q77</f>
        <v>229.01</v>
      </c>
      <c r="U77">
        <f>R77+R78+R79+R80+R81+R82</f>
        <v>1392.81</v>
      </c>
      <c r="V77">
        <f>Q77+Q78+Q79+Q80+Q81+Q82</f>
        <v>545.12</v>
      </c>
    </row>
    <row r="78" spans="1:22">
      <c r="A78" s="2952" t="s">
        <v>3156</v>
      </c>
      <c r="B78">
        <v>102</v>
      </c>
      <c r="C78" s="2952" t="s">
        <v>3152</v>
      </c>
      <c r="D78">
        <v>317.22000000000003</v>
      </c>
      <c r="G78">
        <v>-395</v>
      </c>
      <c r="H78" s="2952" t="s">
        <v>3141</v>
      </c>
      <c r="I78">
        <v>75.98</v>
      </c>
      <c r="L78" s="2968">
        <v>102</v>
      </c>
      <c r="P78" s="2968">
        <v>317.37</v>
      </c>
      <c r="Q78" s="2963">
        <f t="shared" ref="Q78:Q82" si="14">ROUND(P78*$O$77,2)</f>
        <v>89.27</v>
      </c>
      <c r="R78" s="2963">
        <f t="shared" ref="R78:R83" si="15">P78-Q78</f>
        <v>228.10000000000002</v>
      </c>
    </row>
    <row r="79" spans="1:22">
      <c r="B79">
        <v>107</v>
      </c>
      <c r="C79" s="2952" t="s">
        <v>3152</v>
      </c>
      <c r="D79">
        <v>313.54000000000002</v>
      </c>
      <c r="G79">
        <v>-396</v>
      </c>
      <c r="H79" s="2952" t="s">
        <v>3141</v>
      </c>
      <c r="I79">
        <v>75.98</v>
      </c>
      <c r="L79" s="2968">
        <v>103</v>
      </c>
      <c r="P79" s="2968">
        <v>317.25</v>
      </c>
      <c r="Q79" s="2963">
        <f t="shared" si="14"/>
        <v>89.24</v>
      </c>
      <c r="R79" s="2963">
        <f t="shared" si="15"/>
        <v>228.01</v>
      </c>
    </row>
    <row r="80" spans="1:22">
      <c r="B80">
        <v>106</v>
      </c>
      <c r="C80" s="2952" t="s">
        <v>3152</v>
      </c>
      <c r="D80">
        <v>333.61</v>
      </c>
      <c r="G80">
        <v>-379</v>
      </c>
      <c r="H80" s="2952" t="s">
        <v>3141</v>
      </c>
      <c r="I80">
        <v>75.98</v>
      </c>
      <c r="L80" s="2968">
        <v>104</v>
      </c>
      <c r="P80" s="2968">
        <v>318.52</v>
      </c>
      <c r="Q80" s="2963">
        <f t="shared" si="14"/>
        <v>89.6</v>
      </c>
      <c r="R80" s="2963">
        <f t="shared" si="15"/>
        <v>228.92</v>
      </c>
    </row>
    <row r="81" spans="1:22">
      <c r="B81">
        <v>103</v>
      </c>
      <c r="C81" s="2952" t="s">
        <v>3152</v>
      </c>
      <c r="D81">
        <v>317.10000000000002</v>
      </c>
      <c r="G81">
        <v>-380</v>
      </c>
      <c r="H81" s="2952" t="s">
        <v>3141</v>
      </c>
      <c r="I81">
        <v>75.98</v>
      </c>
      <c r="L81" s="2968">
        <v>105</v>
      </c>
      <c r="P81" s="2968">
        <v>334.45</v>
      </c>
      <c r="Q81" s="2963">
        <f t="shared" si="14"/>
        <v>94.08</v>
      </c>
      <c r="R81" s="2963">
        <f t="shared" si="15"/>
        <v>240.37</v>
      </c>
    </row>
    <row r="82" spans="1:22">
      <c r="B82">
        <v>108</v>
      </c>
      <c r="C82" s="2952" t="s">
        <v>3152</v>
      </c>
      <c r="D82">
        <v>312.67</v>
      </c>
      <c r="G82">
        <v>-399</v>
      </c>
      <c r="H82" s="2952" t="s">
        <v>3141</v>
      </c>
      <c r="I82">
        <v>75.98</v>
      </c>
      <c r="L82" s="2968">
        <v>106</v>
      </c>
      <c r="P82" s="2968">
        <v>331.7</v>
      </c>
      <c r="Q82" s="2963">
        <f t="shared" si="14"/>
        <v>93.3</v>
      </c>
      <c r="R82" s="2963">
        <f t="shared" si="15"/>
        <v>238.39999999999998</v>
      </c>
    </row>
    <row r="83" spans="1:22">
      <c r="D83" s="2963">
        <f>SUM(D78:D82)</f>
        <v>1594.14</v>
      </c>
      <c r="G83">
        <v>-400</v>
      </c>
      <c r="H83" s="2952" t="s">
        <v>3141</v>
      </c>
      <c r="I83">
        <v>75.98</v>
      </c>
      <c r="L83" s="2967">
        <v>107</v>
      </c>
      <c r="P83" s="2952">
        <v>332.46</v>
      </c>
      <c r="Q83">
        <f>N77-Q77-Q78-Q79-Q80-Q81-Q82</f>
        <v>93.52</v>
      </c>
      <c r="R83">
        <f t="shared" si="15"/>
        <v>238.94</v>
      </c>
    </row>
    <row r="84" spans="1:22">
      <c r="A84" s="2952" t="s">
        <v>3157</v>
      </c>
      <c r="B84">
        <v>106</v>
      </c>
      <c r="C84" s="2952" t="s">
        <v>3138</v>
      </c>
      <c r="D84">
        <v>374.75</v>
      </c>
      <c r="G84">
        <v>-375</v>
      </c>
      <c r="H84" s="2952" t="s">
        <v>3141</v>
      </c>
      <c r="I84">
        <v>75.98</v>
      </c>
      <c r="L84" s="2952"/>
      <c r="P84" s="2952"/>
    </row>
    <row r="85" spans="1:22">
      <c r="B85">
        <v>111</v>
      </c>
      <c r="C85" s="2952" t="s">
        <v>3138</v>
      </c>
      <c r="D85">
        <v>339.79</v>
      </c>
      <c r="G85">
        <v>-376</v>
      </c>
      <c r="H85" s="2952" t="s">
        <v>3141</v>
      </c>
      <c r="I85">
        <v>75.98</v>
      </c>
      <c r="K85" s="2952" t="s">
        <v>3164</v>
      </c>
      <c r="L85" s="2952" t="s">
        <v>3165</v>
      </c>
      <c r="M85" s="2952" t="s">
        <v>3168</v>
      </c>
      <c r="N85" s="2952" t="s">
        <v>3166</v>
      </c>
      <c r="O85" s="2952" t="s">
        <v>3170</v>
      </c>
      <c r="P85" s="2952" t="s">
        <v>3169</v>
      </c>
      <c r="Q85" s="2952" t="s">
        <v>3171</v>
      </c>
      <c r="R85" s="2952" t="s">
        <v>3172</v>
      </c>
      <c r="U85" s="2952" t="s">
        <v>3202</v>
      </c>
      <c r="V85" s="2952" t="s">
        <v>3203</v>
      </c>
    </row>
    <row r="86" spans="1:22">
      <c r="B86">
        <v>103</v>
      </c>
      <c r="C86" s="2952" t="s">
        <v>3138</v>
      </c>
      <c r="D86">
        <v>317.27999999999997</v>
      </c>
      <c r="G86">
        <v>-359</v>
      </c>
      <c r="H86" s="2952" t="s">
        <v>3141</v>
      </c>
      <c r="I86">
        <v>75.98</v>
      </c>
      <c r="K86" s="2952" t="s">
        <v>3180</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3138</v>
      </c>
      <c r="D87">
        <v>317.16000000000003</v>
      </c>
      <c r="G87">
        <v>-360</v>
      </c>
      <c r="H87" s="2952" t="s">
        <v>3141</v>
      </c>
      <c r="I87">
        <v>75.98</v>
      </c>
      <c r="L87" s="2968">
        <v>102</v>
      </c>
      <c r="P87" s="2968">
        <v>317.66000000000003</v>
      </c>
      <c r="Q87" s="2963">
        <f t="shared" ref="Q87:Q96" si="16">ROUND(P87*$O$86,2)</f>
        <v>90.07</v>
      </c>
      <c r="R87" s="2963">
        <f t="shared" ref="R87:R97" si="17">P87-Q87</f>
        <v>227.59000000000003</v>
      </c>
    </row>
    <row r="88" spans="1:22">
      <c r="B88">
        <v>108</v>
      </c>
      <c r="C88" s="2952" t="s">
        <v>3138</v>
      </c>
      <c r="D88">
        <v>333.67</v>
      </c>
      <c r="G88">
        <v>-355</v>
      </c>
      <c r="H88" s="2952" t="s">
        <v>3141</v>
      </c>
      <c r="I88">
        <v>75.98</v>
      </c>
      <c r="L88" s="2968">
        <v>103</v>
      </c>
      <c r="P88" s="2968">
        <v>317.66000000000003</v>
      </c>
      <c r="Q88" s="2963">
        <f t="shared" si="16"/>
        <v>90.07</v>
      </c>
      <c r="R88" s="2963">
        <f t="shared" si="17"/>
        <v>227.59000000000003</v>
      </c>
    </row>
    <row r="89" spans="1:22">
      <c r="B89">
        <v>102</v>
      </c>
      <c r="C89" s="2952" t="s">
        <v>3138</v>
      </c>
      <c r="D89">
        <v>317.27999999999997</v>
      </c>
      <c r="G89">
        <v>-356</v>
      </c>
      <c r="H89" s="2952" t="s">
        <v>3141</v>
      </c>
      <c r="I89">
        <v>75.98</v>
      </c>
      <c r="L89" s="2968">
        <v>104</v>
      </c>
      <c r="P89" s="2968">
        <v>317.66000000000003</v>
      </c>
      <c r="Q89" s="2963">
        <f t="shared" si="16"/>
        <v>90.07</v>
      </c>
      <c r="R89" s="2963">
        <f t="shared" si="17"/>
        <v>227.59000000000003</v>
      </c>
    </row>
    <row r="90" spans="1:22">
      <c r="B90">
        <v>104</v>
      </c>
      <c r="C90" s="2952" t="s">
        <v>3138</v>
      </c>
      <c r="D90">
        <v>317.27999999999997</v>
      </c>
      <c r="G90">
        <v>-361</v>
      </c>
      <c r="H90" s="2952" t="s">
        <v>3141</v>
      </c>
      <c r="I90">
        <v>75.98</v>
      </c>
      <c r="L90" s="2968">
        <v>105</v>
      </c>
      <c r="P90" s="2968">
        <v>317.54000000000002</v>
      </c>
      <c r="Q90" s="2963">
        <f t="shared" si="16"/>
        <v>90.04</v>
      </c>
      <c r="R90" s="2963">
        <f t="shared" si="17"/>
        <v>227.5</v>
      </c>
    </row>
    <row r="91" spans="1:22">
      <c r="B91">
        <v>110</v>
      </c>
      <c r="C91" s="2952" t="s">
        <v>3138</v>
      </c>
      <c r="D91">
        <v>331.61</v>
      </c>
      <c r="G91">
        <v>-362</v>
      </c>
      <c r="H91" s="2952" t="s">
        <v>3141</v>
      </c>
      <c r="I91">
        <v>75.98</v>
      </c>
      <c r="L91" s="2968">
        <v>106</v>
      </c>
      <c r="P91" s="2968">
        <v>312.75</v>
      </c>
      <c r="Q91" s="2963">
        <f t="shared" si="16"/>
        <v>88.68</v>
      </c>
      <c r="R91" s="2963">
        <f t="shared" si="17"/>
        <v>224.07</v>
      </c>
    </row>
    <row r="92" spans="1:22">
      <c r="D92" s="2963">
        <f>SUM(D84:D91)</f>
        <v>2648.82</v>
      </c>
      <c r="G92">
        <v>-347</v>
      </c>
      <c r="H92" s="2952" t="s">
        <v>3141</v>
      </c>
      <c r="I92">
        <v>75.98</v>
      </c>
      <c r="L92" s="2968">
        <v>107</v>
      </c>
      <c r="P92" s="2968">
        <v>342.29</v>
      </c>
      <c r="Q92" s="2963">
        <f t="shared" si="16"/>
        <v>97.06</v>
      </c>
      <c r="R92" s="2963">
        <f t="shared" si="17"/>
        <v>245.23000000000002</v>
      </c>
    </row>
    <row r="93" spans="1:22">
      <c r="A93" s="2952" t="s">
        <v>3158</v>
      </c>
      <c r="D93">
        <v>0</v>
      </c>
      <c r="G93">
        <v>-348</v>
      </c>
      <c r="H93" s="2952" t="s">
        <v>3141</v>
      </c>
      <c r="I93">
        <v>75.98</v>
      </c>
      <c r="L93" s="2968">
        <v>108</v>
      </c>
      <c r="P93" s="2968">
        <v>315</v>
      </c>
      <c r="Q93" s="2963">
        <f t="shared" si="16"/>
        <v>89.32</v>
      </c>
      <c r="R93" s="2963">
        <f t="shared" si="17"/>
        <v>225.68</v>
      </c>
    </row>
    <row r="94" spans="1:22">
      <c r="D94" s="2963">
        <v>0</v>
      </c>
      <c r="G94">
        <v>-365</v>
      </c>
      <c r="H94" s="2952" t="s">
        <v>3141</v>
      </c>
      <c r="I94">
        <v>75.98</v>
      </c>
      <c r="L94" s="2968">
        <v>109</v>
      </c>
      <c r="P94" s="2968">
        <v>334.1</v>
      </c>
      <c r="Q94" s="2963">
        <f t="shared" si="16"/>
        <v>94.74</v>
      </c>
      <c r="R94" s="2963">
        <f t="shared" si="17"/>
        <v>239.36</v>
      </c>
    </row>
    <row r="95" spans="1:22">
      <c r="A95" s="2952" t="s">
        <v>3159</v>
      </c>
      <c r="D95">
        <v>0</v>
      </c>
      <c r="G95">
        <v>-366</v>
      </c>
      <c r="H95" s="2952" t="s">
        <v>3141</v>
      </c>
      <c r="I95">
        <v>75.98</v>
      </c>
      <c r="L95" s="2968">
        <v>110</v>
      </c>
      <c r="P95" s="2968">
        <v>334.1</v>
      </c>
      <c r="Q95" s="2963">
        <f t="shared" si="16"/>
        <v>94.74</v>
      </c>
      <c r="R95" s="2963">
        <f t="shared" si="17"/>
        <v>239.36</v>
      </c>
    </row>
    <row r="96" spans="1:22">
      <c r="D96" s="2963">
        <v>0</v>
      </c>
      <c r="G96">
        <v>-367</v>
      </c>
      <c r="H96" s="2952" t="s">
        <v>3141</v>
      </c>
      <c r="I96">
        <v>75.98</v>
      </c>
      <c r="L96" s="2968">
        <v>111</v>
      </c>
      <c r="P96" s="2968">
        <v>332.03</v>
      </c>
      <c r="Q96" s="2963">
        <f t="shared" si="16"/>
        <v>94.15</v>
      </c>
      <c r="R96" s="2963">
        <f t="shared" si="17"/>
        <v>237.87999999999997</v>
      </c>
    </row>
    <row r="97" spans="1:22">
      <c r="A97" s="2952" t="s">
        <v>3160</v>
      </c>
      <c r="D97">
        <v>0</v>
      </c>
      <c r="G97">
        <v>-368</v>
      </c>
      <c r="H97" s="2952" t="s">
        <v>3141</v>
      </c>
      <c r="I97">
        <v>75.98</v>
      </c>
      <c r="L97" s="2968">
        <v>112</v>
      </c>
      <c r="P97" s="2968">
        <v>340.34</v>
      </c>
      <c r="Q97" s="2963">
        <f>N86-Q86-Q87-Q88-Q89-Q90-Q91-Q92-Q93-Q94-Q95-Q96</f>
        <v>96.509999999999962</v>
      </c>
      <c r="R97" s="2963">
        <f t="shared" si="17"/>
        <v>243.83</v>
      </c>
    </row>
    <row r="98" spans="1:22">
      <c r="D98" s="2963">
        <v>0</v>
      </c>
      <c r="G98">
        <v>-353</v>
      </c>
      <c r="H98" s="2952" t="s">
        <v>3141</v>
      </c>
      <c r="I98">
        <v>75.98</v>
      </c>
    </row>
    <row r="99" spans="1:22">
      <c r="A99" s="2952" t="s">
        <v>3161</v>
      </c>
      <c r="D99">
        <v>0</v>
      </c>
      <c r="G99">
        <v>-354</v>
      </c>
      <c r="H99" s="2952" t="s">
        <v>3141</v>
      </c>
      <c r="I99">
        <v>75.98</v>
      </c>
      <c r="K99" s="2952" t="s">
        <v>3164</v>
      </c>
      <c r="L99" s="2952" t="s">
        <v>3165</v>
      </c>
      <c r="M99" s="2952" t="s">
        <v>3168</v>
      </c>
      <c r="N99" s="2952" t="s">
        <v>3166</v>
      </c>
      <c r="O99" s="2952" t="s">
        <v>3170</v>
      </c>
      <c r="P99" s="2952" t="s">
        <v>3169</v>
      </c>
      <c r="Q99" s="2952" t="s">
        <v>3171</v>
      </c>
      <c r="R99" s="2952" t="s">
        <v>3172</v>
      </c>
      <c r="U99" s="2952" t="s">
        <v>3202</v>
      </c>
      <c r="V99" s="2952" t="s">
        <v>3203</v>
      </c>
    </row>
    <row r="100" spans="1:22">
      <c r="D100" s="2963">
        <v>0</v>
      </c>
      <c r="G100">
        <v>-439</v>
      </c>
      <c r="H100" s="2952" t="s">
        <v>3141</v>
      </c>
      <c r="I100">
        <v>75.98</v>
      </c>
      <c r="K100" s="2952" t="s">
        <v>3181</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3162</v>
      </c>
      <c r="D101">
        <v>0</v>
      </c>
      <c r="G101">
        <v>-440</v>
      </c>
      <c r="H101" s="2952" t="s">
        <v>3141</v>
      </c>
      <c r="I101">
        <v>75.98</v>
      </c>
      <c r="L101" s="2968">
        <v>102</v>
      </c>
      <c r="P101" s="2968">
        <v>317.44</v>
      </c>
      <c r="Q101" s="2963">
        <f t="shared" ref="Q101:Q109" si="18">ROUND(P101*$O$100,2)</f>
        <v>89.22</v>
      </c>
      <c r="R101" s="2963">
        <f t="shared" ref="R101:R110" si="19">P101-Q101</f>
        <v>228.22</v>
      </c>
    </row>
    <row r="102" spans="1:22">
      <c r="D102" s="2963">
        <v>0</v>
      </c>
      <c r="G102">
        <v>-443</v>
      </c>
      <c r="H102" s="2952" t="s">
        <v>3141</v>
      </c>
      <c r="I102">
        <v>75.98</v>
      </c>
      <c r="L102" s="2968">
        <v>103</v>
      </c>
      <c r="P102" s="2968">
        <v>317.44</v>
      </c>
      <c r="Q102" s="2963">
        <f t="shared" si="18"/>
        <v>89.22</v>
      </c>
      <c r="R102" s="2963">
        <f t="shared" si="19"/>
        <v>228.22</v>
      </c>
    </row>
    <row r="103" spans="1:22">
      <c r="A103" s="2952" t="s">
        <v>3163</v>
      </c>
      <c r="D103">
        <v>0</v>
      </c>
      <c r="G103">
        <v>-444</v>
      </c>
      <c r="H103" s="2952" t="s">
        <v>3141</v>
      </c>
      <c r="I103">
        <v>75.98</v>
      </c>
      <c r="L103" s="2968">
        <v>104</v>
      </c>
      <c r="P103" s="2968">
        <v>317.44</v>
      </c>
      <c r="Q103" s="2963">
        <f t="shared" si="18"/>
        <v>89.22</v>
      </c>
      <c r="R103" s="2963">
        <f t="shared" si="19"/>
        <v>228.22</v>
      </c>
    </row>
    <row r="104" spans="1:22">
      <c r="D104" s="2963">
        <v>0</v>
      </c>
      <c r="G104">
        <v>-437</v>
      </c>
      <c r="H104" s="2952" t="s">
        <v>3141</v>
      </c>
      <c r="I104">
        <v>75.98</v>
      </c>
      <c r="L104" s="2968">
        <v>105</v>
      </c>
      <c r="P104" s="2968">
        <v>317.32</v>
      </c>
      <c r="Q104" s="2963">
        <f t="shared" si="18"/>
        <v>89.19</v>
      </c>
      <c r="R104" s="2963">
        <f t="shared" si="19"/>
        <v>228.13</v>
      </c>
    </row>
    <row r="105" spans="1:22">
      <c r="G105">
        <v>-438</v>
      </c>
      <c r="H105" s="2952" t="s">
        <v>3141</v>
      </c>
      <c r="I105">
        <v>75.98</v>
      </c>
      <c r="L105" s="2968">
        <v>106</v>
      </c>
      <c r="P105" s="2968">
        <v>374.89</v>
      </c>
      <c r="Q105" s="2963">
        <f t="shared" si="18"/>
        <v>105.37</v>
      </c>
      <c r="R105" s="2963">
        <f t="shared" si="19"/>
        <v>269.52</v>
      </c>
    </row>
    <row r="106" spans="1:22">
      <c r="G106">
        <v>-433</v>
      </c>
      <c r="H106" s="2952" t="s">
        <v>3141</v>
      </c>
      <c r="I106">
        <v>75.98</v>
      </c>
      <c r="L106" s="2968">
        <v>107</v>
      </c>
      <c r="P106" s="2968">
        <v>334.53</v>
      </c>
      <c r="Q106" s="2963">
        <f t="shared" si="18"/>
        <v>94.03</v>
      </c>
      <c r="R106" s="2963">
        <f t="shared" si="19"/>
        <v>240.49999999999997</v>
      </c>
    </row>
    <row r="107" spans="1:22">
      <c r="G107">
        <v>-434</v>
      </c>
      <c r="H107" s="2952" t="s">
        <v>3141</v>
      </c>
      <c r="I107">
        <v>75.98</v>
      </c>
      <c r="L107" s="2968">
        <v>108</v>
      </c>
      <c r="P107" s="2968">
        <v>333.84</v>
      </c>
      <c r="Q107" s="2963">
        <f t="shared" si="18"/>
        <v>93.83</v>
      </c>
      <c r="R107" s="2963">
        <f t="shared" si="19"/>
        <v>240.01</v>
      </c>
    </row>
    <row r="108" spans="1:22">
      <c r="G108">
        <v>-435</v>
      </c>
      <c r="H108" s="2952" t="s">
        <v>3141</v>
      </c>
      <c r="I108">
        <v>75.98</v>
      </c>
      <c r="L108" s="2968">
        <v>109</v>
      </c>
      <c r="P108" s="2968">
        <v>333.84</v>
      </c>
      <c r="Q108" s="2963">
        <f t="shared" si="18"/>
        <v>93.83</v>
      </c>
      <c r="R108" s="2963">
        <f t="shared" si="19"/>
        <v>240.01</v>
      </c>
    </row>
    <row r="109" spans="1:22">
      <c r="G109">
        <v>-436</v>
      </c>
      <c r="H109" s="2952" t="s">
        <v>3141</v>
      </c>
      <c r="I109">
        <v>75.98</v>
      </c>
      <c r="L109" s="2968">
        <v>110</v>
      </c>
      <c r="P109" s="2968">
        <v>331.78</v>
      </c>
      <c r="Q109" s="2963">
        <f t="shared" si="18"/>
        <v>93.25</v>
      </c>
      <c r="R109" s="2963">
        <f t="shared" si="19"/>
        <v>238.52999999999997</v>
      </c>
    </row>
    <row r="110" spans="1:22">
      <c r="G110">
        <v>-445</v>
      </c>
      <c r="H110" s="2952" t="s">
        <v>3141</v>
      </c>
      <c r="I110">
        <v>75.98</v>
      </c>
      <c r="L110" s="2968">
        <v>111</v>
      </c>
      <c r="P110" s="2968">
        <v>339.97</v>
      </c>
      <c r="Q110" s="2963">
        <f>N100-Q100-Q101-Q102-Q103-Q104-Q105-Q106-Q107-Q108-Q109</f>
        <v>95.579999999999927</v>
      </c>
      <c r="R110" s="2963">
        <f t="shared" si="19"/>
        <v>244.3900000000001</v>
      </c>
    </row>
    <row r="111" spans="1:22">
      <c r="G111">
        <v>-446</v>
      </c>
      <c r="H111" s="2952" t="s">
        <v>3141</v>
      </c>
      <c r="I111">
        <v>75.98</v>
      </c>
      <c r="L111" s="2952"/>
      <c r="P111" s="2952"/>
    </row>
    <row r="112" spans="1:22">
      <c r="G112">
        <v>-427</v>
      </c>
      <c r="H112" s="2952" t="s">
        <v>3141</v>
      </c>
      <c r="I112">
        <v>75.98</v>
      </c>
      <c r="K112" s="2952" t="s">
        <v>3164</v>
      </c>
      <c r="L112" s="2952" t="s">
        <v>3165</v>
      </c>
      <c r="M112" s="2952" t="s">
        <v>3168</v>
      </c>
      <c r="N112" s="2952" t="s">
        <v>3166</v>
      </c>
      <c r="O112" s="2952" t="s">
        <v>3170</v>
      </c>
      <c r="P112" s="2952" t="s">
        <v>3169</v>
      </c>
      <c r="Q112" s="2952" t="s">
        <v>3171</v>
      </c>
      <c r="R112" s="2952" t="s">
        <v>3172</v>
      </c>
      <c r="U112" s="2952" t="s">
        <v>3202</v>
      </c>
      <c r="V112" s="2952" t="s">
        <v>3203</v>
      </c>
    </row>
    <row r="113" spans="7:22">
      <c r="G113">
        <v>-428</v>
      </c>
      <c r="H113" s="2952" t="s">
        <v>3141</v>
      </c>
      <c r="I113">
        <v>75.98</v>
      </c>
      <c r="K113" s="2952" t="s">
        <v>3182</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3141</v>
      </c>
      <c r="I114">
        <v>75.98</v>
      </c>
      <c r="L114" s="2968">
        <v>102</v>
      </c>
      <c r="P114" s="2968">
        <v>317.7</v>
      </c>
      <c r="Q114" s="2963">
        <f t="shared" ref="Q114:Q123" si="20">ROUND(P114*$O$113,2)</f>
        <v>91.09</v>
      </c>
      <c r="R114" s="2963">
        <f t="shared" ref="R114:R123" si="21">P114-Q114</f>
        <v>226.60999999999999</v>
      </c>
    </row>
    <row r="115" spans="7:22">
      <c r="G115">
        <v>-430</v>
      </c>
      <c r="H115" s="2952" t="s">
        <v>3141</v>
      </c>
      <c r="I115">
        <v>75.98</v>
      </c>
      <c r="L115" s="2968">
        <v>103</v>
      </c>
      <c r="P115" s="2968">
        <v>317.7</v>
      </c>
      <c r="Q115" s="2963">
        <f t="shared" si="20"/>
        <v>91.09</v>
      </c>
      <c r="R115" s="2963">
        <f t="shared" si="21"/>
        <v>226.60999999999999</v>
      </c>
    </row>
    <row r="116" spans="7:22">
      <c r="G116">
        <v>-447</v>
      </c>
      <c r="H116" s="2952" t="s">
        <v>3141</v>
      </c>
      <c r="I116">
        <v>75.98</v>
      </c>
      <c r="L116" s="2968">
        <v>104</v>
      </c>
      <c r="P116" s="2968">
        <v>317.7</v>
      </c>
      <c r="Q116" s="2963">
        <f t="shared" si="20"/>
        <v>91.09</v>
      </c>
      <c r="R116" s="2963">
        <f t="shared" si="21"/>
        <v>226.60999999999999</v>
      </c>
    </row>
    <row r="117" spans="7:22">
      <c r="G117">
        <v>-448</v>
      </c>
      <c r="H117" s="2952" t="s">
        <v>3141</v>
      </c>
      <c r="I117">
        <v>75.98</v>
      </c>
      <c r="L117" s="2968">
        <v>105</v>
      </c>
      <c r="P117" s="2968">
        <v>317.58</v>
      </c>
      <c r="Q117" s="2963">
        <f t="shared" si="20"/>
        <v>91.06</v>
      </c>
      <c r="R117" s="2963">
        <f t="shared" si="21"/>
        <v>226.51999999999998</v>
      </c>
    </row>
    <row r="118" spans="7:22">
      <c r="G118">
        <v>-449</v>
      </c>
      <c r="H118" s="2952" t="s">
        <v>3141</v>
      </c>
      <c r="I118">
        <v>75.98</v>
      </c>
      <c r="L118" s="2968">
        <v>106</v>
      </c>
      <c r="P118" s="2968">
        <v>312.85000000000002</v>
      </c>
      <c r="Q118" s="2963">
        <f t="shared" si="20"/>
        <v>89.7</v>
      </c>
      <c r="R118" s="2963">
        <f t="shared" si="21"/>
        <v>223.15000000000003</v>
      </c>
    </row>
    <row r="119" spans="7:22">
      <c r="G119">
        <v>-450</v>
      </c>
      <c r="H119" s="2952" t="s">
        <v>3141</v>
      </c>
      <c r="I119">
        <v>75.98</v>
      </c>
      <c r="L119" s="2968">
        <v>107</v>
      </c>
      <c r="P119" s="2968">
        <v>342.33</v>
      </c>
      <c r="Q119" s="2963">
        <f t="shared" si="20"/>
        <v>98.15</v>
      </c>
      <c r="R119" s="2963">
        <f t="shared" si="21"/>
        <v>244.17999999999998</v>
      </c>
    </row>
    <row r="120" spans="7:22">
      <c r="G120">
        <v>-409</v>
      </c>
      <c r="H120" s="2952" t="s">
        <v>3141</v>
      </c>
      <c r="I120">
        <v>75.98</v>
      </c>
      <c r="L120" s="2968">
        <v>108</v>
      </c>
      <c r="P120" s="2968">
        <v>315.04000000000002</v>
      </c>
      <c r="Q120" s="2963">
        <f t="shared" si="20"/>
        <v>90.33</v>
      </c>
      <c r="R120" s="2963">
        <f t="shared" si="21"/>
        <v>224.71000000000004</v>
      </c>
    </row>
    <row r="121" spans="7:22">
      <c r="G121">
        <v>-410</v>
      </c>
      <c r="H121" s="2952" t="s">
        <v>3141</v>
      </c>
      <c r="I121">
        <v>75.98</v>
      </c>
      <c r="L121" s="2968">
        <v>109</v>
      </c>
      <c r="P121" s="2968">
        <v>315.04000000000002</v>
      </c>
      <c r="Q121" s="2963">
        <f t="shared" si="20"/>
        <v>90.33</v>
      </c>
      <c r="R121" s="2963">
        <f t="shared" si="21"/>
        <v>224.71000000000004</v>
      </c>
    </row>
    <row r="122" spans="7:22">
      <c r="G122">
        <v>-417</v>
      </c>
      <c r="H122" s="2952" t="s">
        <v>3141</v>
      </c>
      <c r="I122">
        <v>75.98</v>
      </c>
      <c r="L122" s="2968">
        <v>110</v>
      </c>
      <c r="P122" s="2968">
        <v>334.14</v>
      </c>
      <c r="Q122" s="2963">
        <f t="shared" si="20"/>
        <v>95.8</v>
      </c>
      <c r="R122" s="2963">
        <f t="shared" si="21"/>
        <v>238.33999999999997</v>
      </c>
    </row>
    <row r="123" spans="7:22">
      <c r="G123">
        <v>-418</v>
      </c>
      <c r="H123" s="2952" t="s">
        <v>3141</v>
      </c>
      <c r="I123">
        <v>75.98</v>
      </c>
      <c r="L123" s="2968">
        <v>111</v>
      </c>
      <c r="P123" s="2968">
        <v>332.07</v>
      </c>
      <c r="Q123" s="2963">
        <f t="shared" si="20"/>
        <v>95.21</v>
      </c>
      <c r="R123" s="2963">
        <f t="shared" si="21"/>
        <v>236.86</v>
      </c>
    </row>
    <row r="124" spans="7:22">
      <c r="G124">
        <v>-405</v>
      </c>
      <c r="H124" s="2952" t="s">
        <v>3141</v>
      </c>
      <c r="I124">
        <v>75.98</v>
      </c>
      <c r="L124" s="2968">
        <v>112</v>
      </c>
      <c r="P124" s="2968">
        <v>315.26</v>
      </c>
      <c r="Q124" s="2963">
        <f>N113-Q113-Q114-Q115-Q116-Q117-Q118-Q119-Q120-Q121-Q122-Q123</f>
        <v>90.399999999999849</v>
      </c>
      <c r="R124" s="2963">
        <f>P124-Q124</f>
        <v>224.86000000000013</v>
      </c>
    </row>
    <row r="125" spans="7:22">
      <c r="G125">
        <v>-406</v>
      </c>
      <c r="H125" s="2952" t="s">
        <v>3141</v>
      </c>
      <c r="I125">
        <v>75.98</v>
      </c>
    </row>
    <row r="126" spans="7:22">
      <c r="G126">
        <v>-411</v>
      </c>
      <c r="H126" s="2952" t="s">
        <v>3141</v>
      </c>
      <c r="I126">
        <v>75.98</v>
      </c>
      <c r="K126" s="2952" t="s">
        <v>3164</v>
      </c>
      <c r="L126" s="2952" t="s">
        <v>3165</v>
      </c>
      <c r="M126" s="2952" t="s">
        <v>3168</v>
      </c>
      <c r="N126" s="2952" t="s">
        <v>3166</v>
      </c>
      <c r="O126" s="2952" t="s">
        <v>3170</v>
      </c>
      <c r="P126" s="2952" t="s">
        <v>3169</v>
      </c>
      <c r="Q126" s="2952" t="s">
        <v>3171</v>
      </c>
      <c r="R126" s="2952" t="s">
        <v>3172</v>
      </c>
      <c r="U126" s="2952" t="s">
        <v>3202</v>
      </c>
      <c r="V126" s="2952" t="s">
        <v>3203</v>
      </c>
    </row>
    <row r="127" spans="7:22">
      <c r="G127">
        <v>-412</v>
      </c>
      <c r="H127" s="2952" t="s">
        <v>3141</v>
      </c>
      <c r="I127">
        <v>75.98</v>
      </c>
      <c r="K127" s="2952" t="s">
        <v>3183</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3141</v>
      </c>
      <c r="I128">
        <v>75.98</v>
      </c>
      <c r="L128" s="2968">
        <v>102</v>
      </c>
      <c r="P128" s="2968">
        <v>317.22000000000003</v>
      </c>
      <c r="Q128" s="2963">
        <f t="shared" ref="Q128:Q134" si="22">ROUND(P128*$O$127,2)</f>
        <v>88.9</v>
      </c>
      <c r="R128" s="2963">
        <f t="shared" ref="R128:R135" si="23">P128-Q128</f>
        <v>228.32000000000002</v>
      </c>
    </row>
    <row r="129" spans="7:22">
      <c r="G129">
        <v>-414</v>
      </c>
      <c r="H129" s="2952" t="s">
        <v>3141</v>
      </c>
      <c r="I129">
        <v>75.98</v>
      </c>
      <c r="L129" s="2968">
        <v>103</v>
      </c>
      <c r="P129" s="2968">
        <v>317.22000000000003</v>
      </c>
      <c r="Q129" s="2963">
        <f t="shared" si="22"/>
        <v>88.9</v>
      </c>
      <c r="R129" s="2963">
        <f t="shared" si="23"/>
        <v>228.32000000000002</v>
      </c>
    </row>
    <row r="130" spans="7:22">
      <c r="G130">
        <v>-421</v>
      </c>
      <c r="H130" s="2952" t="s">
        <v>3141</v>
      </c>
      <c r="I130">
        <v>75.98</v>
      </c>
      <c r="L130" s="2968">
        <v>104</v>
      </c>
      <c r="P130" s="2968">
        <v>317.10000000000002</v>
      </c>
      <c r="Q130" s="2963">
        <f t="shared" si="22"/>
        <v>88.86</v>
      </c>
      <c r="R130" s="2963">
        <f t="shared" si="23"/>
        <v>228.24</v>
      </c>
    </row>
    <row r="131" spans="7:22">
      <c r="G131">
        <v>-422</v>
      </c>
      <c r="H131" s="2952" t="s">
        <v>3141</v>
      </c>
      <c r="I131">
        <v>75.98</v>
      </c>
      <c r="L131" s="2968">
        <v>105</v>
      </c>
      <c r="P131" s="2968">
        <v>374.63</v>
      </c>
      <c r="Q131" s="2963">
        <f t="shared" si="22"/>
        <v>104.99</v>
      </c>
      <c r="R131" s="2963">
        <f t="shared" si="23"/>
        <v>269.64</v>
      </c>
    </row>
    <row r="132" spans="7:22">
      <c r="G132">
        <v>-415</v>
      </c>
      <c r="H132" s="2952" t="s">
        <v>3141</v>
      </c>
      <c r="I132">
        <v>75.98</v>
      </c>
      <c r="L132" s="2968">
        <v>106</v>
      </c>
      <c r="P132" s="2968">
        <v>334.37</v>
      </c>
      <c r="Q132" s="2963">
        <f t="shared" si="22"/>
        <v>93.7</v>
      </c>
      <c r="R132" s="2963">
        <f t="shared" si="23"/>
        <v>240.67000000000002</v>
      </c>
    </row>
    <row r="133" spans="7:22">
      <c r="G133">
        <v>-416</v>
      </c>
      <c r="H133" s="2952" t="s">
        <v>3141</v>
      </c>
      <c r="I133">
        <v>75.98</v>
      </c>
      <c r="L133" s="2968">
        <v>107</v>
      </c>
      <c r="P133" s="2968">
        <v>333.61</v>
      </c>
      <c r="Q133" s="2963">
        <f t="shared" si="22"/>
        <v>93.49</v>
      </c>
      <c r="R133" s="2963">
        <f t="shared" si="23"/>
        <v>240.12</v>
      </c>
    </row>
    <row r="134" spans="7:22">
      <c r="G134">
        <v>-407</v>
      </c>
      <c r="H134" s="2952" t="s">
        <v>3141</v>
      </c>
      <c r="I134">
        <v>75.98</v>
      </c>
      <c r="L134" s="2968">
        <v>108</v>
      </c>
      <c r="P134" s="2968">
        <v>331.54</v>
      </c>
      <c r="Q134" s="2963">
        <f t="shared" si="22"/>
        <v>92.91</v>
      </c>
      <c r="R134" s="2963">
        <f t="shared" si="23"/>
        <v>238.63000000000002</v>
      </c>
    </row>
    <row r="135" spans="7:22">
      <c r="G135">
        <v>-408</v>
      </c>
      <c r="H135" s="2952" t="s">
        <v>3141</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3164</v>
      </c>
      <c r="L137" s="2952" t="s">
        <v>3165</v>
      </c>
      <c r="M137" s="2952" t="s">
        <v>3168</v>
      </c>
      <c r="N137" s="2952" t="s">
        <v>3166</v>
      </c>
      <c r="O137" s="2952" t="s">
        <v>3170</v>
      </c>
      <c r="P137" s="2952" t="s">
        <v>3169</v>
      </c>
      <c r="Q137" s="2952" t="s">
        <v>3171</v>
      </c>
      <c r="R137" s="2952" t="s">
        <v>3172</v>
      </c>
      <c r="U137" s="2952" t="s">
        <v>3202</v>
      </c>
      <c r="V137" s="2952" t="s">
        <v>3203</v>
      </c>
    </row>
    <row r="138" spans="7:22">
      <c r="K138" s="2952" t="s">
        <v>3184</v>
      </c>
      <c r="L138" s="2967">
        <v>101</v>
      </c>
      <c r="M138">
        <v>1890.95</v>
      </c>
      <c r="N138">
        <v>552.1</v>
      </c>
      <c r="O138" s="2965">
        <f>N138/M138</f>
        <v>0.29196964488749044</v>
      </c>
      <c r="P138" s="2952">
        <v>318.67</v>
      </c>
      <c r="Q138">
        <f>ROUND(P138*$O$138,2)</f>
        <v>93.04</v>
      </c>
      <c r="R138">
        <f>P138-Q138</f>
        <v>225.63</v>
      </c>
      <c r="U138">
        <f>R141</f>
        <v>222.97000000000003</v>
      </c>
      <c r="V138">
        <f>Q141</f>
        <v>91.94</v>
      </c>
    </row>
    <row r="139" spans="7:22">
      <c r="L139" s="2967">
        <v>102</v>
      </c>
      <c r="P139" s="2952">
        <v>317.27999999999997</v>
      </c>
      <c r="Q139">
        <f t="shared" ref="Q139:Q142" si="24">ROUND(P139*$O$138,2)</f>
        <v>92.64</v>
      </c>
      <c r="R139">
        <f t="shared" ref="R139:R143" si="25">P139-Q139</f>
        <v>224.64</v>
      </c>
    </row>
    <row r="140" spans="7:22">
      <c r="L140" s="2967">
        <v>103</v>
      </c>
      <c r="P140" s="2952">
        <v>312.49</v>
      </c>
      <c r="Q140">
        <f t="shared" si="24"/>
        <v>91.24</v>
      </c>
      <c r="R140">
        <f t="shared" si="25"/>
        <v>221.25</v>
      </c>
    </row>
    <row r="141" spans="7:22">
      <c r="L141" s="2968">
        <v>104</v>
      </c>
      <c r="P141" s="2968">
        <v>314.91000000000003</v>
      </c>
      <c r="Q141" s="2963">
        <f t="shared" si="24"/>
        <v>91.94</v>
      </c>
      <c r="R141" s="2963">
        <f t="shared" si="25"/>
        <v>222.97000000000003</v>
      </c>
    </row>
    <row r="142" spans="7:22">
      <c r="L142" s="2967">
        <v>105</v>
      </c>
      <c r="P142" s="2952">
        <v>312.66000000000003</v>
      </c>
      <c r="Q142">
        <f t="shared" si="24"/>
        <v>91.29</v>
      </c>
      <c r="R142">
        <f t="shared" si="25"/>
        <v>221.37</v>
      </c>
    </row>
    <row r="143" spans="7:22">
      <c r="L143" s="2967">
        <v>106</v>
      </c>
      <c r="P143" s="2952">
        <v>314.94</v>
      </c>
      <c r="Q143">
        <f>N138-Q138-Q139-Q140-Q141-Q142</f>
        <v>91.95</v>
      </c>
      <c r="R143">
        <f t="shared" si="25"/>
        <v>222.99</v>
      </c>
    </row>
    <row r="144" spans="7:22">
      <c r="L144" s="2952"/>
      <c r="P144" s="2952"/>
    </row>
    <row r="145" spans="11:22">
      <c r="K145" s="2952" t="s">
        <v>3164</v>
      </c>
      <c r="L145" s="2952" t="s">
        <v>3165</v>
      </c>
      <c r="M145" s="2952" t="s">
        <v>3168</v>
      </c>
      <c r="N145" s="2952" t="s">
        <v>3166</v>
      </c>
      <c r="O145" s="2952" t="s">
        <v>3170</v>
      </c>
      <c r="P145" s="2952" t="s">
        <v>3169</v>
      </c>
      <c r="Q145" s="2952" t="s">
        <v>3171</v>
      </c>
      <c r="R145" s="2952" t="s">
        <v>3172</v>
      </c>
      <c r="U145" s="2952" t="s">
        <v>3202</v>
      </c>
      <c r="V145" s="2952" t="s">
        <v>3203</v>
      </c>
    </row>
    <row r="146" spans="11:22">
      <c r="K146" s="2952" t="s">
        <v>3185</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6">ROUND(P147*$O$146,2)</f>
        <v>89.76</v>
      </c>
      <c r="R147">
        <f t="shared" ref="R147:R153" si="27">P147-Q147</f>
        <v>227.43</v>
      </c>
    </row>
    <row r="148" spans="11:22">
      <c r="L148" s="2967">
        <v>103</v>
      </c>
      <c r="P148" s="2952">
        <v>317.07</v>
      </c>
      <c r="Q148">
        <f t="shared" si="26"/>
        <v>89.72</v>
      </c>
      <c r="R148">
        <f t="shared" si="27"/>
        <v>227.35</v>
      </c>
    </row>
    <row r="149" spans="11:22">
      <c r="L149" s="2967">
        <v>104</v>
      </c>
      <c r="P149" s="2952">
        <v>318.33999999999997</v>
      </c>
      <c r="Q149">
        <f t="shared" si="26"/>
        <v>90.08</v>
      </c>
      <c r="R149">
        <f t="shared" si="27"/>
        <v>228.26</v>
      </c>
    </row>
    <row r="150" spans="11:22">
      <c r="L150" s="2967">
        <v>105</v>
      </c>
      <c r="P150" s="2952">
        <v>341.76</v>
      </c>
      <c r="Q150">
        <f t="shared" si="26"/>
        <v>96.71</v>
      </c>
      <c r="R150">
        <f t="shared" si="27"/>
        <v>245.05</v>
      </c>
    </row>
    <row r="151" spans="11:22">
      <c r="L151" s="2967">
        <v>106</v>
      </c>
      <c r="P151" s="2952">
        <v>333.58</v>
      </c>
      <c r="Q151">
        <f t="shared" si="26"/>
        <v>94.39</v>
      </c>
      <c r="R151">
        <f t="shared" si="27"/>
        <v>239.19</v>
      </c>
    </row>
    <row r="152" spans="11:22">
      <c r="L152" s="2967">
        <v>107</v>
      </c>
      <c r="P152" s="2952">
        <v>331.51</v>
      </c>
      <c r="Q152">
        <f t="shared" si="26"/>
        <v>93.81</v>
      </c>
      <c r="R152">
        <f t="shared" si="27"/>
        <v>237.7</v>
      </c>
    </row>
    <row r="153" spans="11:22">
      <c r="L153" s="2967">
        <v>108</v>
      </c>
      <c r="P153" s="2952">
        <v>312.64999999999998</v>
      </c>
      <c r="Q153">
        <f>N146-Q146-Q147-Q148-Q149-Q150-Q151-Q152</f>
        <v>88.470000000000084</v>
      </c>
      <c r="R153">
        <f t="shared" si="27"/>
        <v>224.17999999999989</v>
      </c>
    </row>
    <row r="155" spans="11:22">
      <c r="K155" s="2952" t="s">
        <v>3164</v>
      </c>
      <c r="L155" s="2952" t="s">
        <v>3165</v>
      </c>
      <c r="M155" s="2952" t="s">
        <v>3168</v>
      </c>
      <c r="N155" s="2952" t="s">
        <v>3166</v>
      </c>
      <c r="O155" s="2952" t="s">
        <v>3170</v>
      </c>
      <c r="P155" s="2952" t="s">
        <v>3169</v>
      </c>
      <c r="Q155" s="2952" t="s">
        <v>3171</v>
      </c>
      <c r="R155" s="2952" t="s">
        <v>3172</v>
      </c>
      <c r="U155" s="2952" t="s">
        <v>3202</v>
      </c>
      <c r="V155" s="2952" t="s">
        <v>3203</v>
      </c>
    </row>
    <row r="156" spans="11:22">
      <c r="K156" s="2952" t="s">
        <v>3186</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8">ROUND(P157*$O$156,2)</f>
        <v>90.15</v>
      </c>
      <c r="R157" s="2963">
        <f t="shared" ref="R157:R169" si="29">P157-Q157</f>
        <v>227.42</v>
      </c>
    </row>
    <row r="158" spans="11:22">
      <c r="L158" s="2968">
        <v>103</v>
      </c>
      <c r="P158" s="2968">
        <v>317.57</v>
      </c>
      <c r="Q158" s="2963">
        <f t="shared" si="28"/>
        <v>90.15</v>
      </c>
      <c r="R158" s="2963">
        <f t="shared" si="29"/>
        <v>227.42</v>
      </c>
    </row>
    <row r="159" spans="11:22">
      <c r="L159" s="2967">
        <v>104</v>
      </c>
      <c r="P159" s="2952">
        <v>317.57</v>
      </c>
      <c r="Q159">
        <f t="shared" si="28"/>
        <v>90.15</v>
      </c>
      <c r="R159">
        <f t="shared" si="29"/>
        <v>227.42</v>
      </c>
    </row>
    <row r="160" spans="11:22">
      <c r="L160" s="2967">
        <v>105</v>
      </c>
      <c r="P160" s="2952">
        <v>317.57</v>
      </c>
      <c r="Q160">
        <f t="shared" si="28"/>
        <v>90.15</v>
      </c>
      <c r="R160">
        <f t="shared" si="29"/>
        <v>227.42</v>
      </c>
    </row>
    <row r="161" spans="11:22">
      <c r="L161" s="2968">
        <v>106</v>
      </c>
      <c r="P161" s="2968">
        <v>317.45</v>
      </c>
      <c r="Q161" s="2963">
        <f t="shared" si="28"/>
        <v>90.12</v>
      </c>
      <c r="R161" s="2963">
        <f t="shared" si="29"/>
        <v>227.32999999999998</v>
      </c>
    </row>
    <row r="162" spans="11:22">
      <c r="L162" s="2967">
        <v>107</v>
      </c>
      <c r="P162" s="2952">
        <v>318.72000000000003</v>
      </c>
      <c r="Q162">
        <f t="shared" si="28"/>
        <v>90.48</v>
      </c>
      <c r="R162">
        <f t="shared" si="29"/>
        <v>228.24</v>
      </c>
    </row>
    <row r="163" spans="11:22">
      <c r="L163" s="2968">
        <v>108</v>
      </c>
      <c r="P163" s="2968">
        <v>334.74</v>
      </c>
      <c r="Q163" s="2963">
        <f t="shared" si="28"/>
        <v>95.02</v>
      </c>
      <c r="R163" s="2963">
        <f t="shared" si="29"/>
        <v>239.72000000000003</v>
      </c>
    </row>
    <row r="164" spans="11:22">
      <c r="L164" s="2968">
        <v>109</v>
      </c>
      <c r="P164" s="2968">
        <v>333.98</v>
      </c>
      <c r="Q164" s="2963">
        <f t="shared" si="28"/>
        <v>94.81</v>
      </c>
      <c r="R164" s="2963">
        <f t="shared" si="29"/>
        <v>239.17000000000002</v>
      </c>
    </row>
    <row r="165" spans="11:22">
      <c r="L165" s="2968">
        <v>110</v>
      </c>
      <c r="P165" s="2968">
        <v>333.98</v>
      </c>
      <c r="Q165" s="2963">
        <f t="shared" si="28"/>
        <v>94.81</v>
      </c>
      <c r="R165" s="2963">
        <f t="shared" si="29"/>
        <v>239.17000000000002</v>
      </c>
    </row>
    <row r="166" spans="11:22">
      <c r="L166" s="2967">
        <v>111</v>
      </c>
      <c r="P166" s="2952">
        <v>333.98</v>
      </c>
      <c r="Q166">
        <f t="shared" si="28"/>
        <v>94.81</v>
      </c>
      <c r="R166">
        <f t="shared" si="29"/>
        <v>239.17000000000002</v>
      </c>
    </row>
    <row r="167" spans="11:22">
      <c r="L167" s="2967">
        <v>112</v>
      </c>
      <c r="P167" s="2952">
        <v>333.98</v>
      </c>
      <c r="Q167">
        <f t="shared" si="28"/>
        <v>94.81</v>
      </c>
      <c r="R167">
        <f t="shared" si="29"/>
        <v>239.17000000000002</v>
      </c>
    </row>
    <row r="168" spans="11:22">
      <c r="L168" s="2968">
        <v>113</v>
      </c>
      <c r="P168" s="2968">
        <v>331.91</v>
      </c>
      <c r="Q168" s="2963">
        <f t="shared" si="28"/>
        <v>94.22</v>
      </c>
      <c r="R168" s="2963">
        <f t="shared" si="29"/>
        <v>237.69000000000003</v>
      </c>
    </row>
    <row r="169" spans="11:22">
      <c r="L169" s="2967">
        <v>114</v>
      </c>
      <c r="P169" s="2952">
        <v>313.01</v>
      </c>
      <c r="Q169">
        <f>N156-Q156-Q157-Q158-Q159-Q160-Q161-Q162-Q163-Q164-Q165-Q166-Q167-Q168</f>
        <v>88.839999999999947</v>
      </c>
      <c r="R169">
        <f t="shared" si="29"/>
        <v>224.17000000000004</v>
      </c>
    </row>
    <row r="171" spans="11:22">
      <c r="K171" s="2952" t="s">
        <v>3075</v>
      </c>
      <c r="L171" s="2952" t="s">
        <v>3076</v>
      </c>
      <c r="M171" s="2952" t="s">
        <v>3168</v>
      </c>
      <c r="N171" s="2952" t="s">
        <v>3166</v>
      </c>
      <c r="O171" s="2952" t="s">
        <v>3170</v>
      </c>
      <c r="P171" s="2952" t="s">
        <v>3169</v>
      </c>
      <c r="Q171" s="2952" t="s">
        <v>3171</v>
      </c>
      <c r="R171" s="2952" t="s">
        <v>3172</v>
      </c>
      <c r="U171" s="2952" t="s">
        <v>3202</v>
      </c>
      <c r="V171" s="2952" t="s">
        <v>3203</v>
      </c>
    </row>
    <row r="172" spans="11:22">
      <c r="K172" s="2952" t="s">
        <v>3187</v>
      </c>
      <c r="L172" s="2967">
        <v>101</v>
      </c>
      <c r="M172">
        <v>1890.95</v>
      </c>
      <c r="N172">
        <v>552.1</v>
      </c>
      <c r="O172" s="2965">
        <f>N172/M172</f>
        <v>0.29196964488749044</v>
      </c>
      <c r="P172" s="2952">
        <v>318.67</v>
      </c>
      <c r="Q172">
        <f>ROUND(P172*$O$172,2)</f>
        <v>93.04</v>
      </c>
      <c r="R172">
        <f>P172-Q172</f>
        <v>225.63</v>
      </c>
      <c r="U172">
        <f>R176</f>
        <v>221.37</v>
      </c>
      <c r="V172">
        <f>Q176</f>
        <v>91.29</v>
      </c>
    </row>
    <row r="173" spans="11:22">
      <c r="L173" s="2967">
        <v>102</v>
      </c>
      <c r="P173" s="2952">
        <v>317.27999999999997</v>
      </c>
      <c r="Q173">
        <f t="shared" ref="Q173:Q176" si="30">ROUND(P173*$O$172,2)</f>
        <v>92.64</v>
      </c>
      <c r="R173">
        <f t="shared" ref="R173:R177" si="31">P173-Q173</f>
        <v>224.64</v>
      </c>
    </row>
    <row r="174" spans="11:22">
      <c r="L174" s="2967">
        <v>103</v>
      </c>
      <c r="P174" s="2952">
        <v>312.49</v>
      </c>
      <c r="Q174">
        <f t="shared" si="30"/>
        <v>91.24</v>
      </c>
      <c r="R174">
        <f t="shared" si="31"/>
        <v>221.25</v>
      </c>
    </row>
    <row r="175" spans="11:22">
      <c r="L175" s="2967">
        <v>104</v>
      </c>
      <c r="P175" s="2952">
        <v>314.91000000000003</v>
      </c>
      <c r="Q175">
        <f t="shared" si="30"/>
        <v>91.94</v>
      </c>
      <c r="R175">
        <f t="shared" si="31"/>
        <v>222.97000000000003</v>
      </c>
    </row>
    <row r="176" spans="11:22">
      <c r="L176" s="2968">
        <v>105</v>
      </c>
      <c r="P176" s="2968">
        <v>312.66000000000003</v>
      </c>
      <c r="Q176" s="2963">
        <f t="shared" si="30"/>
        <v>91.29</v>
      </c>
      <c r="R176" s="2963">
        <f t="shared" si="31"/>
        <v>221.37</v>
      </c>
    </row>
    <row r="177" spans="11:22">
      <c r="L177" s="2967">
        <v>106</v>
      </c>
      <c r="P177" s="2952">
        <v>314.94</v>
      </c>
      <c r="Q177">
        <f>N172-Q172-Q173-Q174-Q175-Q176</f>
        <v>91.95</v>
      </c>
      <c r="R177">
        <f t="shared" si="31"/>
        <v>222.99</v>
      </c>
    </row>
    <row r="179" spans="11:22">
      <c r="K179" s="2952" t="s">
        <v>3075</v>
      </c>
      <c r="L179" s="2952" t="s">
        <v>3076</v>
      </c>
      <c r="M179" s="2952" t="s">
        <v>3168</v>
      </c>
      <c r="N179" s="2952" t="s">
        <v>3166</v>
      </c>
      <c r="O179" s="2952" t="s">
        <v>3170</v>
      </c>
      <c r="P179" s="2952" t="s">
        <v>3169</v>
      </c>
      <c r="Q179" s="2952" t="s">
        <v>3171</v>
      </c>
      <c r="R179" s="2952" t="s">
        <v>3172</v>
      </c>
      <c r="U179" s="2952" t="s">
        <v>3202</v>
      </c>
      <c r="V179" s="2952" t="s">
        <v>3203</v>
      </c>
    </row>
    <row r="180" spans="11:22">
      <c r="K180" s="2952" t="s">
        <v>3188</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2">ROUND(P181*$O$180,2)</f>
        <v>89.79</v>
      </c>
      <c r="R181">
        <f t="shared" ref="R181:R187" si="33">P181-Q181</f>
        <v>227.43</v>
      </c>
    </row>
    <row r="182" spans="11:22">
      <c r="L182" s="2967">
        <v>103</v>
      </c>
      <c r="P182" s="2952">
        <v>317.10000000000002</v>
      </c>
      <c r="Q182">
        <f t="shared" si="32"/>
        <v>89.75</v>
      </c>
      <c r="R182">
        <f t="shared" si="33"/>
        <v>227.35000000000002</v>
      </c>
    </row>
    <row r="183" spans="11:22">
      <c r="L183" s="2968">
        <v>104</v>
      </c>
      <c r="P183" s="2968">
        <v>318.37</v>
      </c>
      <c r="Q183" s="2963">
        <f t="shared" si="32"/>
        <v>90.11</v>
      </c>
      <c r="R183" s="2963">
        <f t="shared" si="33"/>
        <v>228.26</v>
      </c>
    </row>
    <row r="184" spans="11:22">
      <c r="L184" s="2968">
        <v>105</v>
      </c>
      <c r="P184" s="2968">
        <v>341.79</v>
      </c>
      <c r="Q184" s="2963">
        <f t="shared" si="32"/>
        <v>96.74</v>
      </c>
      <c r="R184" s="2963">
        <f t="shared" si="33"/>
        <v>245.05</v>
      </c>
    </row>
    <row r="185" spans="11:22">
      <c r="L185" s="2967">
        <v>106</v>
      </c>
      <c r="P185" s="2952">
        <v>333.61</v>
      </c>
      <c r="Q185">
        <f t="shared" si="32"/>
        <v>94.43</v>
      </c>
      <c r="R185">
        <f t="shared" si="33"/>
        <v>239.18</v>
      </c>
    </row>
    <row r="186" spans="11:22">
      <c r="L186" s="2967">
        <v>107</v>
      </c>
      <c r="P186" s="2952">
        <v>331.54</v>
      </c>
      <c r="Q186">
        <f t="shared" si="32"/>
        <v>93.84</v>
      </c>
      <c r="R186">
        <f t="shared" si="33"/>
        <v>237.70000000000002</v>
      </c>
    </row>
    <row r="187" spans="11:22">
      <c r="L187" s="2967">
        <v>108</v>
      </c>
      <c r="P187" s="2952">
        <v>312.67</v>
      </c>
      <c r="Q187">
        <f>N180-Q180-Q181-Q182-Q183-Q184-Q185-Q186</f>
        <v>88.500000000000085</v>
      </c>
      <c r="R187">
        <f t="shared" si="33"/>
        <v>224.16999999999993</v>
      </c>
    </row>
    <row r="189" spans="11:22">
      <c r="K189" s="2952" t="s">
        <v>3075</v>
      </c>
      <c r="L189" s="2952" t="s">
        <v>3076</v>
      </c>
      <c r="M189" s="2952" t="s">
        <v>3168</v>
      </c>
      <c r="N189" s="2952" t="s">
        <v>3166</v>
      </c>
      <c r="O189" s="2952" t="s">
        <v>3170</v>
      </c>
      <c r="P189" s="2952" t="s">
        <v>3169</v>
      </c>
      <c r="Q189" s="2952" t="s">
        <v>3171</v>
      </c>
      <c r="R189" s="2952" t="s">
        <v>3172</v>
      </c>
      <c r="U189" s="2952" t="s">
        <v>3202</v>
      </c>
      <c r="V189" s="2952" t="s">
        <v>3203</v>
      </c>
    </row>
    <row r="190" spans="11:22">
      <c r="K190" s="2952" t="s">
        <v>3189</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4">ROUND(P191*$O$190,2)</f>
        <v>88.98</v>
      </c>
      <c r="R191">
        <f t="shared" ref="R191:R200" si="35">P191-Q191</f>
        <v>228.29999999999995</v>
      </c>
    </row>
    <row r="192" spans="11:22">
      <c r="L192" s="2967">
        <v>103</v>
      </c>
      <c r="P192" s="2952">
        <v>317.27999999999997</v>
      </c>
      <c r="Q192">
        <f t="shared" si="34"/>
        <v>88.98</v>
      </c>
      <c r="R192">
        <f t="shared" si="35"/>
        <v>228.29999999999995</v>
      </c>
    </row>
    <row r="193" spans="11:22">
      <c r="L193" s="2967">
        <v>104</v>
      </c>
      <c r="P193" s="2952">
        <v>317.27999999999997</v>
      </c>
      <c r="Q193">
        <f t="shared" si="34"/>
        <v>88.98</v>
      </c>
      <c r="R193">
        <f t="shared" si="35"/>
        <v>228.29999999999995</v>
      </c>
    </row>
    <row r="194" spans="11:22">
      <c r="L194" s="2967">
        <v>105</v>
      </c>
      <c r="P194" s="2952">
        <v>317.16000000000003</v>
      </c>
      <c r="Q194">
        <f t="shared" si="34"/>
        <v>88.95</v>
      </c>
      <c r="R194">
        <f t="shared" si="35"/>
        <v>228.21000000000004</v>
      </c>
    </row>
    <row r="195" spans="11:22">
      <c r="L195" s="2967">
        <v>106</v>
      </c>
      <c r="P195" s="2952">
        <v>374.75</v>
      </c>
      <c r="Q195">
        <f t="shared" si="34"/>
        <v>105.1</v>
      </c>
      <c r="R195">
        <f t="shared" si="35"/>
        <v>269.64999999999998</v>
      </c>
    </row>
    <row r="196" spans="11:22">
      <c r="L196" s="2968">
        <v>107</v>
      </c>
      <c r="P196" s="2968">
        <v>341.86</v>
      </c>
      <c r="Q196" s="2963">
        <f t="shared" si="34"/>
        <v>95.87</v>
      </c>
      <c r="R196" s="2963">
        <f t="shared" si="35"/>
        <v>245.99</v>
      </c>
    </row>
    <row r="197" spans="11:22">
      <c r="L197" s="2967">
        <v>108</v>
      </c>
      <c r="P197" s="2952">
        <v>333.67</v>
      </c>
      <c r="Q197">
        <f t="shared" si="34"/>
        <v>93.58</v>
      </c>
      <c r="R197">
        <f t="shared" si="35"/>
        <v>240.09000000000003</v>
      </c>
    </row>
    <row r="198" spans="11:22">
      <c r="L198" s="2968">
        <v>109</v>
      </c>
      <c r="P198" s="2968">
        <v>333.67</v>
      </c>
      <c r="Q198" s="2963">
        <f t="shared" si="34"/>
        <v>93.58</v>
      </c>
      <c r="R198" s="2963">
        <f t="shared" si="35"/>
        <v>240.09000000000003</v>
      </c>
    </row>
    <row r="199" spans="11:22">
      <c r="L199" s="2967">
        <v>110</v>
      </c>
      <c r="P199" s="2952">
        <v>331.61</v>
      </c>
      <c r="Q199">
        <f t="shared" si="34"/>
        <v>93</v>
      </c>
      <c r="R199">
        <f t="shared" si="35"/>
        <v>238.61</v>
      </c>
    </row>
    <row r="200" spans="11:22">
      <c r="L200" s="2967">
        <v>111</v>
      </c>
      <c r="P200" s="2952">
        <v>339.79</v>
      </c>
      <c r="Q200">
        <f>N190-Q190-Q191-Q192-Q193-Q194-Q195-Q196-Q197-Q198-Q199</f>
        <v>95.279999999999859</v>
      </c>
      <c r="R200">
        <f t="shared" si="35"/>
        <v>244.51000000000016</v>
      </c>
    </row>
    <row r="202" spans="11:22">
      <c r="K202" s="2952" t="s">
        <v>3075</v>
      </c>
      <c r="L202" s="2952" t="s">
        <v>3076</v>
      </c>
      <c r="M202" s="2952" t="s">
        <v>3168</v>
      </c>
      <c r="N202" s="2952" t="s">
        <v>3166</v>
      </c>
      <c r="O202" s="2952" t="s">
        <v>3170</v>
      </c>
      <c r="P202" s="2952" t="s">
        <v>3169</v>
      </c>
      <c r="Q202" s="2952" t="s">
        <v>3171</v>
      </c>
      <c r="R202" s="2952" t="s">
        <v>3172</v>
      </c>
      <c r="U202" s="2952" t="s">
        <v>3202</v>
      </c>
      <c r="V202" s="2952" t="s">
        <v>3203</v>
      </c>
    </row>
    <row r="203" spans="11:22">
      <c r="K203" s="2952" t="s">
        <v>3190</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3075</v>
      </c>
      <c r="L206" s="2952" t="s">
        <v>3076</v>
      </c>
      <c r="M206" s="2952" t="s">
        <v>3168</v>
      </c>
      <c r="N206" s="2952" t="s">
        <v>3166</v>
      </c>
      <c r="O206" s="2952" t="s">
        <v>3170</v>
      </c>
      <c r="P206" s="2952" t="s">
        <v>3169</v>
      </c>
      <c r="Q206" s="2952" t="s">
        <v>3171</v>
      </c>
      <c r="R206" s="2952" t="s">
        <v>3172</v>
      </c>
      <c r="U206" s="2952" t="s">
        <v>3202</v>
      </c>
      <c r="V206" s="2952" t="s">
        <v>3203</v>
      </c>
    </row>
    <row r="207" spans="11:22">
      <c r="K207" s="2952" t="s">
        <v>3191</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3075</v>
      </c>
      <c r="L210" s="2952" t="s">
        <v>3076</v>
      </c>
      <c r="M210" s="2952" t="s">
        <v>3168</v>
      </c>
      <c r="N210" s="2952" t="s">
        <v>3166</v>
      </c>
      <c r="O210" s="2952" t="s">
        <v>3170</v>
      </c>
      <c r="P210" s="2952" t="s">
        <v>3169</v>
      </c>
      <c r="Q210" s="2952" t="s">
        <v>3171</v>
      </c>
      <c r="R210" s="2952" t="s">
        <v>3172</v>
      </c>
      <c r="U210" s="2952" t="s">
        <v>3202</v>
      </c>
      <c r="V210" s="2952" t="s">
        <v>3203</v>
      </c>
    </row>
    <row r="211" spans="11:22">
      <c r="K211" s="2952" t="s">
        <v>3192</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3075</v>
      </c>
      <c r="L214" s="2952" t="s">
        <v>3076</v>
      </c>
      <c r="M214" s="2952" t="s">
        <v>3168</v>
      </c>
      <c r="N214" s="2952" t="s">
        <v>3166</v>
      </c>
      <c r="O214" s="2952" t="s">
        <v>3170</v>
      </c>
      <c r="P214" s="2952" t="s">
        <v>3169</v>
      </c>
      <c r="Q214" s="2952" t="s">
        <v>3171</v>
      </c>
      <c r="R214" s="2952" t="s">
        <v>3172</v>
      </c>
      <c r="U214" s="2952" t="s">
        <v>3202</v>
      </c>
      <c r="V214" s="2952" t="s">
        <v>3203</v>
      </c>
    </row>
    <row r="215" spans="11:22">
      <c r="K215" s="2952" t="s">
        <v>3193</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3075</v>
      </c>
      <c r="L218" s="2952" t="s">
        <v>3076</v>
      </c>
      <c r="M218" s="2952" t="s">
        <v>3168</v>
      </c>
      <c r="N218" s="2952" t="s">
        <v>3166</v>
      </c>
      <c r="O218" s="2952" t="s">
        <v>3170</v>
      </c>
      <c r="P218" s="2952" t="s">
        <v>3169</v>
      </c>
      <c r="Q218" s="2952" t="s">
        <v>3171</v>
      </c>
      <c r="R218" s="2952" t="s">
        <v>3172</v>
      </c>
      <c r="U218" s="2952" t="s">
        <v>3202</v>
      </c>
      <c r="V218" s="2952" t="s">
        <v>3203</v>
      </c>
    </row>
    <row r="219" spans="11:22">
      <c r="K219" s="2952" t="s">
        <v>3201</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3075</v>
      </c>
      <c r="L222" s="2952" t="s">
        <v>3076</v>
      </c>
      <c r="M222" s="2952" t="s">
        <v>3168</v>
      </c>
      <c r="N222" s="2952" t="s">
        <v>3166</v>
      </c>
      <c r="O222" s="2952" t="s">
        <v>3170</v>
      </c>
      <c r="P222" s="2952" t="s">
        <v>3169</v>
      </c>
      <c r="Q222" s="2952" t="s">
        <v>3171</v>
      </c>
      <c r="R222" s="2952" t="s">
        <v>3172</v>
      </c>
      <c r="U222" s="2952" t="s">
        <v>3202</v>
      </c>
      <c r="V222" s="2952" t="s">
        <v>3203</v>
      </c>
    </row>
    <row r="223" spans="11:22">
      <c r="K223" s="2952" t="s">
        <v>3194</v>
      </c>
      <c r="L223" s="2968">
        <v>101</v>
      </c>
      <c r="M223">
        <v>3985.04</v>
      </c>
      <c r="N223">
        <v>812.58</v>
      </c>
      <c r="O223" s="2965">
        <f>N223/M223</f>
        <v>0.20390761447814829</v>
      </c>
      <c r="P223" s="2968">
        <v>498.32</v>
      </c>
      <c r="Q223" s="2963">
        <f t="shared" ref="Q223:Q229" si="36">ROUND(P223*$O$223,2)</f>
        <v>101.61</v>
      </c>
      <c r="R223" s="2963">
        <f>P223-Q223</f>
        <v>396.71</v>
      </c>
      <c r="U223">
        <f>SUM(R223:R230)</f>
        <v>3172.4599999999996</v>
      </c>
      <c r="V223">
        <f>SUM(Q223:Q230)</f>
        <v>812.58</v>
      </c>
    </row>
    <row r="224" spans="11:22">
      <c r="L224" s="2968">
        <v>102</v>
      </c>
      <c r="P224" s="2968">
        <v>498.32</v>
      </c>
      <c r="Q224" s="2963">
        <f t="shared" si="36"/>
        <v>101.61</v>
      </c>
      <c r="R224" s="2963">
        <f t="shared" ref="R224:R230" si="37">P224-Q224</f>
        <v>396.71</v>
      </c>
    </row>
    <row r="225" spans="11:22">
      <c r="L225" s="2968">
        <v>103</v>
      </c>
      <c r="P225" s="2968">
        <v>497.93</v>
      </c>
      <c r="Q225" s="2963">
        <f t="shared" si="36"/>
        <v>101.53</v>
      </c>
      <c r="R225" s="2963">
        <f t="shared" si="37"/>
        <v>396.4</v>
      </c>
    </row>
    <row r="226" spans="11:22">
      <c r="L226" s="2968">
        <v>104</v>
      </c>
      <c r="P226" s="2968">
        <v>497.93</v>
      </c>
      <c r="Q226" s="2963">
        <f t="shared" si="36"/>
        <v>101.53</v>
      </c>
      <c r="R226" s="2963">
        <f t="shared" si="37"/>
        <v>396.4</v>
      </c>
    </row>
    <row r="227" spans="11:22">
      <c r="L227" s="2968">
        <v>105</v>
      </c>
      <c r="P227" s="2968">
        <v>497.93</v>
      </c>
      <c r="Q227" s="2963">
        <f t="shared" si="36"/>
        <v>101.53</v>
      </c>
      <c r="R227" s="2963">
        <f t="shared" si="37"/>
        <v>396.4</v>
      </c>
    </row>
    <row r="228" spans="11:22">
      <c r="L228" s="2968">
        <v>106</v>
      </c>
      <c r="P228" s="2968">
        <v>497.93</v>
      </c>
      <c r="Q228" s="2963">
        <f t="shared" si="36"/>
        <v>101.53</v>
      </c>
      <c r="R228" s="2963">
        <f t="shared" si="37"/>
        <v>396.4</v>
      </c>
    </row>
    <row r="229" spans="11:22">
      <c r="L229" s="2968">
        <v>107</v>
      </c>
      <c r="P229" s="2968">
        <v>498.34</v>
      </c>
      <c r="Q229" s="2963">
        <f t="shared" si="36"/>
        <v>101.62</v>
      </c>
      <c r="R229" s="2963">
        <f t="shared" si="37"/>
        <v>396.71999999999997</v>
      </c>
    </row>
    <row r="230" spans="11:22">
      <c r="L230" s="2968">
        <v>108</v>
      </c>
      <c r="P230" s="2968">
        <v>498.34</v>
      </c>
      <c r="Q230" s="2963">
        <f>N223-Q223-Q224-Q225-Q226-Q227-Q228-Q229</f>
        <v>101.62000000000009</v>
      </c>
      <c r="R230" s="2963">
        <f t="shared" si="37"/>
        <v>396.71999999999991</v>
      </c>
    </row>
    <row r="232" spans="11:22">
      <c r="K232" s="2952" t="s">
        <v>3075</v>
      </c>
      <c r="L232" s="2952" t="s">
        <v>3196</v>
      </c>
      <c r="M232" s="2952" t="s">
        <v>3197</v>
      </c>
      <c r="U232" s="2952" t="s">
        <v>3204</v>
      </c>
      <c r="V232" s="2952" t="s">
        <v>3205</v>
      </c>
    </row>
    <row r="233" spans="11:22">
      <c r="K233" s="2952" t="s">
        <v>3195</v>
      </c>
      <c r="L233" s="2952">
        <v>17931.28</v>
      </c>
      <c r="M233">
        <f>132.5+6133.25-4925.11</f>
        <v>1340.6400000000003</v>
      </c>
      <c r="O233" s="2952" t="s">
        <v>3276</v>
      </c>
      <c r="P233" s="2952" t="s">
        <v>3278</v>
      </c>
      <c r="Q233" s="2952" t="s">
        <v>3279</v>
      </c>
      <c r="U233">
        <f>L233+L234-I136</f>
        <v>18009.650000000031</v>
      </c>
      <c r="V233">
        <f>M233+M234</f>
        <v>1340.6400000000003</v>
      </c>
    </row>
    <row r="234" spans="11:22">
      <c r="K234" s="2952" t="s">
        <v>3198</v>
      </c>
      <c r="L234" s="2952">
        <v>10335.67</v>
      </c>
      <c r="M234">
        <v>0</v>
      </c>
      <c r="O234" s="2952" t="s">
        <v>3277</v>
      </c>
      <c r="P234" s="2952" t="s">
        <v>3280</v>
      </c>
      <c r="Q234">
        <f>236+136-135</f>
        <v>237</v>
      </c>
    </row>
    <row r="235" spans="11:22">
      <c r="L235" s="2952" t="s">
        <v>3208</v>
      </c>
    </row>
    <row r="236" spans="11:22">
      <c r="K236" s="2952" t="s">
        <v>3218</v>
      </c>
      <c r="L236">
        <v>110</v>
      </c>
    </row>
    <row r="237" spans="11:22">
      <c r="L237" s="2952" t="s">
        <v>3221</v>
      </c>
      <c r="M237" s="2952" t="s">
        <v>3222</v>
      </c>
    </row>
    <row r="238" spans="11:22">
      <c r="K238" s="2952" t="s">
        <v>3219</v>
      </c>
      <c r="L238" s="2952">
        <v>150</v>
      </c>
      <c r="M238">
        <v>76.73</v>
      </c>
    </row>
    <row r="239" spans="11:22">
      <c r="K239" s="2952" t="s">
        <v>3220</v>
      </c>
      <c r="L239" s="2952">
        <v>150</v>
      </c>
      <c r="M239">
        <v>145.04</v>
      </c>
    </row>
    <row r="242" spans="11:16">
      <c r="K242" s="2952" t="s">
        <v>3213</v>
      </c>
    </row>
    <row r="243" spans="11:16">
      <c r="K243" s="2952" t="s">
        <v>3075</v>
      </c>
      <c r="L243" s="2952" t="s">
        <v>3207</v>
      </c>
      <c r="M243" s="2952" t="s">
        <v>3208</v>
      </c>
      <c r="N243" s="2952" t="s">
        <v>3209</v>
      </c>
      <c r="O243" s="2952" t="s">
        <v>3210</v>
      </c>
      <c r="P243" s="2952" t="s">
        <v>3211</v>
      </c>
    </row>
    <row r="244" spans="11:16">
      <c r="K244" s="2952" t="s">
        <v>3206</v>
      </c>
      <c r="L244">
        <v>9948.75</v>
      </c>
      <c r="M244">
        <v>1182.21</v>
      </c>
      <c r="N244">
        <v>1130.51</v>
      </c>
      <c r="O244">
        <f>50+50</f>
        <v>100</v>
      </c>
      <c r="P244">
        <f>144+207.46</f>
        <v>351.46000000000004</v>
      </c>
    </row>
    <row r="245" spans="11:16">
      <c r="K245" s="2952" t="s">
        <v>3212</v>
      </c>
      <c r="L245">
        <v>14219.41</v>
      </c>
      <c r="M245">
        <v>2020.85</v>
      </c>
      <c r="N245">
        <v>1622.44</v>
      </c>
      <c r="O245">
        <v>120</v>
      </c>
      <c r="P245">
        <v>260.91000000000003</v>
      </c>
    </row>
    <row r="247" spans="11:16">
      <c r="L247" s="2952" t="s">
        <v>3215</v>
      </c>
    </row>
    <row r="248" spans="11:16">
      <c r="K248" s="2952" t="s">
        <v>3214</v>
      </c>
      <c r="L248">
        <f>7811.24-7226.42</f>
        <v>584.81999999999971</v>
      </c>
    </row>
    <row r="250" spans="11:16">
      <c r="K250" s="2952" t="s">
        <v>3216</v>
      </c>
      <c r="L250">
        <f>7226.42+73.88</f>
        <v>7300.3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1641</v>
      </c>
      <c r="B2" s="3024" t="s">
        <v>1642</v>
      </c>
      <c r="C2" s="3024" t="s">
        <v>1643</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25"/>
      <c r="B3" s="3025"/>
      <c r="C3" s="3025"/>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31541.359999999997</v>
      </c>
      <c r="C4" s="1046">
        <f>项目基本情况!C18</f>
        <v>23323.78</v>
      </c>
      <c r="D4" s="1046">
        <f ca="1">结果表!D118</f>
        <v>138115</v>
      </c>
      <c r="E4" s="1046">
        <f ca="1">结果表!E118</f>
        <v>43789</v>
      </c>
      <c r="F4" s="1046">
        <f ca="1">结果表!F118</f>
        <v>10876</v>
      </c>
      <c r="G4" s="1046">
        <f ca="1">结果表!G118</f>
        <v>3448</v>
      </c>
      <c r="H4" s="1046">
        <f ca="1">结果表!H118</f>
        <v>148991</v>
      </c>
      <c r="I4" s="1046">
        <f ca="1">结果表!I118</f>
        <v>47237</v>
      </c>
    </row>
    <row r="5" spans="1:9" ht="30" customHeight="1">
      <c r="A5" s="3025" t="s">
        <v>1640</v>
      </c>
      <c r="B5" s="3025"/>
      <c r="C5" s="3025"/>
      <c r="D5" s="3026" t="str">
        <f ca="1">结果表!D119</f>
        <v>壹拾叁亿捌仟壹佰壹拾伍万元整</v>
      </c>
      <c r="E5" s="3026"/>
      <c r="F5" s="3026" t="str">
        <f ca="1">结果表!F119</f>
        <v>壹亿零捌佰柒拾陆万元整</v>
      </c>
      <c r="G5" s="3026"/>
      <c r="H5" s="3026" t="str">
        <f ca="1">结果表!H119</f>
        <v>壹拾肆亿捌仟玖佰玖拾壹万元整</v>
      </c>
      <c r="I5" s="3026"/>
    </row>
    <row r="6" spans="1:9" ht="15.75">
      <c r="A6" s="3027" t="str">
        <f>结果表!A120</f>
        <v>估价师知悉的法定优先受偿款</v>
      </c>
      <c r="B6" s="3027"/>
      <c r="C6" s="3027"/>
      <c r="D6" s="3027">
        <f>结果表!D120</f>
        <v>0</v>
      </c>
      <c r="E6" s="3027"/>
      <c r="F6" s="3027"/>
      <c r="G6" s="3027"/>
      <c r="H6" s="3027"/>
      <c r="I6" s="3027"/>
    </row>
    <row r="7" spans="1:9" ht="15">
      <c r="A7" s="3025" t="s">
        <v>1640</v>
      </c>
      <c r="B7" s="3025"/>
      <c r="C7" s="3025"/>
      <c r="D7" s="3028" t="str">
        <f>结果表!D121</f>
        <v>零元整</v>
      </c>
      <c r="E7" s="3029"/>
      <c r="F7" s="3029"/>
      <c r="G7" s="3029"/>
      <c r="H7" s="3029"/>
      <c r="I7" s="3030"/>
    </row>
    <row r="8" spans="1:9" ht="15.75">
      <c r="A8" s="3027" t="str">
        <f>结果表!A122</f>
        <v>房地产抵押价值</v>
      </c>
      <c r="B8" s="3027"/>
      <c r="C8" s="3027"/>
      <c r="D8" s="3027">
        <f ca="1">结果表!D122</f>
        <v>148991</v>
      </c>
      <c r="E8" s="3027"/>
      <c r="F8" s="3027"/>
      <c r="G8" s="3027"/>
      <c r="H8" s="3027"/>
      <c r="I8" s="3027"/>
    </row>
    <row r="9" spans="1:9" ht="15">
      <c r="A9" s="3025" t="s">
        <v>1640</v>
      </c>
      <c r="B9" s="3025"/>
      <c r="C9" s="3025"/>
      <c r="D9" s="3026" t="str">
        <f ca="1">结果表!D123</f>
        <v>壹拾肆亿捌仟玖佰玖拾壹万元整</v>
      </c>
      <c r="E9" s="3026"/>
      <c r="F9" s="3026"/>
      <c r="G9" s="3026"/>
      <c r="H9" s="3026"/>
      <c r="I9" s="3026"/>
    </row>
    <row r="10" spans="1:9" ht="15.75">
      <c r="A10" s="3027" t="str">
        <f>结果表!A124</f>
        <v/>
      </c>
      <c r="B10" s="3027"/>
      <c r="C10" s="3027"/>
      <c r="D10" s="3027" t="str">
        <f>结果表!D124</f>
        <v>——</v>
      </c>
      <c r="E10" s="3027"/>
      <c r="F10" s="3027"/>
      <c r="G10" s="3027"/>
      <c r="H10" s="3027"/>
      <c r="I10" s="3027"/>
    </row>
    <row r="11" spans="1:9" ht="15">
      <c r="A11" s="3025" t="s">
        <v>1640</v>
      </c>
      <c r="B11" s="3025"/>
      <c r="C11" s="3025"/>
      <c r="D11" s="3026" t="e">
        <f>结果表!D125</f>
        <v>#VALUE!</v>
      </c>
      <c r="E11" s="3026"/>
      <c r="F11" s="3026"/>
      <c r="G11" s="3026"/>
      <c r="H11" s="3026"/>
      <c r="I11" s="3026"/>
    </row>
    <row r="12" spans="1:9" ht="15.75">
      <c r="A12" s="3027" t="str">
        <f>结果表!A126</f>
        <v/>
      </c>
      <c r="B12" s="3027"/>
      <c r="C12" s="3027"/>
      <c r="D12" s="3027" t="str">
        <f>结果表!D126</f>
        <v>——</v>
      </c>
      <c r="E12" s="3027"/>
      <c r="F12" s="3027"/>
      <c r="G12" s="3027"/>
      <c r="H12" s="3027"/>
      <c r="I12" s="3027"/>
    </row>
    <row r="13" spans="1:9" ht="15.75" thickBot="1">
      <c r="A13" s="3031" t="s">
        <v>1640</v>
      </c>
      <c r="B13" s="3031"/>
      <c r="C13" s="3031"/>
      <c r="D13" s="3032" t="e">
        <f>结果表!D127</f>
        <v>#VALUE!</v>
      </c>
      <c r="E13" s="3032"/>
      <c r="F13" s="3032"/>
      <c r="G13" s="3032"/>
      <c r="H13" s="3032"/>
      <c r="I13" s="3032"/>
    </row>
    <row r="14" spans="1:9" ht="15" thickTop="1">
      <c r="A14" s="3033" t="s">
        <v>1645</v>
      </c>
      <c r="B14" s="3033"/>
      <c r="C14" s="3033"/>
      <c r="D14" s="3033"/>
      <c r="E14" s="3033"/>
      <c r="F14" s="3033"/>
      <c r="G14" s="3033"/>
      <c r="H14" s="3033"/>
      <c r="I14" s="3033"/>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3" sqref="F3"/>
    </sheetView>
  </sheetViews>
  <sheetFormatPr defaultRowHeight="13.5"/>
  <sheetData>
    <row r="1" spans="1:13">
      <c r="A1" s="1636" t="s">
        <v>3283</v>
      </c>
      <c r="B1" s="1636" t="s">
        <v>3284</v>
      </c>
      <c r="C1" s="1636" t="s">
        <v>3285</v>
      </c>
      <c r="D1" s="1636" t="s">
        <v>3286</v>
      </c>
      <c r="E1" s="1636" t="s">
        <v>3287</v>
      </c>
      <c r="F1" s="1636" t="s">
        <v>3288</v>
      </c>
      <c r="G1" s="1636" t="s">
        <v>3289</v>
      </c>
      <c r="H1" s="1636" t="s">
        <v>3290</v>
      </c>
      <c r="I1" s="1636" t="s">
        <v>3291</v>
      </c>
      <c r="J1" s="1636" t="s">
        <v>3292</v>
      </c>
      <c r="K1" s="1636" t="s">
        <v>3293</v>
      </c>
      <c r="L1" s="1636" t="s">
        <v>3294</v>
      </c>
      <c r="M1" s="1636" t="s">
        <v>3295</v>
      </c>
    </row>
    <row r="2" spans="1:13">
      <c r="A2" s="1636" t="s">
        <v>3296</v>
      </c>
      <c r="B2" s="1636" t="s">
        <v>3053</v>
      </c>
      <c r="C2" s="1636" t="s">
        <v>3297</v>
      </c>
      <c r="D2" s="1636">
        <v>36365.370000000003</v>
      </c>
      <c r="E2" s="1636">
        <v>65458</v>
      </c>
      <c r="F2" s="1636">
        <v>1.8</v>
      </c>
      <c r="G2" s="1636" t="s">
        <v>3298</v>
      </c>
      <c r="H2" s="1636" t="s">
        <v>3299</v>
      </c>
      <c r="I2" s="1636">
        <v>180000</v>
      </c>
      <c r="J2" s="1636">
        <v>260000</v>
      </c>
      <c r="K2" s="1636">
        <v>39720.120000000003</v>
      </c>
      <c r="L2" s="1636">
        <v>44.44</v>
      </c>
      <c r="M2" s="1636" t="s">
        <v>3300</v>
      </c>
    </row>
    <row r="3" spans="1:13" s="2966" customFormat="1">
      <c r="A3" s="3002" t="s">
        <v>3301</v>
      </c>
      <c r="B3" s="3002" t="s">
        <v>3053</v>
      </c>
      <c r="C3" s="3002" t="s">
        <v>3302</v>
      </c>
      <c r="D3" s="3002">
        <v>151738.6</v>
      </c>
      <c r="E3" s="3002">
        <v>152374</v>
      </c>
      <c r="F3" s="3002">
        <v>1.004</v>
      </c>
      <c r="G3" s="3002" t="s">
        <v>3298</v>
      </c>
      <c r="H3" s="3002" t="s">
        <v>3303</v>
      </c>
      <c r="I3" s="3002">
        <v>460000</v>
      </c>
      <c r="J3" s="3002">
        <v>685400</v>
      </c>
      <c r="K3" s="3002">
        <v>44981.43</v>
      </c>
      <c r="L3" s="3002">
        <v>49</v>
      </c>
      <c r="M3" s="3002" t="s">
        <v>3304</v>
      </c>
    </row>
    <row r="4" spans="1:13">
      <c r="A4" s="1636" t="s">
        <v>3305</v>
      </c>
      <c r="B4" s="1636" t="s">
        <v>3053</v>
      </c>
      <c r="C4" s="1636" t="s">
        <v>3302</v>
      </c>
      <c r="D4" s="1636">
        <v>132352.79999999999</v>
      </c>
      <c r="E4" s="1636">
        <v>201775</v>
      </c>
      <c r="F4" s="1636">
        <v>1.52</v>
      </c>
      <c r="G4" s="1636" t="s">
        <v>3298</v>
      </c>
      <c r="H4" s="1636" t="s">
        <v>3306</v>
      </c>
      <c r="I4" s="1636">
        <v>365000</v>
      </c>
      <c r="J4" s="1636">
        <v>380000</v>
      </c>
      <c r="K4" s="1636">
        <v>18832.86</v>
      </c>
      <c r="L4" s="1636">
        <v>4.1100000000000003</v>
      </c>
      <c r="M4" s="1636" t="s">
        <v>3307</v>
      </c>
    </row>
    <row r="5" spans="1:13" s="2966" customFormat="1">
      <c r="A5" s="3002" t="s">
        <v>3308</v>
      </c>
      <c r="B5" s="3002" t="s">
        <v>3053</v>
      </c>
      <c r="C5" s="3002" t="s">
        <v>3302</v>
      </c>
      <c r="D5" s="3002">
        <v>65602.95</v>
      </c>
      <c r="E5" s="3002">
        <v>120165</v>
      </c>
      <c r="F5" s="3002">
        <v>1.83</v>
      </c>
      <c r="G5" s="3002" t="s">
        <v>3298</v>
      </c>
      <c r="H5" s="3002" t="s">
        <v>3309</v>
      </c>
      <c r="I5" s="3002">
        <v>330000</v>
      </c>
      <c r="J5" s="3002">
        <v>495000</v>
      </c>
      <c r="K5" s="3002">
        <v>41193.360000000001</v>
      </c>
      <c r="L5" s="3002">
        <v>50</v>
      </c>
      <c r="M5" s="3002" t="s">
        <v>3310</v>
      </c>
    </row>
    <row r="6" spans="1:13">
      <c r="A6" s="1636" t="s">
        <v>3311</v>
      </c>
      <c r="B6" s="1636" t="s">
        <v>3053</v>
      </c>
      <c r="C6" s="1636" t="s">
        <v>3302</v>
      </c>
      <c r="D6" s="1636">
        <v>151051.70000000001</v>
      </c>
      <c r="E6" s="1636">
        <v>274253</v>
      </c>
      <c r="F6" s="1636" t="s">
        <v>3312</v>
      </c>
      <c r="G6" s="1636" t="s">
        <v>3298</v>
      </c>
      <c r="H6" s="1636" t="s">
        <v>3313</v>
      </c>
      <c r="I6" s="1636">
        <v>385000</v>
      </c>
      <c r="J6" s="1636">
        <v>502000</v>
      </c>
      <c r="K6" s="1636">
        <v>18304.27</v>
      </c>
      <c r="L6" s="1636">
        <v>30.39</v>
      </c>
      <c r="M6" s="1636" t="s">
        <v>3304</v>
      </c>
    </row>
    <row r="7" spans="1:13" s="2966" customFormat="1">
      <c r="A7" s="3002" t="s">
        <v>3314</v>
      </c>
      <c r="B7" s="3002" t="s">
        <v>3053</v>
      </c>
      <c r="C7" s="3002" t="s">
        <v>3297</v>
      </c>
      <c r="D7" s="3002">
        <v>155132.79999999999</v>
      </c>
      <c r="E7" s="3002">
        <v>156684</v>
      </c>
      <c r="F7" s="3002">
        <v>1.009999305</v>
      </c>
      <c r="G7" s="3002" t="s">
        <v>3298</v>
      </c>
      <c r="H7" s="3002" t="s">
        <v>3315</v>
      </c>
      <c r="I7" s="3002">
        <v>470000</v>
      </c>
      <c r="J7" s="3002">
        <v>705000</v>
      </c>
      <c r="K7" s="3002">
        <v>44995.01</v>
      </c>
      <c r="L7" s="3002">
        <v>50</v>
      </c>
      <c r="M7" s="3002" t="s">
        <v>3316</v>
      </c>
    </row>
    <row r="8" spans="1:13">
      <c r="A8" s="1636" t="s">
        <v>3317</v>
      </c>
      <c r="B8" s="1636" t="s">
        <v>3053</v>
      </c>
      <c r="C8" s="1636" t="s">
        <v>3297</v>
      </c>
      <c r="D8" s="1636">
        <v>41170.230000000003</v>
      </c>
      <c r="E8" s="1636">
        <v>60109</v>
      </c>
      <c r="F8" s="1636">
        <v>1.46</v>
      </c>
      <c r="G8" s="1636" t="s">
        <v>3298</v>
      </c>
      <c r="H8" s="1636" t="s">
        <v>3318</v>
      </c>
      <c r="I8" s="1636">
        <v>88000</v>
      </c>
      <c r="J8" s="1636">
        <v>121000</v>
      </c>
      <c r="K8" s="1636">
        <v>20130.09</v>
      </c>
      <c r="L8" s="1636">
        <v>37.5</v>
      </c>
      <c r="M8" s="1636" t="s">
        <v>3319</v>
      </c>
    </row>
    <row r="9" spans="1:13">
      <c r="A9" s="1636" t="s">
        <v>3320</v>
      </c>
      <c r="B9" s="1636" t="s">
        <v>3053</v>
      </c>
      <c r="C9" s="1636" t="s">
        <v>3297</v>
      </c>
      <c r="D9" s="1636">
        <v>45104.74</v>
      </c>
      <c r="E9" s="1636">
        <v>112093</v>
      </c>
      <c r="F9" s="1636">
        <v>2.5</v>
      </c>
      <c r="G9" s="1636" t="s">
        <v>3298</v>
      </c>
      <c r="H9" s="1636" t="s">
        <v>3318</v>
      </c>
      <c r="I9" s="1636">
        <v>130000</v>
      </c>
      <c r="J9" s="1636">
        <v>193000</v>
      </c>
      <c r="K9" s="1636">
        <v>17217.84</v>
      </c>
      <c r="L9" s="1636">
        <v>48.46</v>
      </c>
      <c r="M9" s="1636" t="s">
        <v>3321</v>
      </c>
    </row>
    <row r="10" spans="1:13">
      <c r="A10" s="1636" t="s">
        <v>3322</v>
      </c>
      <c r="B10" s="1636" t="s">
        <v>3053</v>
      </c>
      <c r="C10" s="1636" t="s">
        <v>3302</v>
      </c>
      <c r="D10" s="1636">
        <v>17756.68</v>
      </c>
      <c r="E10" s="1636">
        <v>39065</v>
      </c>
      <c r="F10" s="1636">
        <v>2.2000000000000002</v>
      </c>
      <c r="G10" s="1636" t="s">
        <v>3298</v>
      </c>
      <c r="H10" s="1636" t="s">
        <v>3323</v>
      </c>
      <c r="I10" s="1636">
        <v>50000</v>
      </c>
      <c r="J10" s="1636">
        <v>75000</v>
      </c>
      <c r="K10" s="1636">
        <v>19198.77</v>
      </c>
      <c r="L10" s="1636">
        <v>50</v>
      </c>
      <c r="M10" s="1636" t="s">
        <v>3324</v>
      </c>
    </row>
    <row r="11" spans="1:13">
      <c r="A11" s="1636" t="s">
        <v>3325</v>
      </c>
      <c r="B11" s="1636" t="s">
        <v>3053</v>
      </c>
      <c r="C11" s="1636" t="s">
        <v>3302</v>
      </c>
      <c r="D11" s="1636">
        <v>74844.53</v>
      </c>
      <c r="E11" s="1636">
        <v>134689</v>
      </c>
      <c r="F11" s="1636">
        <v>1.8</v>
      </c>
      <c r="G11" s="1636" t="s">
        <v>3298</v>
      </c>
      <c r="H11" s="1636" t="s">
        <v>3326</v>
      </c>
      <c r="I11" s="1636">
        <v>87100</v>
      </c>
      <c r="J11" s="1636">
        <v>126000</v>
      </c>
      <c r="K11" s="1636">
        <v>9354.8700000000008</v>
      </c>
      <c r="L11" s="1636">
        <v>44.66</v>
      </c>
      <c r="M11" s="1636" t="s">
        <v>3327</v>
      </c>
    </row>
    <row r="12" spans="1:13">
      <c r="A12" s="1636" t="s">
        <v>3328</v>
      </c>
      <c r="B12" s="1636" t="s">
        <v>3053</v>
      </c>
      <c r="C12" s="1636" t="s">
        <v>3297</v>
      </c>
      <c r="D12" s="1636">
        <v>118126.9</v>
      </c>
      <c r="E12" s="1636">
        <v>208824</v>
      </c>
      <c r="F12" s="1636">
        <v>1.77</v>
      </c>
      <c r="G12" s="1636" t="s">
        <v>3298</v>
      </c>
      <c r="H12" s="1636" t="s">
        <v>3329</v>
      </c>
      <c r="I12" s="1636">
        <v>176500</v>
      </c>
      <c r="J12" s="1636">
        <v>264750</v>
      </c>
      <c r="K12" s="1636">
        <v>12678.13</v>
      </c>
      <c r="L12" s="1636">
        <v>50</v>
      </c>
      <c r="M12" s="1636" t="s">
        <v>3330</v>
      </c>
    </row>
    <row r="13" spans="1:13">
      <c r="A13" s="1636" t="s">
        <v>3331</v>
      </c>
      <c r="B13" s="1636" t="s">
        <v>3053</v>
      </c>
      <c r="C13" s="1636" t="s">
        <v>3302</v>
      </c>
      <c r="D13" s="1636">
        <v>139657.29999999999</v>
      </c>
      <c r="E13" s="1636">
        <v>204355</v>
      </c>
      <c r="F13" s="1636">
        <v>1.46</v>
      </c>
      <c r="G13" s="1636" t="s">
        <v>3298</v>
      </c>
      <c r="H13" s="1636" t="s">
        <v>3329</v>
      </c>
      <c r="I13" s="1636">
        <v>156100</v>
      </c>
      <c r="J13" s="1636">
        <v>234150</v>
      </c>
      <c r="K13" s="1636">
        <v>11458</v>
      </c>
      <c r="L13" s="1636">
        <v>50</v>
      </c>
      <c r="M13" s="1636" t="s">
        <v>3330</v>
      </c>
    </row>
    <row r="14" spans="1:13">
      <c r="A14" s="1636" t="s">
        <v>3332</v>
      </c>
      <c r="B14" s="1636" t="s">
        <v>3053</v>
      </c>
      <c r="C14" s="1636" t="s">
        <v>3302</v>
      </c>
      <c r="D14" s="1636">
        <v>79821.14</v>
      </c>
      <c r="E14" s="1636">
        <v>142412</v>
      </c>
      <c r="F14" s="1636">
        <v>1.78</v>
      </c>
      <c r="G14" s="1636" t="s">
        <v>3298</v>
      </c>
      <c r="H14" s="1636" t="s">
        <v>3333</v>
      </c>
      <c r="I14" s="1636">
        <v>142300</v>
      </c>
      <c r="J14" s="1636">
        <v>185000</v>
      </c>
      <c r="K14" s="1636">
        <v>12990.47</v>
      </c>
      <c r="L14" s="1636">
        <v>30.01</v>
      </c>
      <c r="M14" s="1636" t="s">
        <v>3334</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82" workbookViewId="0">
      <selection activeCell="P14" sqref="P14"/>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A90" sqref="A9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E2" sqref="E2"/>
    </sheetView>
  </sheetViews>
  <sheetFormatPr defaultRowHeight="13.5"/>
  <sheetData>
    <row r="1" spans="1:8">
      <c r="A1">
        <v>1</v>
      </c>
      <c r="B1">
        <v>6.5</v>
      </c>
      <c r="C1">
        <v>1</v>
      </c>
      <c r="D1">
        <f>(1182.21+2020.85)/2</f>
        <v>1601.53</v>
      </c>
      <c r="E1">
        <f>ROUND((B1*D1+B2*D2)/H1,2)</f>
        <v>5.53</v>
      </c>
      <c r="H1">
        <f>1182.21+2020.85</f>
        <v>3203.06</v>
      </c>
    </row>
    <row r="2" spans="1:8">
      <c r="A2">
        <v>2</v>
      </c>
      <c r="B2">
        <f>B1*C2</f>
        <v>4.55</v>
      </c>
      <c r="C2">
        <v>0.7</v>
      </c>
      <c r="D2">
        <f>(1182.21+2020.85)/2</f>
        <v>1601.53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4" t="s">
        <v>1662</v>
      </c>
      <c r="B1" s="3034"/>
      <c r="C1" s="3034"/>
      <c r="D1" s="3034"/>
    </row>
    <row r="2" spans="1:4" ht="18">
      <c r="A2" s="3035" t="s">
        <v>1646</v>
      </c>
      <c r="B2" s="3035"/>
      <c r="C2" s="3035"/>
      <c r="D2" s="3035"/>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35" t="s">
        <v>1652</v>
      </c>
      <c r="B6" s="3035"/>
      <c r="C6" s="3035"/>
      <c r="D6" s="3035"/>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6" t="s">
        <v>1655</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7" t="str">
        <f>IF(项目基本情况!B8="抵押","4.本次评估估价师所知悉的法定优先受偿款情况说明如下：","——")</f>
        <v>4.本次评估估价师所知悉的法定优先受偿款情况说明如下：</v>
      </c>
      <c r="B14" s="3038"/>
      <c r="C14" s="3038"/>
      <c r="D14" s="3038"/>
    </row>
    <row r="15" spans="1:4" ht="42" customHeight="1">
      <c r="A15" s="303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37"/>
      <c r="C15" s="3037"/>
      <c r="D15" s="3037"/>
    </row>
    <row r="16" spans="1:4" ht="30" customHeight="1">
      <c r="A16" s="3040" t="s">
        <v>1656</v>
      </c>
      <c r="B16" s="3040"/>
      <c r="C16" s="3040"/>
      <c r="D16" s="3040"/>
    </row>
    <row r="17" spans="1:4" ht="144" customHeight="1">
      <c r="A17" s="3040" t="s">
        <v>1657</v>
      </c>
      <c r="B17" s="3040"/>
      <c r="C17" s="3040"/>
      <c r="D17" s="3040"/>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1658</v>
      </c>
      <c r="B22" s="3042"/>
      <c r="C22" s="3042"/>
      <c r="D22" s="3042"/>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39">
        <v>42551</v>
      </c>
      <c r="D31" s="30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8" t="s">
        <v>1669</v>
      </c>
      <c r="B15" s="3043" t="s">
        <v>136</v>
      </c>
      <c r="C15" s="3044"/>
    </row>
    <row r="16" spans="1:7" ht="13.5">
      <c r="A16" s="3049"/>
      <c r="B16" s="3043" t="s">
        <v>69</v>
      </c>
      <c r="C16" s="3044"/>
    </row>
    <row r="17" spans="1:3" ht="13.5">
      <c r="A17" s="3049"/>
      <c r="B17" s="3046" t="s">
        <v>1670</v>
      </c>
      <c r="C17" s="2001" t="s">
        <v>1669</v>
      </c>
    </row>
    <row r="18" spans="1:3" ht="13.5">
      <c r="A18" s="3049"/>
      <c r="B18" s="3046"/>
      <c r="C18" s="2001" t="s">
        <v>1671</v>
      </c>
    </row>
    <row r="19" spans="1:3" ht="13.5">
      <c r="A19" s="3049"/>
      <c r="B19" s="3046"/>
      <c r="C19" s="2001" t="s">
        <v>1672</v>
      </c>
    </row>
    <row r="20" spans="1:3" ht="13.5">
      <c r="A20" s="3050"/>
      <c r="B20" s="3045" t="s">
        <v>1673</v>
      </c>
      <c r="C20" s="3044"/>
    </row>
    <row r="21" spans="1:3" ht="13.5">
      <c r="A21" s="2002" t="s">
        <v>1674</v>
      </c>
      <c r="B21" s="2003"/>
      <c r="C21" s="2004"/>
    </row>
    <row r="22" spans="1:3" ht="13.5">
      <c r="A22" s="3047" t="s">
        <v>1675</v>
      </c>
      <c r="B22" s="3045" t="s">
        <v>1676</v>
      </c>
      <c r="C22" s="3044"/>
    </row>
    <row r="23" spans="1:3" ht="13.5">
      <c r="A23" s="3047"/>
      <c r="B23" s="3045" t="s">
        <v>1677</v>
      </c>
      <c r="C23" s="3044"/>
    </row>
    <row r="24" spans="1:3" ht="13.5">
      <c r="A24" s="3047"/>
      <c r="B24" s="3045" t="s">
        <v>1678</v>
      </c>
      <c r="C24" s="3044"/>
    </row>
    <row r="25" spans="1:3" ht="13.5">
      <c r="A25" s="3047"/>
      <c r="B25" s="3046" t="s">
        <v>1679</v>
      </c>
      <c r="C25" s="2001" t="s">
        <v>1680</v>
      </c>
    </row>
    <row r="26" spans="1:3" ht="13.5">
      <c r="A26" s="3047"/>
      <c r="B26" s="3046"/>
      <c r="C26" s="2001" t="s">
        <v>1681</v>
      </c>
    </row>
    <row r="27" spans="1:3" ht="13.5">
      <c r="A27" s="3047"/>
      <c r="B27" s="3046"/>
      <c r="C27" s="2001" t="s">
        <v>1682</v>
      </c>
    </row>
    <row r="28" spans="1:3" ht="13.5">
      <c r="A28" s="3047"/>
      <c r="B28" s="3046"/>
      <c r="C28" s="2001" t="s">
        <v>1683</v>
      </c>
    </row>
    <row r="29" spans="1:3" ht="13.5">
      <c r="A29" s="3047"/>
      <c r="B29" s="3046"/>
      <c r="C29" s="2001" t="s">
        <v>1684</v>
      </c>
    </row>
    <row r="30" spans="1:3" ht="13.5">
      <c r="A30" s="3047"/>
      <c r="B30" s="3046"/>
      <c r="C30" s="2001" t="s">
        <v>1685</v>
      </c>
    </row>
    <row r="31" spans="1:3" ht="13.5">
      <c r="A31" s="3047"/>
      <c r="B31" s="3046"/>
      <c r="C31" s="2001" t="s">
        <v>1686</v>
      </c>
    </row>
    <row r="32" spans="1:3" ht="13.5">
      <c r="A32" s="3047"/>
      <c r="B32" s="3046"/>
      <c r="C32" s="2001" t="s">
        <v>1687</v>
      </c>
    </row>
    <row r="33" spans="1:3" ht="13.5">
      <c r="A33" s="3047"/>
      <c r="B33" s="3046"/>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43298</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3043</v>
      </c>
      <c r="B12" s="1024">
        <v>1120110054</v>
      </c>
      <c r="C12" s="2937">
        <v>43937</v>
      </c>
      <c r="D12" s="1703" t="s">
        <v>3043</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51" t="s">
        <v>846</v>
      </c>
      <c r="B25" s="3051"/>
      <c r="C25" s="3051"/>
      <c r="D25" s="3051"/>
      <c r="E25" s="3051"/>
      <c r="F25" s="3051"/>
      <c r="G25" s="3051"/>
    </row>
    <row r="26" spans="1:7" s="1027" customFormat="1" ht="24" customHeight="1">
      <c r="A26" s="3052" t="s">
        <v>847</v>
      </c>
      <c r="B26" s="3052"/>
      <c r="C26" s="3053"/>
      <c r="D26" s="3054" t="s">
        <v>848</v>
      </c>
      <c r="E26" s="3052"/>
      <c r="F26" s="3052"/>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收益法-车库</vt:lpstr>
      <vt:lpstr>收益法-仓储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已售清单</vt:lpstr>
      <vt:lpstr>抵押物清单</vt:lpstr>
      <vt:lpstr>土地案例</vt:lpstr>
      <vt:lpstr>Sheet3</vt:lpstr>
      <vt:lpstr>Sheet4</vt:lpstr>
      <vt:lpstr>Sheet2</vt:lpstr>
      <vt:lpstr>估价师及机构信息!Print_Area</vt:lpstr>
      <vt:lpstr>'收益法 (元)'!Print_Area</vt:lpstr>
      <vt:lpstr>'收益法-办公'!Print_Area</vt:lpstr>
      <vt:lpstr>'收益法-仓储'!Print_Area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2018-07-17T03:11:54Z</dcterms:modified>
</cp:coreProperties>
</file>