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690" yWindow="-105" windowWidth="16110" windowHeight="142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大宗案例" sheetId="80" r:id="rId46"/>
  </sheets>
  <externalReferences>
    <externalReference r:id="rId47"/>
    <externalReference r:id="rId48"/>
  </externalReferences>
  <definedNames>
    <definedName name="_xlnm._FilterDatabase" localSheetId="27" hidden="1">'比较法-办公'!$A$1:$L$47</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'比较法-办公'!$A$1:$K$52,'比较法-办公'!$A$55:$M$129</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'比较法-办公'!$B$116:$M$116</definedName>
    <definedName name="办公朝向">'比较法-办公'!$B$88:$M$88</definedName>
    <definedName name="办公道路级别">'比较法-办公'!$B$84:$M$84</definedName>
    <definedName name="办公公共部分装修">'比较法-办公'!$B$105:$M$105</definedName>
    <definedName name="办公基础设施水平">'比较法-办公'!$B$114:$M$114</definedName>
    <definedName name="办公集聚程度">定义!$M$1:$M$6</definedName>
    <definedName name="办公建筑结构">'比较法-办公'!$B$103:$M$103</definedName>
    <definedName name="办公建筑类型">'比较法-办公'!$B$98:$M$98</definedName>
    <definedName name="办公交易情况">'比较法-办公'!$A$59:$M$59</definedName>
    <definedName name="办公楼层">'比较法-办公'!$B$86:$M$86</definedName>
    <definedName name="办公内部装修">'比较法-办公'!$B$120:$M$120</definedName>
    <definedName name="办公物业管理">'比较法-办公'!$B$112:$M$112</definedName>
    <definedName name="办公用途">'比较法-办公'!$B$61:$M$61</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'比较法-办公'!$B$110:$M$110</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8" i="34" l="1"/>
  <c r="H38" i="34"/>
  <c r="J38" i="34"/>
  <c r="Q38" i="34"/>
  <c r="S38" i="34"/>
  <c r="U38" i="34"/>
  <c r="W38" i="34"/>
  <c r="Z38" i="34"/>
  <c r="AA38" i="34"/>
  <c r="AB38" i="34"/>
  <c r="AC38" i="34"/>
  <c r="F39" i="34"/>
  <c r="AA39" i="34" s="1"/>
  <c r="H39" i="34"/>
  <c r="U39" i="34" s="1"/>
  <c r="J39" i="34"/>
  <c r="W39" i="34" s="1"/>
  <c r="Q39" i="34"/>
  <c r="Z39" i="34"/>
  <c r="I12" i="34"/>
  <c r="G12" i="34"/>
  <c r="E12" i="34"/>
  <c r="C34" i="34"/>
  <c r="D3" i="34"/>
  <c r="C31" i="34"/>
  <c r="C68" i="34"/>
  <c r="C12" i="34" s="1"/>
  <c r="AB39" i="34" l="1"/>
  <c r="S39" i="34"/>
  <c r="AC39" i="34"/>
  <c r="Q32" i="80" l="1"/>
  <c r="N32" i="80"/>
  <c r="I32" i="80"/>
  <c r="H32" i="80"/>
  <c r="W31" i="80"/>
  <c r="V31" i="80"/>
  <c r="Q31" i="80"/>
  <c r="N31" i="80"/>
  <c r="M31" i="80"/>
  <c r="I31" i="80"/>
  <c r="W30" i="80"/>
  <c r="V30" i="80"/>
  <c r="Q30" i="80"/>
  <c r="N30" i="80"/>
  <c r="W19" i="80"/>
  <c r="V19" i="80"/>
  <c r="Q19" i="80"/>
  <c r="P17" i="80"/>
  <c r="P11" i="80"/>
  <c r="C66" i="9" l="1"/>
  <c r="C6" i="68"/>
  <c r="D37" i="43"/>
  <c r="D33" i="43"/>
  <c r="Y6" i="1"/>
  <c r="L14" i="1"/>
  <c r="N14" i="1"/>
  <c r="N6" i="1"/>
  <c r="N21" i="1"/>
  <c r="N19" i="1"/>
  <c r="AL13" i="3"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6"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Q21" i="34"/>
  <c r="Z21" i="34" s="1"/>
  <c r="D81" i="34"/>
  <c r="E81" i="34" s="1"/>
  <c r="F81" i="34" s="1"/>
  <c r="G81"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07"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2" i="34"/>
  <c r="J52" i="34" s="1"/>
  <c r="G52" i="34"/>
  <c r="H52" i="34" s="1"/>
  <c r="E52" i="34"/>
  <c r="F52"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J35" i="34"/>
  <c r="W35" i="34" s="1"/>
  <c r="D111" i="34"/>
  <c r="F35" i="34"/>
  <c r="S35" i="34" s="1"/>
  <c r="D109" i="34"/>
  <c r="E109" i="34" s="1"/>
  <c r="F109"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28" i="34"/>
  <c r="B126" i="34"/>
  <c r="B124" i="34"/>
  <c r="B96" i="34"/>
  <c r="B94" i="34"/>
  <c r="B92" i="34"/>
  <c r="B90" i="34"/>
  <c r="B72" i="34"/>
  <c r="B70" i="34"/>
  <c r="B68"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17" i="34"/>
  <c r="E117" i="34" s="1"/>
  <c r="F117" i="34" s="1"/>
  <c r="G117" i="34" s="1"/>
  <c r="H117" i="34" s="1"/>
  <c r="I117" i="34" s="1"/>
  <c r="J117" i="34" s="1"/>
  <c r="K117" i="34" s="1"/>
  <c r="L117" i="34" s="1"/>
  <c r="M117" i="34" s="1"/>
  <c r="D87" i="34"/>
  <c r="E87" i="34" s="1"/>
  <c r="F87" i="34" s="1"/>
  <c r="G87" i="34" s="1"/>
  <c r="H87" i="34" s="1"/>
  <c r="I87" i="34" s="1"/>
  <c r="J87" i="34" s="1"/>
  <c r="K87" i="34" s="1"/>
  <c r="L87" i="34" s="1"/>
  <c r="M87" i="34" s="1"/>
  <c r="C15" i="34"/>
  <c r="D123" i="34"/>
  <c r="E123" i="34" s="1"/>
  <c r="D121" i="34"/>
  <c r="E121" i="34" s="1"/>
  <c r="F121" i="34" s="1"/>
  <c r="G121" i="34" s="1"/>
  <c r="H121" i="34" s="1"/>
  <c r="I121" i="34" s="1"/>
  <c r="J121" i="34" s="1"/>
  <c r="K121" i="34" s="1"/>
  <c r="L121" i="34" s="1"/>
  <c r="M121" i="34" s="1"/>
  <c r="H40" i="34"/>
  <c r="AB40" i="34" s="1"/>
  <c r="D115" i="34"/>
  <c r="E115" i="34" s="1"/>
  <c r="F115" i="34" s="1"/>
  <c r="G115" i="34" s="1"/>
  <c r="D113" i="34"/>
  <c r="E113" i="34"/>
  <c r="F113" i="34" s="1"/>
  <c r="G113" i="34" s="1"/>
  <c r="H113" i="34" s="1"/>
  <c r="I113" i="34" s="1"/>
  <c r="J113" i="34" s="1"/>
  <c r="K113" i="34" s="1"/>
  <c r="L113" i="34" s="1"/>
  <c r="M113" i="34" s="1"/>
  <c r="F107" i="34"/>
  <c r="E107" i="34"/>
  <c r="D107" i="34"/>
  <c r="C107" i="34"/>
  <c r="D106" i="34"/>
  <c r="E106" i="34" s="1"/>
  <c r="F106" i="34" s="1"/>
  <c r="G106" i="34" s="1"/>
  <c r="H106" i="34" s="1"/>
  <c r="I106" i="34" s="1"/>
  <c r="J106" i="34" s="1"/>
  <c r="K106" i="34" s="1"/>
  <c r="L106" i="34" s="1"/>
  <c r="M106" i="34" s="1"/>
  <c r="D104" i="34"/>
  <c r="E104" i="34" s="1"/>
  <c r="F104" i="34" s="1"/>
  <c r="G104" i="34" s="1"/>
  <c r="H104" i="34" s="1"/>
  <c r="I104" i="34" s="1"/>
  <c r="J104" i="34" s="1"/>
  <c r="K104" i="34" s="1"/>
  <c r="L104" i="34" s="1"/>
  <c r="M104" i="34" s="1"/>
  <c r="F32" i="34"/>
  <c r="AA32" i="34" s="1"/>
  <c r="M100" i="34"/>
  <c r="L100" i="34"/>
  <c r="K100" i="34"/>
  <c r="J100" i="34"/>
  <c r="I100" i="34"/>
  <c r="H100" i="34"/>
  <c r="G100" i="34"/>
  <c r="F100" i="34"/>
  <c r="E100" i="34"/>
  <c r="D100" i="34"/>
  <c r="C100" i="34"/>
  <c r="D99" i="34"/>
  <c r="E99" i="34" s="1"/>
  <c r="D89" i="34"/>
  <c r="E89" i="34" s="1"/>
  <c r="F89" i="34" s="1"/>
  <c r="G89" i="34" s="1"/>
  <c r="H89" i="34" s="1"/>
  <c r="I89" i="34" s="1"/>
  <c r="J89" i="34" s="1"/>
  <c r="K89" i="34" s="1"/>
  <c r="L89" i="34" s="1"/>
  <c r="M89" i="34" s="1"/>
  <c r="B88" i="34"/>
  <c r="B86" i="34"/>
  <c r="D85" i="34"/>
  <c r="E85" i="34" s="1"/>
  <c r="D83" i="34"/>
  <c r="E83" i="34" s="1"/>
  <c r="F83" i="34" s="1"/>
  <c r="G83" i="34" s="1"/>
  <c r="D79" i="34"/>
  <c r="E79" i="34" s="1"/>
  <c r="F79" i="34" s="1"/>
  <c r="G79" i="34" s="1"/>
  <c r="D77" i="34"/>
  <c r="E77" i="34" s="1"/>
  <c r="F77" i="34" s="1"/>
  <c r="G77" i="34" s="1"/>
  <c r="D75" i="34"/>
  <c r="E75" i="34" s="1"/>
  <c r="F75" i="34" s="1"/>
  <c r="G75" i="34" s="1"/>
  <c r="D67" i="34"/>
  <c r="E67" i="34" s="1"/>
  <c r="F67" i="34" s="1"/>
  <c r="G67" i="34" s="1"/>
  <c r="H67" i="34" s="1"/>
  <c r="I67" i="34" s="1"/>
  <c r="J67" i="34" s="1"/>
  <c r="K67" i="34" s="1"/>
  <c r="L67" i="34" s="1"/>
  <c r="M67" i="34" s="1"/>
  <c r="M65" i="34"/>
  <c r="L65" i="34"/>
  <c r="K65" i="34"/>
  <c r="J65" i="34"/>
  <c r="I65" i="34"/>
  <c r="H65" i="34"/>
  <c r="G65" i="34"/>
  <c r="F65" i="34"/>
  <c r="E65" i="34"/>
  <c r="D65" i="34"/>
  <c r="C65" i="34"/>
  <c r="C61" i="34"/>
  <c r="P47" i="34"/>
  <c r="P46" i="34"/>
  <c r="V45" i="34"/>
  <c r="T45" i="34"/>
  <c r="R45" i="34"/>
  <c r="P45" i="34"/>
  <c r="Q44" i="34"/>
  <c r="Z44" i="34" s="1"/>
  <c r="Q43" i="34"/>
  <c r="Z43" i="34" s="1"/>
  <c r="Q42" i="34"/>
  <c r="Z42" i="34" s="1"/>
  <c r="Q41" i="34"/>
  <c r="Z41" i="34" s="1"/>
  <c r="Q40" i="34"/>
  <c r="Z40" i="34" s="1"/>
  <c r="Q37" i="34"/>
  <c r="Z37" i="34" s="1"/>
  <c r="Q36" i="34"/>
  <c r="Z36" i="34" s="1"/>
  <c r="H36" i="34"/>
  <c r="AB36" i="34" s="1"/>
  <c r="Q35" i="34"/>
  <c r="Z35" i="34" s="1"/>
  <c r="Q34" i="34"/>
  <c r="Z34" i="34" s="1"/>
  <c r="Q33" i="34"/>
  <c r="Z33" i="34" s="1"/>
  <c r="Q32" i="34"/>
  <c r="Z32" i="34" s="1"/>
  <c r="Q31" i="34"/>
  <c r="Z31" i="34" s="1"/>
  <c r="J31" i="34"/>
  <c r="AC31" i="34" s="1"/>
  <c r="H31" i="34"/>
  <c r="AB31" i="34" s="1"/>
  <c r="F31" i="34"/>
  <c r="AA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3" i="34"/>
  <c r="S33" i="34" s="1"/>
  <c r="J32" i="34"/>
  <c r="W32" i="34" s="1"/>
  <c r="W9" i="34"/>
  <c r="U31"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37" i="34"/>
  <c r="U37" i="34" s="1"/>
  <c r="E111" i="34"/>
  <c r="H33" i="34"/>
  <c r="U33" i="34" s="1"/>
  <c r="S32" i="34"/>
  <c r="H23" i="34"/>
  <c r="U23" i="34" s="1"/>
  <c r="J23" i="34"/>
  <c r="W23" i="34" s="1"/>
  <c r="F19" i="34"/>
  <c r="H17" i="34"/>
  <c r="U17" i="34" s="1"/>
  <c r="F15" i="34"/>
  <c r="S15" i="34" s="1"/>
  <c r="J15" i="34"/>
  <c r="W15" i="34" s="1"/>
  <c r="H15" i="34"/>
  <c r="AB15" i="34" s="1"/>
  <c r="W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0" i="34"/>
  <c r="J37" i="34"/>
  <c r="F111" i="34"/>
  <c r="G111" i="34" s="1"/>
  <c r="H111" i="34" s="1"/>
  <c r="I111" i="34" s="1"/>
  <c r="J111" i="34" s="1"/>
  <c r="K111" i="34" s="1"/>
  <c r="L111" i="34" s="1"/>
  <c r="M111" i="34" s="1"/>
  <c r="H35" i="34"/>
  <c r="AB35" i="34" s="1"/>
  <c r="J33" i="34"/>
  <c r="W33" i="34" s="1"/>
  <c r="H25" i="34"/>
  <c r="AB25" i="34" s="1"/>
  <c r="J25" i="34"/>
  <c r="AC25" i="34" s="1"/>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C35" i="34"/>
  <c r="AA35" i="34"/>
  <c r="J11" i="33"/>
  <c r="W11" i="33" s="1"/>
  <c r="U23" i="40"/>
  <c r="G123" i="21"/>
  <c r="H123" i="21"/>
  <c r="I123" i="21"/>
  <c r="J123" i="21"/>
  <c r="K123" i="21"/>
  <c r="L123" i="21"/>
  <c r="M123" i="21"/>
  <c r="J42" i="21"/>
  <c r="AC42" i="21"/>
  <c r="H42" i="21"/>
  <c r="U42" i="2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27" i="34"/>
  <c r="F27" i="34"/>
  <c r="S27" i="34" s="1"/>
  <c r="J27" i="34"/>
  <c r="W27" i="34" s="1"/>
  <c r="H29" i="34"/>
  <c r="F29" i="34"/>
  <c r="J29" i="34"/>
  <c r="W29" i="34" s="1"/>
  <c r="H43" i="34"/>
  <c r="U43" i="34" s="1"/>
  <c r="F43" i="34"/>
  <c r="J43"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8" i="34"/>
  <c r="AC28" i="34" s="1"/>
  <c r="H28" i="34"/>
  <c r="AB28" i="34" s="1"/>
  <c r="F28" i="34"/>
  <c r="S28" i="34" s="1"/>
  <c r="H42" i="34"/>
  <c r="U42" i="34" s="1"/>
  <c r="J42" i="34"/>
  <c r="W42" i="34" s="1"/>
  <c r="F42" i="34"/>
  <c r="S42" i="34" s="1"/>
  <c r="H44" i="34"/>
  <c r="U44" i="34" s="1"/>
  <c r="F44" i="34"/>
  <c r="S44" i="34" s="1"/>
  <c r="J44" i="34"/>
  <c r="AC44"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2" i="34"/>
  <c r="U32"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0" i="34"/>
  <c r="S30"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6" i="34"/>
  <c r="S36" i="34" s="1"/>
  <c r="J36" i="34"/>
  <c r="W36" i="34" s="1"/>
  <c r="F37" i="34"/>
  <c r="S37" i="34" s="1"/>
  <c r="F40" i="34"/>
  <c r="AA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J30" i="34"/>
  <c r="AC30"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4"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0" i="34"/>
  <c r="U40" i="34"/>
  <c r="AC36" i="34"/>
  <c r="U36" i="34"/>
  <c r="S40" i="34"/>
  <c r="AA42"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7" i="34"/>
  <c r="W19" i="34"/>
  <c r="AC42" i="34"/>
  <c r="AA28" i="34"/>
  <c r="AA27" i="34"/>
  <c r="AB44" i="34"/>
  <c r="U25" i="34"/>
  <c r="AC14" i="34"/>
  <c r="AC29" i="34"/>
  <c r="W43" i="34"/>
  <c r="AC43" i="34"/>
  <c r="S29" i="34"/>
  <c r="AA29" i="34"/>
  <c r="U27" i="34"/>
  <c r="AB27" i="34"/>
  <c r="U35" i="34"/>
  <c r="AC37" i="34"/>
  <c r="W37" i="34"/>
  <c r="AA19" i="34"/>
  <c r="S19" i="34"/>
  <c r="AA33" i="34"/>
  <c r="AA8" i="34"/>
  <c r="AB9" i="34"/>
  <c r="U9" i="34"/>
  <c r="S43" i="34"/>
  <c r="AA43" i="34"/>
  <c r="U29" i="34"/>
  <c r="AB29" i="34"/>
  <c r="U14" i="34"/>
  <c r="AB14" i="34"/>
  <c r="AC40" i="34"/>
  <c r="W40" i="34"/>
  <c r="AC23" i="34"/>
  <c r="AC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AA37" i="34" l="1"/>
  <c r="AA36" i="34"/>
  <c r="AB33" i="34"/>
  <c r="F99" i="34"/>
  <c r="G99" i="34" s="1"/>
  <c r="H99" i="34" s="1"/>
  <c r="I99" i="34" s="1"/>
  <c r="J99" i="34" s="1"/>
  <c r="K99" i="34" s="1"/>
  <c r="L99" i="34" s="1"/>
  <c r="M99" i="34" s="1"/>
  <c r="H30" i="34"/>
  <c r="AC27" i="34"/>
  <c r="AB43" i="34"/>
  <c r="W28" i="34"/>
  <c r="U28" i="34"/>
  <c r="F85" i="34"/>
  <c r="G85" i="34" s="1"/>
  <c r="H85" i="34" s="1"/>
  <c r="I85" i="34" s="1"/>
  <c r="J85" i="34" s="1"/>
  <c r="K85" i="34" s="1"/>
  <c r="L85" i="34" s="1"/>
  <c r="M85" i="34" s="1"/>
  <c r="F25" i="34"/>
  <c r="S25" i="34" s="1"/>
  <c r="S23" i="34"/>
  <c r="AB23" i="34"/>
  <c r="U21" i="34"/>
  <c r="S21" i="34"/>
  <c r="U19" i="34"/>
  <c r="S17" i="34"/>
  <c r="AB17" i="34"/>
  <c r="AC17" i="34"/>
  <c r="AB13" i="34"/>
  <c r="AC33" i="34"/>
  <c r="AB32" i="34"/>
  <c r="W30" i="34"/>
  <c r="W25" i="34"/>
  <c r="F41" i="34"/>
  <c r="AA41" i="34" s="1"/>
  <c r="F123" i="34"/>
  <c r="G123" i="34" s="1"/>
  <c r="J41" i="34"/>
  <c r="H41" i="34"/>
  <c r="AB41" i="34" s="1"/>
  <c r="U41" i="34"/>
  <c r="F34" i="34"/>
  <c r="H34" i="34"/>
  <c r="U34" i="34" s="1"/>
  <c r="J34" i="34"/>
  <c r="AC34" i="34" s="1"/>
  <c r="G109" i="34"/>
  <c r="H109" i="34" s="1"/>
  <c r="I109" i="34" s="1"/>
  <c r="J109" i="34" s="1"/>
  <c r="K109" i="34" s="1"/>
  <c r="L109" i="34" s="1"/>
  <c r="M109" i="34" s="1"/>
  <c r="AA12" i="34"/>
  <c r="AC12" i="34"/>
  <c r="W44" i="34"/>
  <c r="AB42" i="34"/>
  <c r="C40" i="69"/>
  <c r="C21" i="68"/>
  <c r="G6" i="1"/>
  <c r="I24" i="43"/>
  <c r="G44" i="43" s="1"/>
  <c r="G28" i="6"/>
  <c r="F29" i="6"/>
  <c r="H69"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4"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6" i="34"/>
  <c r="D56" i="34" s="1"/>
  <c r="E56" i="34" s="1"/>
  <c r="F56" i="34" s="1"/>
  <c r="G56" i="34" s="1"/>
  <c r="H56" i="34" s="1"/>
  <c r="I56" i="34" s="1"/>
  <c r="J56"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1" i="34"/>
  <c r="W34" i="34"/>
  <c r="S31"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6" i="34"/>
  <c r="L56" i="34" s="1"/>
  <c r="M56" i="34" s="1"/>
  <c r="N56" i="34" s="1"/>
  <c r="O56" i="34" s="1"/>
  <c r="P56" i="34" s="1"/>
  <c r="Q56" i="34" s="1"/>
  <c r="R56" i="34" s="1"/>
  <c r="S56" i="34" s="1"/>
  <c r="T56" i="34" s="1"/>
  <c r="U56" i="34" s="1"/>
  <c r="V56" i="34" s="1"/>
  <c r="W56" i="34" s="1"/>
  <c r="X56" i="34" s="1"/>
  <c r="Y56" i="34" s="1"/>
  <c r="Z56" i="34" s="1"/>
  <c r="AA56" i="34" s="1"/>
  <c r="AB56" i="34" s="1"/>
  <c r="AC56" i="34" s="1"/>
  <c r="AD56" i="34" s="1"/>
  <c r="AE56"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U30" i="34" l="1"/>
  <c r="AB30" i="34"/>
  <c r="AA25" i="34"/>
  <c r="S41" i="34"/>
  <c r="AC41" i="34"/>
  <c r="W41" i="34"/>
  <c r="AA34" i="34"/>
  <c r="S34" i="34"/>
  <c r="E26" i="43"/>
  <c r="N94" i="46"/>
  <c r="J26" i="43"/>
  <c r="N370" i="46"/>
  <c r="G26" i="43"/>
  <c r="D18" i="53"/>
  <c r="B35" i="72" s="1"/>
  <c r="C7" i="74"/>
  <c r="E61" i="43"/>
  <c r="B59" i="43" s="1"/>
  <c r="C28" i="43" s="1"/>
  <c r="B116" i="43"/>
  <c r="Z7" i="43"/>
  <c r="E30" i="6"/>
  <c r="E56" i="39"/>
  <c r="H7" i="34"/>
  <c r="AB7" i="34" s="1"/>
  <c r="T46" i="34" s="1"/>
  <c r="G46"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6" i="34" s="1"/>
  <c r="I46" i="34" s="1"/>
  <c r="I50" i="34" s="1"/>
  <c r="J50" i="34" s="1"/>
  <c r="U7" i="34"/>
  <c r="AA7" i="34"/>
  <c r="R46" i="34" s="1"/>
  <c r="E46"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47" i="34"/>
  <c r="G50" i="34"/>
  <c r="H50"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51" i="34" l="1"/>
  <c r="H51"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1" i="34"/>
  <c r="F51" i="34" s="1"/>
  <c r="E50" i="34"/>
  <c r="F50" i="34" s="1"/>
  <c r="R49" i="33"/>
  <c r="E48" i="33"/>
  <c r="I53" i="33" s="1"/>
  <c r="J53" i="33" s="1"/>
  <c r="I52" i="33"/>
  <c r="J52" i="33" s="1"/>
  <c r="E40" i="36"/>
  <c r="F40" i="36" s="1"/>
  <c r="E41" i="36"/>
  <c r="F41" i="36" s="1"/>
  <c r="I51" i="34"/>
  <c r="J51" i="34" s="1"/>
  <c r="G52" i="33"/>
  <c r="H52" i="33" s="1"/>
  <c r="G53" i="33"/>
  <c r="H53" i="33" s="1"/>
  <c r="H48" i="35"/>
  <c r="C46" i="34"/>
  <c r="C47"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C19" i="9"/>
  <c r="D102" i="9" l="1"/>
  <c r="D21" i="9"/>
  <c r="C102" i="9"/>
  <c r="G19" i="9"/>
  <c r="G21" i="9" s="1"/>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0" i="9"/>
  <c r="D2" i="21"/>
  <c r="L51" i="67"/>
  <c r="D103" i="9" l="1"/>
  <c r="C103" i="9"/>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35" i="9"/>
  <c r="D2" i="34"/>
  <c r="D2" i="35"/>
  <c r="D2" i="37"/>
  <c r="D2" i="36"/>
  <c r="L51" i="15"/>
  <c r="C35" i="9" l="1"/>
  <c r="C34"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6" i="1"/>
  <c r="D34" i="9"/>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D119" i="9" l="1"/>
  <c r="D5" i="52" s="1"/>
  <c r="B49" i="72" s="1"/>
  <c r="G118" i="9"/>
  <c r="G4" i="52" s="1"/>
  <c r="B52" i="72" s="1"/>
  <c r="H101" i="9"/>
  <c r="D5" i="53" s="1"/>
  <c r="I118" i="9"/>
  <c r="C105" i="9" s="1"/>
  <c r="F119" i="9"/>
  <c r="F5" i="52" s="1"/>
  <c r="B53" i="72" s="1"/>
  <c r="H4" i="52"/>
  <c r="H119" i="9"/>
  <c r="H5" i="52" s="1"/>
  <c r="I4" i="52"/>
  <c r="H102" i="9" l="1"/>
  <c r="D7" i="53" s="1"/>
  <c r="B21" i="72" s="1"/>
  <c r="E118" i="9"/>
  <c r="E4" i="52" s="1"/>
  <c r="B48" i="72" s="1"/>
  <c r="H107" i="9"/>
  <c r="D45" i="9"/>
  <c r="C64" i="9" s="1"/>
  <c r="C63" i="9" s="1"/>
  <c r="C67" i="9" s="1"/>
  <c r="M48" i="9"/>
  <c r="B20" i="72"/>
  <c r="D6" i="53"/>
  <c r="B22" i="72" s="1"/>
  <c r="H108" i="9" l="1"/>
  <c r="D15" i="53" s="1"/>
  <c r="B31" i="72" s="1"/>
  <c r="C5" i="74"/>
  <c r="D53" i="9"/>
  <c r="C93" i="9"/>
  <c r="C86" i="9" s="1"/>
  <c r="C72" i="9"/>
  <c r="D52" i="9"/>
  <c r="M49" i="9"/>
  <c r="L68" i="9" s="1"/>
  <c r="M68" i="9" s="1"/>
  <c r="D13" i="53"/>
  <c r="B30" i="72" s="1"/>
  <c r="D122" i="9"/>
  <c r="D123" i="9" s="1"/>
  <c r="D9" i="52" s="1"/>
  <c r="D55" i="9"/>
  <c r="M53" i="9" s="1"/>
  <c r="C85" i="9"/>
  <c r="C78" i="9"/>
  <c r="C73" i="9" s="1"/>
  <c r="D59" i="9"/>
  <c r="M55" i="9" s="1"/>
  <c r="C68" i="9"/>
  <c r="D54" i="9" s="1"/>
  <c r="D48" i="9" s="1"/>
  <c r="M52" i="9" s="1"/>
  <c r="C6" i="74"/>
  <c r="C95" i="9" l="1"/>
  <c r="C79" i="9"/>
  <c r="C80" i="9" s="1"/>
  <c r="E80" i="9" s="1"/>
  <c r="E81" i="9" s="1"/>
  <c r="L66" i="9"/>
  <c r="M66" i="9" s="1"/>
  <c r="L64" i="9"/>
  <c r="M64" i="9" s="1"/>
  <c r="L67" i="9"/>
  <c r="M67" i="9" s="1"/>
  <c r="L63" i="9"/>
  <c r="M63" i="9" s="1"/>
  <c r="L65" i="9"/>
  <c r="M65" i="9" s="1"/>
  <c r="D8" i="52"/>
  <c r="D14" i="53"/>
  <c r="B32" i="72" s="1"/>
  <c r="C81" i="9"/>
  <c r="D58" i="9" s="1"/>
  <c r="D56" i="9" s="1"/>
  <c r="M54" i="9" s="1"/>
  <c r="N57" i="9" s="1"/>
  <c r="P57" i="9" s="1"/>
  <c r="M69" i="9" l="1"/>
  <c r="N69" i="9" s="1"/>
  <c r="C96" i="9"/>
  <c r="E96" i="9" s="1"/>
  <c r="E97" i="9" s="1"/>
  <c r="N58" i="9"/>
  <c r="N59" i="9"/>
  <c r="C97" i="9" l="1"/>
  <c r="N61" i="9"/>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6" authorId="0">
      <text>
        <r>
          <rPr>
            <b/>
            <sz val="9"/>
            <color indexed="81"/>
            <rFont val="宋体"/>
            <family val="3"/>
            <charset val="134"/>
          </rPr>
          <t>权重验证</t>
        </r>
        <r>
          <rPr>
            <sz val="9"/>
            <color indexed="81"/>
            <rFont val="宋体"/>
            <family val="3"/>
            <charset val="134"/>
          </rPr>
          <t xml:space="preserve">
</t>
        </r>
      </text>
    </comment>
    <comment ref="C56" authorId="1">
      <text>
        <r>
          <rPr>
            <b/>
            <sz val="12"/>
            <color indexed="81"/>
            <rFont val="宋体"/>
            <family val="3"/>
            <charset val="134"/>
          </rPr>
          <t>价值时点所在月度</t>
        </r>
        <r>
          <rPr>
            <sz val="12"/>
            <color indexed="81"/>
            <rFont val="宋体"/>
            <family val="3"/>
            <charset val="134"/>
          </rPr>
          <t xml:space="preserve">
</t>
        </r>
      </text>
    </comment>
    <comment ref="B10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<sst xmlns="http://schemas.openxmlformats.org/spreadsheetml/2006/main" count="8123" uniqueCount="3596">
  <si>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</si>
  <si>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</si>
  <si>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</si>
  <si>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</si>
  <si>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</si>
  <si>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</si>
  <si>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</si>
  <si>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</si>
  <si>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</si>
  <si>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</si>
  <si>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</si>
  <si>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</si>
  <si>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</si>
  <si>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</si>
  <si>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</si>
  <si>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</si>
  <si>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</si>
  <si>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</si>
  <si>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</si>
  <si>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</si>
  <si>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</si>
  <si>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</si>
  <si>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</si>
  <si>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</si>
  <si>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</si>
  <si>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</si>
  <si>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</si>
  <si>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</si>
  <si>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</si>
  <si>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</si>
  <si>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</si>
  <si>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</si>
  <si>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</si>
  <si>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</si>
  <si>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</si>
  <si>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</si>
  <si>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</si>
  <si>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</si>
  <si>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</si>
  <si>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</si>
  <si>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</si>
  <si>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</si>
  <si>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</si>
  <si>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</si>
  <si>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</si>
  <si>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</si>
  <si>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</si>
  <si>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</si>
  <si>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</si>
  <si>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</si>
  <si>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</si>
  <si>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</si>
  <si>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</si>
  <si>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</si>
  <si>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</si>
  <si>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</si>
  <si>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</si>
  <si>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</si>
  <si>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</si>
  <si>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</si>
  <si>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</si>
  <si>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</si>
  <si>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</si>
  <si>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</si>
  <si>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</si>
  <si>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</si>
  <si>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</si>
  <si>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</si>
  <si>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</si>
  <si>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</si>
  <si>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</si>
  <si>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</si>
  <si>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</si>
  <si>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</si>
  <si>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</si>
  <si>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</si>
  <si>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</si>
  <si>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</si>
  <si>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</si>
  <si>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</si>
  <si>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</si>
  <si>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</si>
  <si>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</si>
  <si>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</si>
  <si>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</si>
  <si>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</si>
  <si>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</si>
  <si>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</si>
  <si>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</si>
  <si>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</si>
  <si>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</si>
  <si>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</si>
  <si>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</si>
  <si>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</si>
  <si>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</si>
  <si>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</si>
  <si>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</si>
  <si>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</si>
  <si>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</si>
  <si>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</si>
  <si>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</si>
  <si>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</si>
  <si>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</si>
  <si>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</si>
  <si>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</si>
  <si>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</si>
  <si>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</si>
  <si>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</si>
  <si>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</si>
  <si>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</si>
  <si>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</si>
  <si>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</si>
  <si>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</si>
  <si>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</si>
  <si>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</si>
  <si>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</si>
  <si>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</si>
  <si>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</si>
  <si>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</si>
  <si>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</si>
  <si>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</si>
  <si>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</si>
  <si>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</si>
  <si>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</si>
  <si>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</si>
  <si>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</si>
  <si>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</si>
  <si>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</si>
  <si>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</si>
  <si>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</si>
  <si>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</si>
  <si>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</si>
  <si>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</si>
  <si>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</si>
  <si>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</si>
  <si>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</si>
  <si>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</si>
  <si>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</si>
  <si>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</si>
  <si>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</si>
  <si>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</si>
  <si>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</si>
  <si>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</si>
  <si>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</si>
  <si>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</si>
  <si>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</si>
  <si>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</si>
  <si>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</si>
  <si>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</si>
  <si>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</si>
  <si>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</si>
  <si>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</si>
  <si>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</si>
  <si>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</si>
  <si>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</si>
  <si>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</si>
  <si>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</si>
  <si>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</si>
  <si>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</si>
  <si>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</si>
  <si>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</si>
  <si>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</si>
  <si>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</si>
  <si>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</si>
  <si>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</si>
  <si>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</si>
  <si>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</si>
  <si>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</si>
  <si>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</si>
  <si>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</si>
  <si>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</si>
  <si>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</si>
  <si>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</si>
  <si>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</si>
  <si>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</si>
  <si>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</si>
  <si>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</si>
  <si>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</si>
  <si>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</si>
  <si>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</si>
  <si>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</si>
  <si>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</si>
  <si>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</si>
  <si>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</si>
  <si>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</si>
  <si>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</si>
  <si>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</si>
  <si>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</si>
  <si>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</si>
  <si>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</si>
  <si>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</si>
  <si>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</si>
  <si>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</si>
  <si>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</si>
  <si>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</si>
  <si>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</si>
  <si>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</si>
  <si>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</si>
  <si>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</si>
  <si>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</si>
  <si>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</si>
  <si>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</si>
  <si>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</si>
  <si>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</si>
  <si>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</si>
  <si>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</si>
  <si>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</si>
  <si>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</si>
  <si>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</si>
  <si>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</si>
  <si>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</si>
  <si>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</si>
  <si>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</si>
  <si>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</si>
  <si>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</si>
  <si>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</si>
  <si>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</si>
  <si>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</si>
  <si>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</si>
  <si>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</si>
  <si>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</si>
  <si>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</si>
  <si>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</si>
  <si>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</si>
  <si>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</si>
  <si>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</si>
  <si>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</si>
  <si>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</si>
  <si>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</si>
  <si>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</si>
  <si>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</si>
  <si>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</si>
  <si>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</si>
  <si>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</si>
  <si>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</si>
  <si>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</si>
  <si>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</si>
  <si>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</si>
  <si>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</si>
  <si>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</si>
  <si>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</si>
  <si>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</si>
  <si>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</si>
  <si>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</si>
  <si>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</si>
  <si>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</si>
  <si>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</si>
  <si>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</si>
  <si>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</si>
  <si>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</si>
  <si>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</si>
  <si>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</si>
  <si>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</si>
  <si>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</si>
  <si>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</si>
  <si>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</si>
  <si>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</si>
  <si>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</si>
  <si>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</si>
  <si>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</si>
  <si>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</si>
  <si>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</si>
  <si>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</si>
  <si>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</si>
  <si>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</si>
  <si>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</si>
  <si>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</si>
  <si>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</si>
  <si>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</si>
  <si>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</si>
  <si>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</si>
  <si>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</si>
  <si>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</si>
  <si>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</si>
  <si>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</si>
  <si>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</si>
  <si>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</si>
  <si>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</si>
  <si>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</si>
  <si>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</si>
  <si>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</si>
  <si>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</si>
  <si>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</si>
  <si>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</si>
  <si>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</si>
  <si>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</si>
  <si>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</si>
  <si>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</si>
  <si>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</si>
  <si>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</si>
  <si>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</si>
  <si>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</si>
  <si>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</si>
  <si>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</si>
  <si>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</si>
  <si>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</si>
  <si>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</si>
  <si>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</si>
  <si>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</si>
  <si>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</si>
  <si>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</si>
  <si>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</si>
  <si>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</si>
  <si>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</si>
  <si>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</si>
  <si>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</si>
  <si>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</si>
  <si>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</si>
  <si>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</si>
  <si>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</si>
  <si>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</si>
  <si>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</si>
  <si>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</si>
  <si>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</si>
  <si>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</si>
  <si>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</si>
  <si>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</si>
  <si>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</si>
  <si>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</si>
  <si>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</si>
  <si>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</si>
  <si>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</si>
  <si>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</si>
  <si>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</si>
  <si>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</si>
  <si>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</si>
  <si>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</si>
  <si>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</si>
  <si>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</si>
  <si>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</si>
  <si>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</si>
  <si>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</si>
  <si>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</si>
  <si>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</si>
  <si>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</si>
  <si>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</si>
  <si>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</si>
  <si>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</si>
  <si>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</si>
  <si>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</si>
  <si>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</si>
  <si>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</si>
  <si>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</si>
  <si>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</si>
  <si>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</si>
  <si>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</si>
  <si>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</si>
  <si>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</si>
  <si>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</si>
  <si>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</si>
  <si>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</si>
  <si>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</si>
  <si>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</si>
  <si>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</si>
  <si>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</si>
  <si>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</si>
  <si>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</si>
  <si>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</si>
  <si>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</si>
  <si>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</si>
  <si>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</si>
  <si>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</si>
  <si>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</si>
  <si>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</si>
  <si>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</si>
  <si>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</si>
  <si>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</si>
  <si>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</si>
  <si>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</si>
  <si>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</si>
  <si>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</si>
  <si>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</si>
  <si>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</si>
  <si>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</si>
  <si>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</si>
  <si>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</si>
  <si>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</si>
  <si>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</si>
  <si>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</si>
  <si>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</si>
  <si>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</si>
  <si>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</si>
  <si>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</si>
  <si>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</si>
  <si>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</si>
  <si>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</si>
  <si>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</si>
  <si>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</si>
  <si>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</si>
  <si>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</si>
  <si>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</si>
  <si>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</si>
  <si>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</si>
  <si>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</si>
  <si>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</si>
  <si>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</si>
  <si>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</si>
  <si>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</si>
  <si>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</si>
  <si>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</si>
  <si>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</si>
  <si>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</si>
  <si>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</si>
  <si>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</si>
  <si>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</si>
  <si>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</si>
  <si>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</si>
  <si>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</si>
  <si>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</si>
  <si>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</si>
  <si>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</si>
  <si>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</si>
  <si>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</si>
  <si>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</si>
  <si>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</si>
  <si>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</si>
  <si>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</si>
  <si>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</si>
  <si>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</si>
  <si>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</si>
  <si>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</si>
  <si>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</si>
  <si>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</si>
  <si>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</si>
  <si>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</si>
  <si>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</si>
  <si>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</si>
  <si>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</si>
  <si>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</si>
  <si>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</si>
  <si>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</si>
  <si>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</si>
  <si>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</si>
  <si>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</si>
  <si>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</si>
  <si>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</si>
  <si>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</si>
  <si>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</si>
  <si>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</si>
  <si>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</si>
  <si>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</si>
  <si>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</si>
  <si>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</si>
  <si>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</si>
  <si>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</si>
  <si>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</si>
  <si>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</si>
  <si>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</si>
  <si>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</si>
  <si>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</si>
  <si>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</si>
  <si>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</si>
  <si>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</si>
  <si>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</si>
  <si>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</si>
  <si>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</si>
  <si>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</si>
  <si>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</si>
  <si>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</si>
  <si>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</si>
  <si>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</si>
  <si>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</si>
  <si>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</si>
  <si>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</si>
  <si>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</si>
  <si>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</si>
  <si>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</si>
  <si>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</si>
  <si>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</si>
  <si>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</si>
  <si>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</si>
  <si>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</si>
  <si>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</si>
  <si>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</si>
  <si>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</si>
  <si>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</si>
  <si>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</si>
  <si>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</si>
  <si>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</si>
  <si>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</si>
  <si>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</si>
  <si>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</si>
  <si>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</si>
  <si>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</si>
  <si>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</si>
  <si>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</si>
  <si>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</si>
  <si>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</si>
  <si>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</si>
  <si>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</si>
  <si>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</si>
  <si>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</si>
  <si>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</si>
  <si>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</si>
  <si>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</si>
  <si>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</si>
  <si>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</si>
  <si>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</si>
  <si>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</si>
  <si>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</si>
  <si>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</si>
  <si>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</si>
  <si>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</si>
  <si>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</si>
  <si>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</si>
  <si>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</si>
  <si>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</si>
  <si>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</si>
  <si>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</si>
  <si>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</si>
  <si>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</si>
  <si>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</si>
  <si>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</si>
  <si>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</si>
  <si>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</si>
  <si>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</si>
  <si>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</si>
  <si>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</si>
  <si>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</si>
  <si>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</si>
  <si>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</si>
  <si>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</si>
  <si>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</si>
  <si>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</si>
  <si>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</si>
  <si>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</si>
  <si>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</si>
  <si>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</si>
  <si>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</si>
  <si>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</si>
  <si>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</si>
  <si>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</si>
  <si>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</si>
  <si>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</si>
  <si>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</si>
  <si>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</si>
  <si>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</si>
  <si>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</si>
  <si>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</si>
  <si>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</si>
  <si>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</si>
  <si>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</si>
  <si>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</si>
  <si>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</si>
  <si>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</si>
  <si>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</si>
  <si>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</si>
  <si>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</si>
  <si>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</si>
  <si>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</si>
  <si>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</si>
  <si>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</si>
  <si>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</si>
  <si>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</si>
  <si>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</si>
  <si>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</si>
  <si>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</si>
  <si>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</si>
  <si>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</si>
  <si>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</si>
  <si>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</si>
  <si>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</si>
  <si>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</si>
  <si>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</si>
  <si>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</si>
  <si>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</si>
  <si>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</si>
  <si>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</si>
  <si>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</si>
  <si>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</si>
  <si>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</si>
  <si>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</si>
  <si>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</si>
  <si>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</si>
  <si>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</si>
  <si>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</si>
  <si>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</si>
  <si>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</si>
  <si>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</si>
  <si>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</si>
  <si>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</si>
  <si>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</si>
  <si>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</si>
  <si>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</si>
  <si>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</si>
  <si>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</si>
  <si>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</si>
  <si>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</si>
  <si>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</si>
  <si>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</si>
  <si>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</si>
  <si>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</si>
  <si>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</si>
  <si>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</si>
  <si>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</si>
  <si>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</si>
  <si>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</si>
  <si>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</si>
  <si>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</si>
  <si>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</si>
  <si>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</si>
  <si>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</si>
  <si>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</si>
  <si>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</si>
  <si>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</si>
  <si>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</si>
  <si>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</si>
  <si>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</si>
  <si>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</si>
  <si>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</si>
  <si>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</si>
  <si>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</si>
  <si>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</si>
  <si>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</si>
  <si>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</si>
  <si>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</si>
  <si>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</si>
  <si>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</si>
  <si>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</si>
  <si>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</si>
  <si>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</si>
  <si>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</si>
  <si>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</si>
  <si>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</si>
  <si>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</si>
  <si>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</si>
  <si>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</si>
  <si>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</si>
  <si>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</si>
  <si>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</si>
  <si>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</si>
  <si>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</si>
  <si>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</si>
  <si>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</si>
  <si>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</si>
  <si>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</si>
  <si>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</si>
  <si>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</si>
  <si>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</si>
  <si>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</si>
  <si>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</si>
  <si>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</si>
  <si>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</si>
  <si>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</si>
  <si>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</si>
  <si>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</si>
  <si>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</si>
  <si>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</si>
  <si>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</si>
  <si>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</si>
  <si>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</si>
  <si>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</si>
  <si>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</si>
  <si>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</si>
  <si>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</si>
  <si>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</si>
  <si>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</si>
  <si>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</si>
  <si>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</si>
  <si>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</si>
  <si>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</si>
  <si>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</si>
  <si>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</si>
  <si>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</si>
  <si>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</si>
  <si>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</si>
  <si>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</si>
  <si>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</si>
  <si>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</si>
  <si>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</si>
  <si>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</si>
  <si>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</si>
  <si>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</si>
  <si>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</si>
  <si>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</si>
  <si>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</si>
  <si>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</si>
  <si>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</si>
  <si>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</si>
  <si>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</si>
  <si>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</si>
  <si>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</si>
  <si>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</si>
  <si>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</si>
  <si>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</si>
  <si>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</si>
  <si>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</si>
  <si>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</si>
  <si>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</si>
  <si>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</si>
  <si>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</si>
  <si>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</si>
  <si>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</si>
  <si>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</si>
  <si>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</si>
  <si>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</si>
  <si>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</si>
  <si>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</si>
  <si>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</si>
  <si>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</si>
  <si>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</si>
  <si>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</si>
  <si>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</si>
  <si>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</si>
  <si>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</si>
  <si>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</si>
  <si>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</si>
  <si>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</si>
  <si>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</si>
  <si>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</si>
  <si>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</si>
  <si>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</si>
  <si>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</si>
  <si>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</si>
  <si>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</si>
  <si>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</si>
  <si>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</si>
  <si>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</si>
  <si>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</si>
  <si>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</si>
  <si>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</si>
  <si>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</si>
  <si>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</si>
  <si>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</si>
  <si>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</si>
  <si>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</si>
  <si>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</si>
  <si>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</si>
  <si>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</si>
  <si>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</si>
  <si>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</si>
  <si>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</si>
  <si>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</si>
  <si>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</si>
  <si>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</si>
  <si>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</si>
  <si>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</si>
  <si>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</si>
  <si>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</si>
  <si>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</si>
  <si>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</si>
  <si>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</si>
  <si>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</si>
  <si>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</si>
  <si>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</si>
  <si>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</si>
  <si>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</si>
  <si>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</si>
  <si>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</si>
  <si>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</si>
  <si>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</si>
  <si>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</si>
  <si>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</si>
  <si>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</si>
  <si>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</si>
  <si>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</si>
  <si>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</si>
  <si>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</si>
  <si>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</si>
  <si>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</si>
  <si>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</si>
  <si>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</si>
  <si>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</si>
  <si>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</si>
  <si>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</si>
  <si>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</si>
  <si>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</si>
  <si>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</si>
  <si>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</si>
  <si>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</si>
  <si>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</si>
  <si>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</si>
  <si>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</si>
  <si>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</si>
  <si>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</si>
  <si>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</si>
  <si>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</si>
  <si>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</si>
  <si>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</si>
  <si>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</si>
  <si>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</si>
  <si>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</si>
  <si>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</si>
  <si>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</si>
  <si>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</si>
  <si>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</si>
  <si>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</si>
  <si>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</si>
  <si>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</si>
  <si>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</si>
  <si>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</si>
  <si>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</si>
  <si>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</si>
  <si>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</si>
  <si>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</si>
  <si>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</si>
  <si>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</si>
  <si>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</si>
  <si>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</si>
  <si>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</si>
  <si>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</si>
  <si>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</si>
  <si>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</si>
  <si>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</si>
  <si>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</si>
  <si>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</si>
  <si>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</si>
  <si>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</si>
  <si>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</si>
  <si>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</si>
  <si>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</si>
  <si>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</si>
  <si>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</si>
  <si>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</si>
  <si>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</si>
  <si>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</si>
  <si>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</si>
  <si>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</si>
  <si>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</si>
  <si>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</si>
  <si>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</si>
  <si>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</si>
  <si>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</si>
  <si>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</si>
  <si>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</si>
  <si>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</si>
  <si>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</si>
  <si>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</si>
  <si>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</si>
  <si>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</si>
  <si>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</si>
  <si>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</si>
  <si>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</si>
  <si>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</si>
  <si>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</si>
  <si>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</si>
  <si>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</si>
  <si>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</si>
  <si>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</si>
  <si>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</si>
  <si>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</si>
  <si>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</si>
  <si>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</si>
  <si>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</si>
  <si>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</si>
  <si>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</si>
  <si>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</si>
  <si>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</si>
  <si>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</si>
  <si>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</si>
  <si>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</si>
  <si>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</si>
  <si>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</si>
  <si>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</si>
  <si>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</si>
  <si>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</si>
  <si>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</si>
  <si>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</si>
  <si>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</si>
  <si>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</si>
  <si>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</si>
  <si>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</si>
  <si>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</si>
  <si>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</si>
  <si>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</si>
  <si>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</si>
  <si>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</si>
  <si>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</si>
  <si>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</si>
  <si>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</si>
  <si>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</si>
  <si>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</si>
  <si>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</si>
  <si>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</si>
  <si>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</si>
  <si>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</si>
  <si>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</si>
  <si>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</si>
  <si>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</si>
  <si>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</si>
  <si>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</si>
  <si>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</si>
  <si>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</si>
  <si>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</si>
  <si>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</si>
  <si>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</si>
  <si>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</si>
  <si>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</si>
  <si>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</si>
  <si>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</si>
  <si>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</si>
  <si>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</si>
  <si>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</si>
  <si>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</si>
  <si>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</si>
  <si>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</si>
  <si>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</si>
  <si>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</si>
  <si>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</si>
  <si>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</si>
  <si>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</si>
  <si>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</si>
  <si>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</si>
  <si>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</si>
  <si>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</si>
  <si>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</si>
  <si>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</si>
  <si>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</si>
  <si>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</si>
  <si>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</si>
  <si>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</si>
  <si>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</si>
  <si>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</si>
  <si>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</si>
  <si>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</si>
  <si>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</si>
  <si>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</si>
  <si>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</si>
  <si>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</si>
  <si>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</si>
  <si>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</si>
  <si>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</si>
  <si>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</si>
  <si>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</si>
  <si>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</si>
  <si>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</si>
  <si>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</si>
  <si>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</si>
  <si>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</si>
  <si>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</si>
  <si>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</si>
  <si>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</si>
  <si>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</si>
  <si>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</si>
  <si>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</si>
  <si>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</si>
  <si>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</si>
  <si>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</si>
  <si>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</si>
  <si>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</si>
  <si>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</si>
  <si>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</si>
  <si>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</si>
  <si>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</si>
  <si>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</si>
  <si>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</si>
  <si>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</si>
  <si>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</si>
  <si>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</si>
  <si>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</si>
  <si>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</si>
  <si>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</si>
  <si>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</si>
  <si>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</si>
  <si>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</si>
  <si>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</si>
  <si>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</si>
  <si>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</si>
  <si>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</si>
  <si>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</si>
  <si>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</si>
  <si>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</si>
  <si>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</si>
  <si>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</si>
  <si>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</si>
  <si>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</si>
  <si>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</si>
  <si>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</si>
  <si>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</si>
  <si>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</si>
  <si>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</si>
  <si>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</si>
  <si>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</si>
  <si>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</si>
  <si>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</si>
  <si>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</si>
  <si>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</si>
  <si>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</si>
  <si>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</si>
  <si>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</si>
  <si>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</si>
  <si>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</si>
  <si>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</si>
  <si>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</si>
  <si>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</si>
  <si>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</si>
  <si>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</si>
  <si>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</si>
  <si>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</si>
  <si>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</si>
  <si>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</si>
  <si>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</si>
  <si>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</si>
  <si>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</si>
  <si>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</si>
  <si>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</si>
  <si>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</si>
  <si>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</si>
  <si>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</si>
  <si>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</si>
  <si>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</si>
  <si>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</si>
  <si>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</si>
  <si>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</si>
  <si>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</si>
  <si>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</si>
  <si>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</si>
  <si>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</si>
  <si>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</si>
  <si>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</si>
  <si>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</si>
  <si>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</si>
  <si>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</si>
  <si>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</si>
  <si>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</si>
  <si>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</si>
  <si>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</si>
  <si>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</si>
  <si>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</si>
  <si>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</si>
  <si>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</si>
  <si>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</si>
  <si>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</si>
  <si>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</si>
  <si>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</si>
  <si>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</si>
  <si>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</si>
  <si>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</si>
  <si>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</si>
  <si>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</si>
  <si>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</si>
  <si>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</si>
  <si>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</si>
  <si>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</si>
  <si>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</si>
  <si>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</si>
  <si>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</si>
  <si>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</si>
  <si>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</si>
  <si>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</si>
  <si>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</si>
  <si>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</si>
  <si>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</si>
  <si>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</si>
  <si>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</si>
  <si>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</si>
  <si>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</si>
  <si>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</si>
  <si>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</si>
  <si>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</si>
  <si>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</si>
  <si>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</si>
  <si>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</si>
  <si>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</si>
  <si>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</si>
  <si>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</si>
  <si>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</si>
  <si>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</si>
  <si>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</si>
  <si>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</si>
  <si>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</si>
  <si>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</si>
  <si>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</si>
  <si>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</si>
  <si>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</si>
  <si>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</si>
  <si>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</si>
  <si>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</si>
  <si>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</si>
  <si>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</si>
  <si>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</si>
  <si>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</si>
  <si>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</si>
  <si>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</si>
  <si>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</si>
  <si>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</si>
  <si>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</si>
  <si>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</si>
  <si>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</si>
  <si>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</si>
  <si>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</si>
  <si>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</si>
  <si>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</si>
  <si>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</si>
  <si>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</si>
  <si>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</si>
  <si>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</si>
  <si>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</si>
  <si>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</si>
  <si>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</si>
  <si>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</si>
  <si>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</si>
  <si>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</si>
  <si>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</si>
  <si>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</si>
  <si>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</si>
  <si>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</si>
  <si>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</si>
  <si>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</si>
  <si>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</si>
  <si>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</si>
  <si>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</si>
  <si>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</si>
  <si>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</si>
  <si>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</si>
  <si>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</si>
  <si>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</si>
  <si>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</si>
  <si>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</si>
  <si>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</si>
  <si>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</si>
  <si>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</si>
  <si>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</si>
  <si>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</si>
  <si>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</si>
  <si>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</si>
  <si>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</si>
  <si>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</si>
  <si>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</si>
  <si>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</si>
  <si>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</si>
  <si>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</si>
  <si>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</si>
  <si>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</si>
  <si>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</si>
  <si>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</si>
  <si>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</si>
  <si>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</si>
  <si>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</si>
  <si>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</si>
  <si>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</si>
  <si>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</si>
  <si>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</si>
  <si>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</si>
  <si>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</si>
  <si>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</si>
  <si>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</si>
  <si>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</si>
  <si>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</si>
  <si>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</si>
  <si>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</si>
  <si>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</si>
  <si>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</si>
  <si>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</si>
  <si>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</si>
  <si>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</si>
  <si>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</si>
  <si>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</si>
  <si>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</si>
  <si>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</si>
  <si>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</si>
  <si>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</si>
  <si>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</si>
  <si>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</si>
  <si>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</si>
  <si>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</si>
  <si>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</si>
  <si>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</si>
  <si>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</si>
  <si>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</si>
  <si>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</si>
  <si>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</si>
  <si>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</si>
  <si>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</si>
  <si>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</si>
  <si>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</si>
  <si>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</si>
  <si>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</si>
  <si>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</si>
  <si>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</si>
  <si>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</si>
  <si>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</si>
  <si>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</si>
  <si>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</si>
  <si>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</si>
  <si>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</si>
  <si>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</si>
  <si>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</si>
  <si>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</si>
  <si>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</si>
  <si>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</si>
  <si>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</si>
  <si>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</si>
  <si>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</si>
  <si>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</si>
  <si>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</si>
  <si>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</si>
  <si>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</si>
  <si>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</si>
  <si>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</si>
  <si>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</si>
  <si>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</si>
  <si>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</si>
  <si>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</si>
  <si>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</si>
  <si>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</si>
  <si>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</si>
  <si>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</si>
  <si>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</si>
  <si>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</si>
  <si>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</si>
  <si>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</si>
  <si>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</si>
  <si>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</si>
  <si>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</si>
  <si>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</si>
  <si>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</si>
  <si>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</si>
  <si>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</si>
  <si>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</si>
  <si>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</si>
  <si>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</si>
  <si>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</si>
  <si>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</si>
  <si>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</si>
  <si>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</si>
  <si>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</si>
  <si>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</si>
  <si>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</si>
  <si>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</si>
  <si>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</si>
  <si>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</si>
  <si>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</si>
  <si>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</si>
  <si>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</si>
  <si>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</si>
  <si>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</si>
  <si>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</si>
  <si>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</si>
  <si>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</si>
  <si>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</si>
  <si>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</si>
  <si>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</si>
  <si>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</si>
  <si>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</si>
  <si>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</si>
  <si>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</si>
  <si>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</si>
  <si>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</si>
  <si>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</si>
  <si>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</si>
  <si>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</si>
  <si>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</si>
  <si>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</si>
  <si>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</si>
  <si>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</si>
  <si>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</si>
  <si>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</si>
  <si>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</si>
  <si>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</si>
  <si>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</si>
  <si>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</si>
  <si>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</si>
  <si>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</si>
  <si>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</si>
  <si>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</si>
  <si>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</si>
  <si>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</si>
  <si>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</si>
  <si>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</si>
  <si>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</si>
  <si>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</si>
  <si>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</si>
  <si>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</si>
  <si>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</si>
  <si>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</si>
  <si>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</si>
  <si>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</si>
  <si>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</si>
  <si>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</si>
  <si>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</si>
  <si>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</si>
  <si>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</si>
  <si>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</si>
  <si>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</si>
  <si>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</si>
  <si>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</si>
  <si>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</si>
  <si>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</si>
  <si>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</si>
  <si>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</si>
  <si>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</si>
  <si>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</si>
  <si>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</si>
  <si>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</si>
  <si>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</si>
  <si>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</si>
  <si>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</si>
  <si>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</si>
  <si>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</si>
  <si>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</si>
  <si>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</si>
  <si>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</si>
  <si>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</si>
  <si>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</si>
  <si>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</si>
  <si>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</si>
  <si>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</si>
  <si>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</si>
  <si>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</si>
  <si>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</si>
  <si>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</si>
  <si>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</si>
  <si>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</si>
  <si>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</si>
  <si>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</si>
  <si>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</si>
  <si>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</si>
  <si>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</si>
  <si>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</si>
  <si>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</si>
  <si>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</si>
  <si>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</si>
  <si>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</si>
  <si>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</si>
  <si>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</si>
  <si>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</si>
  <si>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</si>
  <si>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</si>
  <si>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</si>
  <si>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</si>
  <si>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</si>
  <si>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</si>
  <si>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</si>
  <si>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</si>
  <si>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</si>
  <si>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</si>
  <si>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</si>
  <si>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</si>
  <si>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</si>
  <si>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</si>
  <si>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</si>
  <si>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</si>
  <si>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</si>
  <si>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</si>
  <si>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</si>
  <si>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</si>
  <si>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</si>
  <si>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</si>
  <si>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</si>
  <si>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</si>
  <si>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</si>
  <si>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</si>
  <si>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</si>
  <si>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</si>
  <si>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</si>
  <si>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</si>
  <si>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</si>
  <si>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</si>
  <si>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</si>
  <si>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</si>
  <si>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</si>
  <si>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</si>
  <si>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</si>
  <si>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</si>
  <si>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</si>
  <si>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</si>
  <si>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</si>
  <si>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</si>
  <si>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</si>
  <si>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</si>
  <si>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</si>
  <si>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</si>
  <si>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</si>
  <si>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</si>
  <si>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</si>
  <si>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</si>
  <si>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</si>
  <si>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</si>
  <si>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</si>
  <si>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</si>
  <si>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</si>
  <si>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</si>
  <si>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</si>
  <si>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</si>
  <si>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</si>
  <si>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</si>
  <si>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</si>
  <si>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</si>
  <si>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</si>
  <si>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</si>
  <si>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</si>
  <si>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</si>
  <si>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</si>
  <si>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</si>
  <si>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</si>
  <si>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</si>
  <si>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</si>
  <si>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</si>
  <si>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</si>
  <si>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</si>
  <si>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</si>
  <si>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</si>
  <si>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</si>
  <si>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</si>
  <si>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</si>
  <si>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</si>
  <si>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</si>
  <si>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</si>
  <si>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</si>
  <si>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</si>
  <si>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</si>
  <si>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</si>
  <si>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</si>
  <si>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</si>
  <si>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</si>
  <si>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</si>
  <si>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</si>
  <si>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</si>
  <si>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</si>
  <si>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</si>
  <si>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</si>
  <si>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</si>
  <si>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</si>
  <si>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</si>
  <si>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</si>
  <si>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</si>
  <si>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</si>
  <si>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</si>
  <si>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</si>
  <si>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</si>
  <si>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</si>
  <si>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</si>
  <si>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</si>
  <si>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</si>
  <si>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</si>
  <si>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</si>
  <si>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</si>
  <si>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</si>
  <si>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</si>
  <si>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</si>
  <si>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</si>
  <si>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</si>
  <si>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</si>
  <si>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</si>
  <si>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</si>
  <si>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</si>
  <si>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</si>
  <si>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</si>
  <si>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</si>
  <si>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</si>
  <si>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</si>
  <si>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</si>
  <si>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</si>
  <si>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</si>
  <si>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</si>
  <si>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</si>
  <si>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</si>
  <si>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</si>
  <si>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</si>
  <si>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</si>
  <si>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</si>
  <si>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</si>
  <si>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</si>
  <si>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</si>
  <si>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</si>
  <si>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</si>
  <si>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</si>
  <si>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</si>
  <si>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</si>
  <si>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</si>
  <si>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</si>
  <si>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</si>
  <si>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</si>
  <si>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</si>
  <si>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</si>
  <si>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</si>
  <si>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</si>
  <si>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</si>
  <si>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</si>
  <si>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</si>
  <si>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</si>
  <si>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</si>
  <si>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</si>
  <si>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</si>
  <si>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</si>
  <si>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</si>
  <si>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</si>
  <si>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</si>
  <si>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</si>
  <si>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</si>
  <si>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</si>
  <si>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</si>
  <si>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</si>
  <si>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</si>
  <si>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</si>
  <si>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</si>
  <si>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</si>
  <si>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</si>
  <si>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</si>
  <si>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</si>
  <si>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</si>
  <si>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</si>
  <si>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</si>
  <si>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</si>
  <si>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</si>
  <si>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</si>
  <si>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</si>
  <si>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</si>
  <si>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</si>
  <si>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</si>
  <si>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</si>
  <si>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</si>
  <si>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</si>
  <si>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</si>
  <si>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</si>
  <si>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</si>
  <si>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</si>
  <si>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</si>
  <si>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</si>
  <si>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</si>
  <si>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</si>
  <si>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</si>
  <si>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</si>
  <si>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</si>
  <si>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</si>
  <si>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</si>
  <si>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</si>
  <si>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</si>
  <si>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</si>
  <si>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</si>
  <si>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</si>
  <si>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</si>
  <si>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</si>
  <si>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</si>
  <si>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</si>
  <si>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</si>
  <si>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</si>
  <si>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</si>
  <si>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</si>
  <si>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</si>
  <si>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</si>
  <si>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</si>
  <si>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</si>
  <si>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</si>
  <si>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</si>
  <si>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</si>
  <si>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</si>
  <si>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</si>
  <si>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</si>
  <si>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</si>
  <si>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</si>
  <si>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</si>
  <si>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</si>
  <si>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</si>
  <si>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</si>
  <si>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</si>
  <si>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</si>
  <si>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</si>
  <si>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</si>
  <si>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</si>
  <si>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</si>
  <si>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</si>
  <si>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</si>
  <si>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</si>
  <si>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</si>
  <si>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</si>
  <si>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</si>
  <si>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</si>
  <si>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</si>
  <si>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</si>
  <si>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</si>
  <si>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</si>
  <si>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</si>
  <si>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</si>
  <si>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</si>
  <si>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</si>
  <si>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</si>
  <si>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</si>
  <si>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</si>
  <si>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</si>
  <si>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</si>
  <si>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</si>
  <si>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</si>
  <si>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</si>
  <si>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</si>
  <si>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</si>
  <si>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</si>
  <si>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</si>
  <si>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</si>
  <si>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</si>
  <si>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</si>
  <si>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</si>
  <si>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</si>
  <si>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</si>
  <si>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</si>
  <si>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</si>
  <si>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</si>
  <si>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</si>
  <si>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</si>
  <si>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</si>
  <si>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</si>
  <si>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</si>
  <si>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</si>
  <si>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</si>
  <si>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</si>
  <si>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</si>
  <si>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</si>
  <si>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</si>
  <si>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</si>
  <si>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</si>
  <si>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</si>
  <si>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</si>
  <si>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</si>
  <si>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</si>
  <si>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</si>
  <si>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</si>
  <si>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</si>
  <si>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</si>
  <si>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</si>
  <si>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</si>
  <si>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</si>
  <si>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</si>
  <si>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</si>
  <si>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</si>
  <si>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</si>
  <si>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</si>
  <si>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</si>
  <si>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</si>
  <si>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</si>
  <si>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</si>
  <si>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</si>
  <si>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</si>
  <si>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</si>
  <si>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</si>
  <si>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</si>
  <si>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</si>
  <si>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</si>
  <si>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</si>
  <si>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</si>
  <si>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</si>
  <si>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</si>
  <si>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</si>
  <si>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</si>
  <si>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</si>
  <si>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</si>
  <si>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</si>
  <si>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</si>
  <si>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</si>
  <si>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</si>
  <si>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</si>
  <si>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</si>
  <si>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</si>
  <si>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</si>
  <si>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</si>
  <si>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</si>
  <si>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</si>
  <si>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</si>
  <si>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</si>
  <si>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</si>
  <si>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</si>
  <si>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</si>
  <si>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</si>
  <si>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</si>
  <si>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</si>
  <si>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</si>
  <si>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</si>
  <si>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</si>
  <si>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</si>
  <si>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</si>
  <si>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</si>
  <si>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</si>
  <si>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</si>
  <si>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</si>
  <si>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</si>
  <si>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</si>
  <si>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</si>
  <si>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</si>
  <si>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</si>
  <si>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</si>
  <si>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</si>
  <si>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</si>
  <si>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</si>
  <si>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</si>
  <si>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</si>
  <si>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</si>
  <si>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</si>
  <si>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</si>
  <si>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</si>
  <si>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</si>
  <si>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</si>
  <si>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</si>
  <si>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</si>
  <si>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</si>
  <si>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</si>
  <si>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</si>
  <si>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</si>
  <si>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</si>
  <si>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</si>
  <si>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</si>
  <si>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</si>
  <si>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</si>
  <si>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</si>
  <si>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</si>
  <si>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</si>
  <si>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</si>
  <si>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</si>
  <si>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</si>
  <si>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</si>
  <si>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</si>
  <si>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</si>
  <si>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</si>
  <si>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</si>
  <si>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</si>
  <si>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</si>
  <si>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</si>
  <si>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</si>
  <si>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</si>
  <si>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</si>
  <si>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</si>
  <si>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</si>
  <si>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</si>
  <si>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</si>
  <si>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</si>
  <si>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</si>
  <si>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</si>
  <si>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</si>
  <si>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</si>
  <si>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</si>
  <si>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</si>
  <si>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</si>
  <si>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</si>
  <si>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</si>
  <si>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</si>
  <si>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</si>
  <si>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</si>
  <si>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</si>
  <si>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</si>
  <si>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</si>
  <si>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</si>
  <si>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</si>
  <si>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</si>
  <si>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</si>
  <si>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</si>
  <si>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</si>
  <si>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</si>
  <si>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</si>
  <si>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</si>
  <si>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</si>
  <si>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</si>
  <si>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</si>
  <si>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</si>
  <si>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</si>
  <si>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</si>
  <si>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</si>
  <si>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</si>
  <si>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</si>
  <si>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</si>
  <si>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</si>
  <si>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</si>
  <si>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</si>
  <si>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</si>
  <si>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</si>
  <si>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</si>
  <si>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</si>
  <si>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</si>
  <si>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</si>
  <si>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</si>
  <si>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</si>
  <si>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</si>
  <si>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</si>
  <si>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</si>
  <si>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</si>
  <si>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</si>
  <si>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</si>
  <si>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</si>
  <si>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</si>
  <si>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</si>
  <si>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</si>
  <si>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</si>
  <si>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</si>
  <si>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</si>
  <si>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</si>
  <si>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</si>
  <si>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</si>
  <si>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</si>
  <si>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</si>
  <si>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</si>
  <si>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</si>
  <si>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</si>
  <si>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</si>
  <si>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</si>
  <si>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</si>
  <si>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</si>
  <si>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</si>
  <si>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</si>
  <si>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</si>
  <si>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</si>
  <si>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</si>
  <si>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</si>
  <si>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</si>
  <si>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</si>
  <si>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</si>
  <si>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</si>
  <si>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</si>
  <si>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</si>
  <si>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</si>
  <si>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</si>
  <si>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</si>
  <si>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</si>
  <si>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</si>
  <si>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</si>
  <si>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</si>
  <si>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</si>
  <si>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</si>
  <si>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</si>
  <si>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</si>
  <si>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</si>
  <si>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</si>
  <si>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</si>
  <si>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</si>
  <si>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</si>
  <si>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</si>
  <si>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</si>
  <si>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</si>
  <si>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</si>
  <si>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</si>
  <si>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</si>
  <si>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</si>
  <si>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</si>
  <si>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</si>
  <si>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</si>
  <si>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</si>
  <si>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</si>
  <si>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</si>
  <si>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</si>
  <si>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</si>
  <si>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</si>
  <si>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</si>
  <si>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</si>
  <si>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</si>
  <si>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</si>
  <si>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</si>
  <si>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</si>
  <si>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</si>
  <si>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</si>
  <si>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</si>
  <si>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</si>
  <si>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</si>
  <si>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</si>
  <si>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</si>
  <si>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</si>
  <si>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</si>
  <si>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</si>
  <si>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</si>
  <si>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</si>
  <si>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</si>
  <si>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</si>
  <si>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</si>
  <si>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</si>
  <si>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</si>
  <si>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</si>
  <si>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</si>
  <si>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</si>
  <si>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</si>
  <si>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</si>
  <si>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</si>
  <si>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</si>
  <si>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</si>
  <si>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</si>
  <si>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</si>
  <si>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</si>
  <si>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</si>
  <si>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</si>
  <si>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</si>
  <si>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</si>
  <si>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</si>
  <si>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</si>
  <si>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</si>
  <si>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</si>
  <si>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</si>
  <si>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</si>
  <si>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</si>
  <si>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</si>
  <si>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</si>
  <si>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</si>
  <si>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</si>
  <si>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</si>
  <si>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</si>
  <si>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</si>
  <si>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</si>
  <si>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</si>
  <si>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</si>
  <si>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</si>
  <si>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</si>
  <si>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</si>
  <si>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</si>
  <si>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</si>
  <si>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</si>
  <si>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</si>
  <si>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</si>
  <si>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</si>
  <si>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</si>
  <si>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</si>
  <si>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</si>
  <si>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</si>
  <si>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</si>
  <si>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</si>
  <si>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</si>
  <si>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</si>
  <si>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</si>
  <si>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</si>
  <si>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</si>
  <si>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</si>
  <si>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</si>
  <si>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</si>
  <si>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</si>
  <si>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</si>
  <si>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</si>
  <si>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</si>
  <si>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</si>
  <si>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</si>
  <si>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</si>
  <si>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</si>
  <si>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</si>
  <si>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</si>
  <si>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</si>
  <si>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</si>
  <si>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</si>
  <si>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</si>
  <si>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</si>
  <si>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</si>
  <si>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</si>
  <si>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</si>
  <si>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</si>
  <si>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</si>
  <si>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</si>
  <si>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</si>
  <si>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</si>
  <si>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</si>
  <si>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</si>
  <si>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</si>
  <si>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</si>
  <si>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</si>
  <si>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</si>
  <si>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</si>
  <si>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</si>
  <si>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</si>
  <si>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</si>
  <si>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</si>
  <si>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</si>
  <si>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</si>
  <si>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</si>
  <si>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</si>
  <si>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</si>
  <si>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</si>
  <si>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</si>
  <si>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</si>
  <si>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</si>
  <si>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</si>
  <si>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</si>
  <si>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</si>
  <si>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</si>
  <si>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</si>
  <si>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</si>
  <si>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</si>
  <si>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</si>
  <si>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</si>
  <si>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</si>
  <si>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</si>
  <si>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</si>
  <si>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</si>
  <si>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</si>
  <si>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</si>
  <si>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</si>
  <si>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</si>
  <si>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</si>
  <si>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</si>
  <si>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</si>
  <si>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</si>
  <si>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</si>
  <si>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</si>
  <si>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</si>
  <si>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</si>
  <si>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</si>
  <si>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</si>
  <si>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</si>
  <si>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</si>
  <si>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</si>
  <si>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</si>
  <si>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</si>
  <si>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</si>
  <si>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</si>
  <si>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</si>
  <si>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</si>
  <si>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</si>
  <si>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</si>
  <si>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</si>
  <si>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</si>
  <si>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</si>
  <si>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</si>
  <si>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</si>
  <si>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</si>
  <si>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</si>
  <si>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</si>
  <si>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</si>
  <si>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</si>
  <si>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</si>
  <si>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</si>
  <si>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</si>
  <si>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</si>
  <si>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</si>
  <si>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</si>
  <si>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</si>
  <si>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</si>
  <si>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</si>
  <si>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</si>
  <si>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</si>
  <si>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</si>
  <si>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</si>
  <si>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</si>
  <si>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</si>
  <si>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</si>
  <si>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</si>
  <si>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</si>
  <si>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</si>
  <si>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</si>
  <si>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</si>
  <si>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</si>
  <si>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</si>
  <si>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</si>
  <si>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</si>
  <si>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</si>
  <si>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</si>
  <si>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</si>
  <si>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</si>
  <si>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</si>
  <si>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</si>
  <si>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</si>
  <si>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</si>
  <si>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</si>
  <si>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</si>
  <si>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</si>
  <si>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</si>
  <si>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</si>
  <si>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</si>
  <si>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</si>
  <si>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</si>
  <si>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</si>
  <si>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</si>
  <si>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</si>
  <si>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</si>
  <si>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</si>
  <si>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</si>
  <si>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</si>
  <si>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</si>
  <si>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</si>
  <si>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</si>
  <si>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</si>
  <si>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</si>
  <si>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</si>
  <si>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</si>
  <si>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</si>
  <si>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</si>
  <si>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</si>
  <si>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</si>
  <si>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</si>
  <si>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</si>
  <si>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</si>
  <si>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</si>
  <si>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</si>
  <si>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</si>
  <si>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</si>
  <si>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</si>
  <si>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</si>
  <si>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</si>
  <si>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</si>
  <si>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</si>
  <si>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</si>
  <si>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</si>
  <si>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</si>
  <si>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</si>
  <si>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</si>
  <si>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</si>
  <si>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</si>
  <si>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</si>
  <si>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</si>
  <si>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</si>
  <si>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</si>
  <si>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</si>
  <si>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</si>
  <si>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</si>
  <si>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</si>
  <si>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</si>
  <si>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</si>
  <si>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</si>
  <si>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</si>
  <si>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</si>
  <si>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</si>
  <si>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</si>
  <si>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</si>
  <si>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</si>
  <si>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</si>
  <si>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</si>
  <si>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</si>
  <si>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</si>
  <si>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</si>
  <si>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</si>
  <si>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</si>
  <si>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</si>
  <si>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</si>
  <si>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</si>
  <si>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</si>
  <si>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</si>
  <si>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</si>
  <si>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</si>
  <si>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</si>
  <si>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</si>
  <si>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</si>
  <si>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</si>
  <si>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</si>
  <si>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</si>
  <si>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</si>
  <si>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</si>
  <si>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</si>
  <si>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</si>
  <si>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</si>
  <si>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</si>
  <si>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</si>
  <si>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</si>
  <si>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</si>
  <si>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</si>
  <si>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</si>
  <si>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</si>
  <si>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</si>
  <si>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</si>
  <si>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</si>
  <si>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</si>
  <si>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</si>
  <si>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</si>
  <si>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</si>
  <si>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</si>
  <si>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</si>
  <si>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</si>
  <si>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</si>
  <si>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</si>
  <si>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</si>
  <si>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</si>
  <si>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</si>
  <si>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</si>
  <si>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</si>
  <si>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</si>
  <si>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</si>
  <si>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</si>
  <si>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</si>
  <si>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</si>
  <si>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</si>
  <si>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</si>
  <si>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</si>
  <si>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</si>
  <si>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</si>
  <si>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</si>
  <si>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</si>
  <si>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</si>
  <si>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</si>
  <si>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</si>
  <si>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</si>
  <si>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</si>
  <si>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</si>
  <si>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</si>
  <si>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</si>
  <si>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</si>
  <si>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</si>
  <si>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</si>
  <si>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</si>
  <si>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</si>
  <si>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</si>
  <si>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</si>
  <si>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</si>
  <si>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</si>
  <si>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</si>
  <si>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</si>
  <si>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</si>
  <si>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</si>
  <si>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</si>
  <si>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</si>
  <si>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</si>
  <si>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</si>
  <si>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</si>
  <si>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</si>
  <si>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</si>
  <si>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</si>
  <si>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</si>
  <si>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</si>
  <si>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</si>
  <si>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</si>
  <si>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</si>
  <si>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</si>
  <si>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</si>
  <si>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</si>
  <si>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</si>
  <si>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</si>
  <si>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</si>
  <si>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</si>
  <si>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</si>
  <si>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</si>
  <si>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</si>
  <si>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</si>
  <si>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</si>
  <si>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</si>
  <si>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</si>
  <si>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</si>
  <si>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</si>
  <si>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</si>
  <si>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</si>
  <si>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</si>
  <si>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</si>
  <si>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</si>
  <si>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</si>
  <si>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</si>
  <si>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</si>
  <si>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</si>
  <si>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</si>
  <si>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</si>
  <si>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</si>
  <si>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</si>
  <si>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</si>
  <si>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</si>
  <si>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</si>
  <si>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</si>
  <si>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</si>
  <si>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</si>
  <si>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</si>
  <si>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</si>
  <si>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</si>
  <si>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</si>
  <si>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</si>
  <si>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</si>
  <si>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</si>
  <si>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</si>
  <si>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</si>
  <si>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</si>
  <si>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</si>
  <si>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</si>
  <si>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</si>
  <si>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</si>
  <si>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</si>
  <si>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</si>
  <si>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</si>
  <si>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</si>
  <si>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</si>
  <si>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</si>
  <si>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</si>
  <si>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</si>
  <si>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</si>
  <si>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</si>
  <si>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</si>
  <si>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</si>
  <si>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</si>
  <si>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</si>
  <si>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</si>
  <si>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</si>
  <si>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</si>
  <si>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</si>
  <si>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</si>
  <si>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</si>
  <si>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</si>
  <si>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</si>
  <si>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</si>
  <si>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</si>
  <si>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</si>
  <si>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</si>
  <si>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</si>
  <si>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</si>
  <si>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</si>
  <si>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</si>
  <si>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</si>
  <si>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</si>
  <si>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</si>
  <si>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</si>
  <si>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</si>
  <si>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</si>
  <si>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</si>
  <si>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</si>
  <si>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</si>
  <si>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</si>
  <si>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</si>
  <si>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</si>
  <si>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</si>
  <si>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</si>
  <si>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</si>
  <si>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</si>
  <si>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</si>
  <si>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</si>
  <si>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</si>
  <si>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</si>
  <si>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</si>
  <si>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</si>
  <si>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</si>
  <si>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</si>
  <si>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</si>
  <si>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</si>
  <si>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</si>
  <si>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</si>
  <si>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</si>
  <si>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</si>
  <si>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</si>
  <si>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</si>
  <si>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</si>
  <si>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</si>
  <si>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</si>
  <si>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</si>
  <si>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</si>
  <si>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</si>
  <si>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</si>
  <si>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</si>
  <si>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</si>
  <si>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</si>
  <si>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</si>
  <si>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</si>
  <si>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</si>
  <si>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</si>
  <si>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</si>
  <si>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</si>
  <si>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</si>
  <si>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</si>
  <si>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</si>
  <si>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</si>
  <si>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</si>
  <si>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</si>
  <si>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</si>
  <si>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</si>
  <si>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</si>
  <si>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</si>
  <si>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</si>
  <si>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</si>
  <si>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</si>
  <si>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</si>
  <si>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</si>
  <si>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</si>
  <si>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</si>
  <si>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</si>
  <si>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</si>
  <si>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</si>
  <si>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</si>
  <si>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</si>
  <si>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</si>
  <si>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</si>
  <si>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</si>
  <si>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</si>
  <si>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</si>
  <si>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</si>
  <si>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</si>
  <si>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</si>
  <si>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</si>
  <si>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</si>
  <si>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</si>
  <si>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</si>
  <si>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</si>
  <si>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</si>
  <si>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</si>
  <si>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</si>
  <si>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</si>
  <si>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</si>
  <si>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</si>
  <si>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</si>
  <si>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</si>
  <si>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</si>
  <si>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</si>
  <si>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</si>
  <si>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</si>
  <si>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</si>
  <si>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</si>
  <si>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</si>
  <si>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</si>
  <si>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</si>
  <si>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</si>
  <si>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</si>
  <si>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</si>
  <si>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</si>
  <si>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</si>
  <si>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</si>
  <si>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</si>
  <si>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</si>
  <si>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</si>
  <si>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</si>
  <si>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</si>
  <si>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</si>
  <si>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</si>
  <si>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</si>
  <si>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</si>
  <si>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</si>
  <si>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</si>
  <si>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</si>
  <si>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</si>
  <si>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</si>
  <si>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</si>
  <si>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</si>
  <si>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</si>
  <si>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</si>
  <si>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</si>
  <si>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</si>
  <si>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</si>
  <si>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</si>
  <si>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</si>
  <si>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</si>
  <si>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</si>
  <si>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</si>
  <si>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</si>
  <si>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</si>
  <si>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</si>
  <si>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</si>
  <si>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</si>
  <si>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</si>
  <si>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</si>
  <si>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</si>
  <si>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</si>
  <si>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</si>
  <si>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</si>
  <si>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</si>
  <si>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</si>
  <si>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</si>
  <si>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</si>
  <si>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</si>
  <si>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</si>
  <si>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</si>
  <si>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</si>
  <si>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</si>
  <si>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</si>
  <si>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</si>
  <si>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</si>
  <si>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</si>
  <si>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</si>
  <si>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</si>
  <si>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</si>
  <si>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</si>
  <si>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</si>
  <si>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</si>
  <si>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</si>
  <si>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</si>
  <si>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</si>
  <si>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</si>
  <si>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</si>
  <si>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</si>
  <si>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</si>
  <si>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</si>
  <si>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</si>
  <si>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</si>
  <si>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</si>
  <si>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</si>
  <si>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</si>
  <si>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</si>
  <si>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</si>
  <si>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</si>
  <si>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</si>
  <si>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</si>
  <si>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</si>
  <si>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</si>
  <si>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</si>
  <si>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</si>
  <si>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</si>
  <si>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</si>
  <si>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</si>
  <si>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</si>
  <si>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</si>
  <si>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</si>
  <si>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</si>
  <si>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</si>
  <si>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</si>
  <si>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</si>
  <si>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</si>
  <si>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</si>
  <si>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</si>
  <si>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</si>
  <si>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</si>
  <si>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</si>
  <si>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</si>
  <si>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</si>
  <si>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</si>
  <si>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</si>
  <si>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</si>
  <si>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</si>
  <si>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</si>
  <si>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</si>
  <si>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</si>
  <si>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</si>
  <si>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</si>
  <si>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</si>
  <si>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</si>
  <si>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</si>
  <si>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</si>
  <si>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</si>
  <si>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</si>
  <si>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</si>
  <si>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</si>
  <si>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</si>
  <si>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</si>
  <si>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</si>
  <si>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</si>
  <si>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</si>
  <si>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</si>
  <si>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</si>
  <si>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</si>
  <si>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</si>
  <si>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</si>
  <si>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</si>
  <si>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</si>
  <si>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</si>
  <si>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</si>
  <si>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</si>
  <si>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</si>
  <si>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</si>
  <si>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</si>
  <si>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</si>
  <si>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</si>
  <si>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</si>
  <si>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</si>
  <si>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</si>
  <si>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</si>
  <si>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</si>
  <si>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</si>
  <si>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</si>
  <si>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</si>
  <si>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</si>
  <si>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</si>
  <si>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</si>
  <si>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</si>
  <si>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</si>
  <si>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</si>
  <si>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</si>
  <si>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</si>
  <si>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</si>
  <si>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</si>
  <si>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</si>
  <si>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</si>
  <si>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</si>
  <si>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</si>
  <si>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</si>
  <si>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</si>
  <si>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</si>
  <si>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</si>
  <si>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</si>
  <si>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</si>
  <si>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</si>
  <si>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</si>
  <si>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</si>
  <si>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</si>
  <si>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</si>
  <si>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</si>
  <si>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</si>
  <si>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</si>
  <si>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</si>
  <si>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</si>
  <si>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</si>
  <si>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</si>
  <si>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</si>
  <si>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</si>
  <si>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</si>
  <si>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</si>
  <si>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</si>
  <si>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</si>
  <si>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</si>
  <si>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</si>
  <si>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</si>
  <si>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</si>
  <si>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</si>
  <si>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</si>
  <si>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</si>
  <si>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</si>
  <si>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</si>
  <si>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</si>
  <si>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</si>
  <si>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</si>
  <si>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</si>
  <si>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</si>
  <si>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</si>
  <si>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</si>
  <si>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</si>
  <si>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</si>
  <si>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</si>
  <si>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</si>
  <si>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</si>
  <si>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</si>
  <si>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</si>
  <si>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</si>
  <si>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</si>
  <si>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</si>
  <si>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</si>
  <si>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</si>
  <si>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</si>
  <si>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</si>
  <si>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</si>
  <si>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</si>
  <si>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</si>
  <si>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</si>
  <si>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</si>
  <si>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</si>
  <si>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</si>
  <si>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</si>
  <si>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</si>
  <si>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</si>
  <si>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</si>
  <si>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</si>
  <si>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</si>
  <si>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</si>
  <si>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</si>
  <si>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</si>
  <si>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</si>
  <si>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</si>
  <si>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</si>
  <si>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</si>
  <si>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</si>
  <si>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</si>
  <si>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</si>
  <si>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</si>
  <si>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</si>
  <si>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</si>
  <si>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</si>
  <si>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</si>
  <si>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</si>
  <si>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</si>
  <si>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</si>
  <si>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</si>
  <si>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</si>
  <si>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</si>
  <si>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</si>
  <si>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</si>
  <si>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</si>
  <si>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</si>
  <si>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</si>
  <si>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</si>
  <si>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</si>
  <si>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</si>
  <si>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</si>
  <si>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</si>
  <si>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</si>
  <si>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</si>
  <si>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</si>
  <si>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</si>
  <si>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</si>
  <si>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</si>
  <si>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</si>
  <si>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</si>
  <si>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</si>
  <si>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</si>
  <si>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</si>
  <si>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</si>
  <si>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</si>
  <si>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</si>
  <si>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</si>
  <si>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</si>
  <si>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</si>
  <si>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</si>
  <si>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</si>
  <si>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</si>
  <si>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</si>
  <si>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</si>
  <si>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</si>
  <si>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</si>
  <si>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</si>
  <si>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</si>
  <si>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</si>
  <si>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</si>
  <si>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</si>
  <si>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</si>
  <si>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</si>
  <si>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</si>
  <si>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</si>
  <si>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</si>
  <si>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</si>
  <si>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</si>
  <si>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</si>
  <si>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</si>
  <si>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</si>
  <si>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</si>
  <si>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</si>
  <si>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</si>
  <si>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</si>
  <si>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</si>
  <si>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</si>
  <si>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</si>
  <si>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</si>
  <si>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</si>
  <si>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</si>
  <si>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</si>
  <si>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</si>
  <si>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</si>
  <si>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</si>
  <si>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</si>
  <si>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</si>
  <si>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</si>
  <si>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</si>
  <si>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</si>
  <si>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</si>
  <si>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</si>
  <si>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</si>
  <si>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</si>
  <si>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</si>
  <si>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</si>
  <si>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</si>
  <si>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</si>
  <si>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</si>
  <si>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</si>
  <si>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</si>
  <si>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</si>
  <si>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</si>
  <si>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</si>
  <si>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</si>
  <si>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</si>
  <si>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</si>
  <si>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</si>
  <si>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</si>
  <si>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</si>
  <si>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</si>
  <si>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</si>
  <si>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</si>
  <si>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</si>
  <si>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</si>
  <si>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</si>
  <si>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</si>
  <si>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</si>
  <si>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</si>
  <si>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</si>
  <si>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</si>
  <si>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</si>
  <si>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</si>
  <si>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</si>
  <si>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</si>
  <si>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</si>
  <si>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</si>
  <si>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</si>
  <si>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</si>
  <si>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</si>
  <si>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</si>
  <si>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</si>
  <si>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</si>
  <si>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</si>
  <si>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</si>
  <si>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</si>
  <si>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</si>
  <si>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</si>
  <si>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</si>
  <si>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</si>
  <si>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</si>
  <si>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</si>
  <si>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</si>
  <si>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</si>
  <si>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</si>
  <si>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</si>
  <si>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</si>
  <si>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</si>
  <si>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</si>
  <si>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</si>
  <si>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</si>
  <si>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</si>
  <si>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</si>
  <si>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</si>
  <si>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</si>
  <si>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</si>
  <si>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</si>
  <si>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</si>
  <si>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</si>
  <si>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</si>
  <si>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</si>
  <si>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</si>
  <si>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</si>
  <si>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</si>
  <si>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</si>
  <si>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</si>
  <si>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</si>
  <si>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</si>
  <si>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</si>
  <si>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</si>
  <si>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</si>
  <si>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</si>
  <si>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</si>
  <si>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</si>
  <si>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</si>
  <si>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</si>
  <si>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</si>
  <si>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</si>
  <si>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</si>
  <si>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</si>
  <si>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</si>
  <si>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</si>
  <si>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</si>
  <si>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</si>
  <si>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</si>
  <si>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</si>
  <si>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</si>
  <si>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</si>
  <si>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</si>
  <si>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</si>
  <si>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</si>
  <si>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</si>
  <si>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</si>
  <si>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</si>
  <si>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</si>
  <si>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</si>
  <si>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</si>
  <si>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</si>
  <si>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</si>
  <si>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</si>
  <si>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</si>
  <si>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</si>
  <si>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</si>
  <si>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</si>
  <si>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</si>
  <si>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</si>
  <si>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</si>
  <si>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</si>
  <si>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</si>
  <si>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</si>
  <si>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</si>
  <si>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</si>
  <si>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</si>
  <si>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</si>
  <si>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</si>
  <si>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</si>
  <si>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</si>
  <si>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</si>
  <si>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</si>
  <si>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</si>
  <si>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</si>
  <si>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</si>
  <si>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</si>
  <si>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</si>
  <si>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</si>
  <si>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</si>
  <si>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</si>
  <si>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</si>
  <si>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</si>
  <si>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</si>
  <si>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</si>
  <si>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</si>
  <si>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</si>
  <si>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</si>
  <si>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</si>
  <si>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</si>
  <si>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</si>
  <si>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</si>
  <si>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</si>
  <si>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</si>
  <si>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</si>
  <si>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</si>
  <si>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</si>
  <si>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</si>
  <si>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</si>
  <si>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</si>
  <si>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</si>
  <si>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</si>
  <si>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</si>
  <si>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</si>
  <si>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</si>
  <si>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</si>
  <si>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</si>
  <si>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</si>
  <si>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</si>
  <si>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</si>
  <si>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</si>
  <si>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</si>
  <si>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</si>
  <si>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</si>
  <si>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</si>
  <si>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</si>
  <si>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</si>
  <si>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</si>
  <si>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</si>
  <si>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</si>
  <si>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</si>
  <si>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</si>
  <si>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</si>
  <si>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</si>
  <si>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</si>
  <si>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</si>
  <si>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</si>
  <si>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</si>
  <si>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</si>
  <si>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</si>
  <si>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</si>
  <si>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</si>
  <si>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</si>
  <si>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</si>
  <si>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</si>
  <si>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</si>
  <si>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</si>
  <si>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</si>
  <si>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</si>
  <si>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</si>
  <si>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</si>
  <si>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</si>
  <si>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</si>
  <si>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</si>
  <si>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</si>
  <si>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</si>
  <si>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</si>
  <si>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</si>
  <si>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</si>
  <si>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</si>
  <si>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</si>
  <si>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</si>
  <si>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</si>
  <si>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</si>
  <si>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</si>
  <si>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</si>
  <si>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</si>
  <si>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</si>
  <si>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</si>
  <si>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</si>
  <si>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</si>
  <si>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</si>
  <si>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</si>
  <si>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</si>
  <si>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</si>
  <si>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</si>
  <si>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</si>
  <si>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</si>
  <si>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</si>
  <si>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</si>
  <si>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</si>
  <si>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</si>
  <si>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</si>
  <si>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</si>
  <si>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</si>
  <si>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</si>
  <si>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</si>
  <si>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</si>
  <si>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</si>
  <si>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</si>
  <si>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</si>
  <si>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</si>
  <si>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</si>
  <si>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</si>
  <si>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</si>
  <si>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</si>
  <si>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</si>
  <si>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</si>
  <si>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</si>
  <si>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</si>
  <si>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</si>
  <si>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</si>
  <si>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</si>
  <si>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</si>
  <si>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</si>
  <si>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</si>
  <si>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</si>
  <si>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</si>
  <si>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</si>
  <si>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</si>
  <si>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</si>
  <si>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</si>
  <si>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</si>
  <si>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</si>
  <si>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</si>
  <si>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</si>
  <si>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</si>
  <si>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</si>
  <si>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</si>
  <si>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</si>
  <si>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</si>
  <si>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</si>
  <si>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</si>
  <si>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</si>
  <si>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</si>
  <si>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</si>
  <si>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</si>
  <si>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</si>
  <si>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</si>
  <si>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</si>
  <si>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</si>
  <si>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</si>
  <si>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</si>
  <si>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</si>
  <si>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</si>
  <si>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</si>
  <si>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</si>
  <si>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</si>
  <si>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</si>
  <si>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</si>
  <si>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</si>
  <si>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</si>
  <si>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</si>
  <si>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</si>
  <si>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</si>
  <si>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</si>
  <si>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</si>
  <si>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</si>
  <si>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</si>
  <si>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</si>
  <si>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</si>
  <si>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</si>
  <si>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</si>
  <si>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</si>
  <si>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</si>
  <si>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</si>
  <si>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</si>
  <si>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</si>
  <si>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</si>
  <si>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</si>
  <si>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</si>
  <si>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</si>
  <si>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</si>
  <si>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</si>
  <si>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</si>
  <si>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</si>
  <si>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</si>
  <si>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</si>
  <si>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</si>
  <si>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</si>
  <si>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</si>
  <si>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</si>
  <si>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</si>
  <si>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</si>
  <si>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</si>
  <si>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</si>
  <si>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</si>
  <si>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</si>
  <si>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</si>
  <si>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</si>
  <si>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</si>
  <si>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</si>
  <si>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</si>
  <si>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</si>
  <si>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</si>
  <si>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</si>
  <si>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</si>
  <si>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</si>
  <si>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</si>
  <si>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</si>
  <si>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</si>
  <si>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</si>
  <si>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</si>
  <si>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</si>
  <si>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</si>
  <si>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</si>
  <si>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</si>
  <si>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</si>
  <si>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</si>
  <si>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</si>
  <si>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</si>
  <si>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</si>
  <si>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</si>
  <si>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</si>
  <si>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</si>
  <si>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</si>
  <si>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</si>
  <si>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</si>
  <si>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</si>
  <si>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</si>
  <si>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</si>
  <si>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</si>
  <si>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</si>
  <si>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</si>
  <si>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</si>
  <si>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</si>
  <si>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</si>
  <si>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</si>
  <si>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</si>
  <si>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</si>
  <si>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</si>
  <si>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</si>
  <si>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</si>
  <si>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</si>
  <si>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</si>
  <si>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</si>
  <si>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</si>
  <si>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</si>
  <si>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</si>
  <si>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</si>
  <si>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</si>
  <si>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</si>
  <si>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</si>
  <si>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</si>
  <si>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</si>
  <si>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</si>
  <si>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</si>
  <si>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</si>
  <si>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</si>
  <si>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</si>
  <si>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</si>
  <si>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</si>
  <si>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</si>
  <si>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</si>
  <si>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</si>
  <si>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</si>
  <si>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</si>
  <si>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</si>
  <si>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</si>
  <si>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</si>
  <si>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</si>
  <si>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</si>
  <si>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</si>
  <si>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</si>
  <si>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</si>
  <si>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</si>
  <si>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</si>
  <si>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</si>
  <si>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</si>
  <si>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</si>
  <si>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</si>
  <si>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</si>
  <si>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</si>
  <si>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</si>
  <si>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</si>
  <si>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</si>
  <si>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</si>
  <si>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</si>
  <si>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</si>
  <si>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</si>
  <si>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</si>
  <si>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</si>
  <si>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</si>
  <si>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</si>
  <si>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</si>
  <si>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</si>
  <si>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</si>
  <si>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</si>
  <si>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</si>
  <si>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</si>
  <si>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</si>
  <si>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</si>
  <si>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</si>
  <si>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</si>
  <si>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</si>
  <si>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</si>
  <si>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</si>
  <si>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</si>
  <si>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</si>
  <si>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</si>
  <si>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</si>
  <si>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</si>
  <si>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</si>
  <si>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</si>
  <si>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</si>
  <si>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</si>
  <si>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</si>
  <si>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</si>
  <si>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</si>
  <si>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</si>
  <si>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</si>
  <si>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</si>
  <si>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</si>
  <si>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</si>
  <si>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</si>
  <si>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</si>
  <si>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</si>
  <si>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</si>
  <si>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</si>
  <si>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</si>
  <si>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</si>
  <si>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</si>
  <si>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</si>
  <si>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</si>
  <si>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</si>
  <si>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</si>
  <si>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</si>
  <si>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</si>
  <si>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</si>
  <si>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</si>
  <si>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</si>
  <si>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</si>
  <si>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</si>
  <si>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</si>
  <si>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</si>
  <si>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</si>
  <si>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</si>
  <si>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</si>
  <si>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</si>
  <si>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</si>
  <si>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</si>
  <si>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</si>
  <si>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</si>
  <si>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</si>
  <si>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</si>
  <si>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</si>
  <si>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</si>
  <si>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</si>
  <si>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</si>
  <si>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</si>
  <si>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</si>
  <si>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</si>
  <si>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</si>
  <si>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</si>
  <si>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</si>
  <si>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</si>
  <si>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</si>
  <si>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</si>
  <si>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</si>
  <si>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</si>
  <si>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</si>
  <si>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</si>
  <si>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</si>
  <si>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</si>
  <si>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</si>
  <si>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</si>
  <si>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</si>
  <si>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</si>
  <si>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</si>
  <si>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</si>
  <si>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</si>
  <si>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</si>
  <si>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</si>
  <si>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</si>
  <si>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</si>
  <si>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</si>
  <si>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</si>
  <si>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</si>
  <si>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</si>
  <si>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</si>
  <si>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</si>
  <si>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</si>
  <si>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</si>
  <si>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</si>
  <si>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</si>
  <si>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</si>
  <si>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</si>
  <si>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</si>
  <si>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</si>
  <si>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</si>
  <si>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</si>
  <si>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</si>
  <si>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</si>
  <si>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</si>
  <si>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</si>
  <si>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</si>
  <si>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</si>
  <si>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</si>
  <si>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</si>
  <si>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</si>
  <si>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</si>
  <si>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</si>
  <si>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</si>
  <si>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</si>
  <si>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</si>
  <si>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</si>
  <si>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</si>
  <si>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</si>
  <si>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</si>
  <si>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</si>
  <si>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</si>
  <si>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</si>
  <si>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</si>
  <si>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</si>
  <si>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</si>
  <si>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</si>
  <si>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</si>
  <si>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</si>
  <si>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</si>
  <si>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</si>
  <si>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</si>
  <si>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</si>
  <si>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</si>
  <si>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</si>
  <si>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</si>
  <si>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</si>
  <si>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</si>
  <si>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</si>
  <si>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</si>
  <si>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</si>
  <si>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</si>
  <si>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</si>
  <si>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</si>
  <si>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</si>
  <si>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</si>
  <si>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</si>
  <si>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</si>
  <si>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</si>
  <si>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</si>
  <si>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</si>
  <si>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</si>
  <si>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</si>
  <si>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</si>
  <si>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</si>
  <si>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</si>
  <si>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</si>
  <si>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</si>
  <si>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</si>
  <si>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</si>
  <si>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</si>
  <si>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</si>
  <si>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</si>
  <si>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</si>
  <si>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</si>
  <si>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</si>
  <si>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</si>
  <si>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</si>
  <si>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</si>
  <si>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</si>
  <si>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</si>
  <si>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</si>
  <si>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</si>
  <si>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</si>
  <si>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</si>
  <si>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</si>
  <si>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</si>
  <si>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</si>
  <si>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</si>
  <si>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</si>
  <si>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</si>
  <si>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</si>
  <si>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</si>
  <si>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</si>
  <si>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</si>
  <si>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</si>
  <si>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</si>
  <si>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</si>
  <si>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</si>
  <si>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</si>
  <si>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</si>
  <si>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</si>
  <si>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</si>
  <si>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</si>
  <si>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</si>
  <si>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</si>
  <si>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</si>
  <si>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</si>
  <si>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</si>
  <si>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</si>
  <si>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</si>
  <si>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</si>
  <si>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</si>
  <si>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</si>
  <si>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</si>
  <si>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</si>
  <si>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</si>
  <si>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</si>
  <si>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</si>
  <si>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</si>
  <si>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</si>
  <si>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</si>
  <si>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</si>
  <si>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</si>
  <si>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</si>
  <si>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</si>
  <si>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</si>
  <si>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</si>
  <si>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</si>
  <si>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</si>
  <si>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</si>
  <si>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</si>
  <si>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</si>
  <si>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</si>
  <si>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</si>
  <si>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</si>
  <si>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</si>
  <si>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</si>
  <si>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</si>
  <si>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</si>
  <si>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</si>
  <si>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</si>
  <si>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</si>
  <si>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</si>
  <si>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</si>
  <si>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</si>
  <si>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</si>
  <si>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</si>
  <si>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</si>
  <si>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</si>
  <si>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</si>
  <si>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</si>
  <si>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</si>
  <si>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</si>
  <si>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</si>
  <si>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</si>
  <si>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</si>
  <si>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</si>
  <si>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</si>
  <si>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</si>
  <si>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</si>
  <si>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</si>
  <si>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</si>
  <si>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</si>
  <si>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</si>
  <si>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</si>
  <si>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</si>
  <si>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</si>
  <si>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</si>
  <si>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</si>
  <si>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</si>
  <si>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</si>
  <si>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</si>
  <si>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</si>
  <si>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</si>
  <si>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</si>
  <si>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</si>
  <si>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</si>
  <si>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</si>
  <si>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</si>
  <si>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企业</t>
  </si>
  <si>
    <t>北京市</t>
  </si>
  <si>
    <t>房地产抵押价值</t>
  </si>
  <si>
    <t>抵押</t>
  </si>
  <si>
    <t>是</t>
  </si>
  <si>
    <t>地上</t>
  </si>
  <si>
    <t>独立商业</t>
  </si>
  <si>
    <t>地下</t>
  </si>
  <si>
    <t>商业</t>
    <phoneticPr fontId="7" type="noConversion"/>
  </si>
  <si>
    <t>估价对象容积率</t>
  </si>
  <si>
    <t>不临65条商业街</t>
  </si>
  <si>
    <t>与级别开发程度不一致</t>
  </si>
  <si>
    <t>通路</t>
  </si>
  <si>
    <t>通电</t>
  </si>
  <si>
    <t>通讯</t>
  </si>
  <si>
    <t>通上水</t>
  </si>
  <si>
    <t>通下水</t>
  </si>
  <si>
    <t>燃气</t>
  </si>
  <si>
    <t>平整</t>
  </si>
  <si>
    <t>成新度</t>
  </si>
  <si>
    <t>直线</t>
    <phoneticPr fontId="3" type="noConversion"/>
  </si>
  <si>
    <t>建成年代</t>
    <phoneticPr fontId="3" type="noConversion"/>
  </si>
  <si>
    <t>观察</t>
    <phoneticPr fontId="3" type="noConversion"/>
  </si>
  <si>
    <t>综合</t>
    <phoneticPr fontId="3" type="noConversion"/>
  </si>
  <si>
    <t>利息：取LPR加浮动点数</t>
  </si>
  <si>
    <t>收益法</t>
  </si>
  <si>
    <t>成本法</t>
  </si>
  <si>
    <t>较好</t>
  </si>
  <si>
    <t>好</t>
  </si>
  <si>
    <t>未包含在土地购买价格中</t>
  </si>
  <si>
    <t>全部缴纳</t>
  </si>
  <si>
    <t>已包含在土地取得成本中</t>
  </si>
  <si>
    <t>押一</t>
  </si>
  <si>
    <t>钢混</t>
  </si>
  <si>
    <t>非生产用房</t>
  </si>
  <si>
    <t>否</t>
  </si>
  <si>
    <t>总价</t>
  </si>
  <si>
    <t>成本比率</t>
  </si>
  <si>
    <t>情况4</t>
  </si>
  <si>
    <t>正常</t>
  </si>
  <si>
    <t>转让取得</t>
  </si>
  <si>
    <t>非个人房产</t>
  </si>
  <si>
    <t>买卖合同</t>
  </si>
  <si>
    <t>2016年5月1日后购买</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</si>
  <si>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</si>
  <si>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</si>
  <si>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</si>
  <si>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</si>
  <si>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</si>
  <si>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</si>
  <si>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</si>
  <si>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</si>
  <si>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</si>
  <si>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</si>
  <si>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</si>
  <si>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</si>
  <si>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</si>
  <si>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</si>
  <si>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</si>
  <si>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</si>
  <si>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</si>
  <si>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</si>
  <si>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</si>
  <si>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</si>
  <si>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</si>
  <si>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</si>
  <si>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</si>
  <si>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</si>
  <si>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</si>
  <si>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</si>
  <si>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</si>
  <si>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</si>
  <si>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</si>
  <si>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</si>
  <si>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</si>
  <si>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</si>
  <si>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</si>
  <si>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</si>
  <si>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</si>
  <si>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</si>
  <si>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</si>
  <si>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</si>
  <si>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</si>
  <si>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</si>
  <si>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</si>
  <si>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34" type="noConversion"/>
  </si>
  <si>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</si>
  <si>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</si>
  <si>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</si>
  <si>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</si>
  <si>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</si>
  <si>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</si>
  <si>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</si>
  <si>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</si>
  <si>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</si>
  <si>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</si>
  <si>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</si>
  <si>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</si>
  <si>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</si>
  <si>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</si>
  <si>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</si>
  <si>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</si>
  <si>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</si>
  <si>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</si>
  <si>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</si>
  <si>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</si>
  <si>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</si>
  <si>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</si>
  <si>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</si>
  <si>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</si>
  <si>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</si>
  <si>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</si>
  <si>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</si>
  <si>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</si>
  <si>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</si>
  <si>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</si>
  <si>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</si>
  <si>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</si>
  <si>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</si>
  <si>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</si>
  <si>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</si>
  <si>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</si>
  <si>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</si>
  <si>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</si>
  <si>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</si>
  <si>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</si>
  <si>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</si>
  <si>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</si>
  <si>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</si>
  <si>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</si>
  <si>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</si>
  <si>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</si>
  <si>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</si>
  <si>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</si>
  <si>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</si>
  <si>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</si>
  <si>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</si>
  <si>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</si>
  <si>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</si>
  <si>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</si>
  <si>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</si>
  <si>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</si>
  <si>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</si>
  <si>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</si>
  <si>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</si>
  <si>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</si>
  <si>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</si>
  <si>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</si>
  <si>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</si>
  <si>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</si>
  <si>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</si>
  <si>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</si>
  <si>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</si>
  <si>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</si>
  <si>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</si>
  <si>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</si>
  <si>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</si>
  <si>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</si>
  <si>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</si>
  <si>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</si>
  <si>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</si>
  <si>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</si>
  <si>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</si>
  <si>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</si>
  <si>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</si>
  <si>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</si>
  <si>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</si>
  <si>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</si>
  <si>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</si>
  <si>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</si>
  <si>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</si>
  <si>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</si>
  <si>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</si>
  <si>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</si>
  <si>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</si>
  <si>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</si>
  <si>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</si>
  <si>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</si>
  <si>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</si>
  <si>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</si>
  <si>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</si>
  <si>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</si>
  <si>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</si>
  <si>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t>地上4</t>
    </r>
    <r>
      <rPr>
        <sz val="10"/>
        <color theme="1"/>
        <rFont val="宋体"/>
        <family val="3"/>
        <charset val="134"/>
        <scheme val="minor"/>
      </rPr>
      <t>2层地下5层</t>
    </r>
    <phoneticPr fontId="134" type="noConversion"/>
  </si>
  <si>
    <t>信威大厦</t>
    <phoneticPr fontId="134" type="noConversion"/>
  </si>
  <si>
    <t>博瑞大厦</t>
    <phoneticPr fontId="134" type="noConversion"/>
  </si>
  <si>
    <t>项目模式</t>
  </si>
  <si>
    <t>售价</t>
  </si>
  <si>
    <t>中外交流大厦</t>
    <phoneticPr fontId="3" type="noConversion"/>
  </si>
  <si>
    <t>土地级别</t>
    <phoneticPr fontId="31" type="noConversion"/>
  </si>
  <si>
    <t>光彩国际公寓商业</t>
  </si>
  <si>
    <t>德胜国际中心</t>
  </si>
  <si>
    <t>办公</t>
    <phoneticPr fontId="3" type="noConversion"/>
  </si>
  <si>
    <t>商业、办公</t>
    <phoneticPr fontId="3" type="noConversion"/>
  </si>
  <si>
    <t>商业</t>
    <phoneticPr fontId="31" type="noConversion"/>
  </si>
  <si>
    <t>地下占比</t>
    <phoneticPr fontId="31" type="noConversion"/>
  </si>
  <si>
    <t>一般</t>
  </si>
  <si>
    <t>高速路</t>
    <phoneticPr fontId="3" type="noConversion"/>
  </si>
  <si>
    <t>主干道</t>
    <phoneticPr fontId="3" type="noConversion"/>
  </si>
  <si>
    <t>次干道</t>
    <phoneticPr fontId="3" type="noConversion"/>
  </si>
  <si>
    <t>支路</t>
    <phoneticPr fontId="3" type="noConversion"/>
  </si>
  <si>
    <t>写字楼</t>
    <phoneticPr fontId="3" type="noConversion"/>
  </si>
  <si>
    <t>商务楼</t>
    <phoneticPr fontId="3" type="noConversion"/>
  </si>
  <si>
    <t>综合体</t>
    <phoneticPr fontId="3" type="noConversion"/>
  </si>
  <si>
    <t>钢混</t>
    <phoneticPr fontId="3" type="noConversion"/>
  </si>
  <si>
    <t>精装</t>
    <phoneticPr fontId="3" type="noConversion"/>
  </si>
  <si>
    <t>普装</t>
    <phoneticPr fontId="3" type="noConversion"/>
  </si>
  <si>
    <t>商业、办公</t>
  </si>
  <si>
    <t>七通</t>
  </si>
  <si>
    <t>主干道</t>
  </si>
  <si>
    <t>次干道</t>
  </si>
  <si>
    <t>商务楼</t>
  </si>
  <si>
    <t>写字楼</t>
  </si>
  <si>
    <t>普装</t>
  </si>
  <si>
    <t>普装</t>
    <phoneticPr fontId="31" type="noConversion"/>
  </si>
  <si>
    <t>六通</t>
  </si>
  <si>
    <t>六通</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</si>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</sst>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0" fillId="0" borderId="0" xfId="0" applyFill="1">
      <alignment vertical="center"/>
    </xf>
    <xf numFmtId="1" fontId="272" fillId="0" borderId="1" xfId="10" applyNumberFormat="1" applyFont="1" applyFill="1" applyBorder="1" applyAlignment="1">
      <alignment horizontal="center" vertical="center" shrinkToFit="1"/>
    </xf>
    <xf numFmtId="0" fontId="273" fillId="0" borderId="1" xfId="10" applyFont="1" applyFill="1" applyBorder="1" applyAlignment="1">
      <alignment horizontal="center" vertical="center" wrapText="1"/>
    </xf>
    <xf numFmtId="196"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2" fontId="272"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1" fontId="273"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276" fillId="0" borderId="0" xfId="0" applyFont="1" applyFill="1">
      <alignment vertical="center"/>
    </xf>
    <xf numFmtId="196" fontId="273" fillId="0" borderId="1" xfId="10" applyNumberFormat="1" applyFont="1" applyFill="1" applyBorder="1" applyAlignment="1">
      <alignment horizontal="center" vertical="center" shrinkToFit="1"/>
    </xf>
    <xf numFmtId="0" fontId="95" fillId="0" borderId="0" xfId="10" applyFill="1">
      <alignment vertical="center"/>
    </xf>
    <xf numFmtId="2" fontId="273" fillId="0" borderId="1" xfId="10" applyNumberFormat="1" applyFont="1" applyFill="1" applyBorder="1" applyAlignment="1">
      <alignment horizontal="center" vertical="center" shrinkToFit="1"/>
    </xf>
    <xf numFmtId="0" fontId="276" fillId="0" borderId="0" xfId="10" applyFont="1" applyFill="1">
      <alignment vertical="center"/>
    </xf>
    <xf numFmtId="1" fontId="273" fillId="5" borderId="1" xfId="10" applyNumberFormat="1" applyFont="1" applyFill="1" applyBorder="1" applyAlignment="1">
      <alignment horizontal="center" vertical="center" shrinkToFit="1"/>
    </xf>
    <xf numFmtId="0" fontId="273" fillId="5" borderId="1" xfId="10" applyFont="1" applyFill="1" applyBorder="1" applyAlignment="1">
      <alignment horizontal="center" vertical="center" wrapText="1"/>
    </xf>
    <xf numFmtId="196" fontId="273" fillId="5" borderId="1" xfId="10" applyNumberFormat="1" applyFont="1" applyFill="1" applyBorder="1" applyAlignment="1">
      <alignment horizontal="center" vertical="center" shrinkToFit="1"/>
    </xf>
    <xf numFmtId="3" fontId="273" fillId="5" borderId="1" xfId="10" applyNumberFormat="1" applyFont="1" applyFill="1" applyBorder="1" applyAlignment="1">
      <alignment horizontal="center" vertical="center" shrinkToFit="1"/>
    </xf>
    <xf numFmtId="0" fontId="276" fillId="5" borderId="0" xfId="10" applyFont="1" applyFill="1">
      <alignment vertical="center"/>
    </xf>
    <xf numFmtId="0" fontId="276" fillId="5" borderId="0" xfId="0" applyFont="1" applyFill="1">
      <alignment vertical="center"/>
    </xf>
    <xf numFmtId="0" fontId="274" fillId="0" borderId="1" xfId="10" applyFont="1" applyFill="1" applyBorder="1" applyAlignment="1">
      <alignment horizontal="center" vertical="center" wrapText="1"/>
    </xf>
    <xf numFmtId="1" fontId="272" fillId="5" borderId="1" xfId="10" applyNumberFormat="1" applyFont="1" applyFill="1" applyBorder="1" applyAlignment="1">
      <alignment horizontal="center" vertical="center" shrinkToFit="1"/>
    </xf>
    <xf numFmtId="2" fontId="272" fillId="5" borderId="1" xfId="10" applyNumberFormat="1" applyFont="1" applyFill="1" applyBorder="1" applyAlignment="1">
      <alignment horizontal="center" vertical="center" shrinkToFit="1"/>
    </xf>
    <xf numFmtId="3" fontId="274" fillId="5" borderId="1" xfId="10" applyNumberFormat="1" applyFont="1" applyFill="1" applyBorder="1" applyAlignment="1">
      <alignment horizontal="center" vertical="center" shrinkToFit="1"/>
    </xf>
    <xf numFmtId="0" fontId="95" fillId="5" borderId="0" xfId="10" applyFill="1">
      <alignment vertical="center"/>
    </xf>
    <xf numFmtId="0" fontId="0" fillId="5" borderId="0" xfId="0" applyFill="1">
      <alignment vertical="center"/>
    </xf>
    <xf numFmtId="57" fontId="273" fillId="5" borderId="1" xfId="10" applyNumberFormat="1" applyFont="1" applyFill="1" applyBorder="1" applyAlignment="1">
      <alignment horizontal="center" vertical="center" wrapText="1"/>
    </xf>
    <xf numFmtId="57" fontId="273" fillId="0" borderId="1" xfId="10" applyNumberFormat="1" applyFont="1" applyFill="1" applyBorder="1" applyAlignment="1">
      <alignment horizontal="center" vertical="center" wrapText="1"/>
    </xf>
    <xf numFmtId="0" fontId="128" fillId="0" borderId="24"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3" fontId="70" fillId="3" borderId="20"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57" fillId="9" borderId="13" xfId="0" applyFont="1" applyFill="1" applyBorder="1" applyAlignment="1" applyProtection="1">
      <alignment horizontal="right" vertical="center"/>
    </xf>
    <xf numFmtId="0" fontId="128" fillId="0" borderId="44" xfId="0" applyNumberFormat="1"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10" fontId="44" fillId="0" borderId="7" xfId="0" applyNumberFormat="1"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估价对象为北京市房地产，为所有。根据《国有土地使用证》[]，估价对象（分摊）出让国有建设用地使用权面积为8298.76平方米，建筑面积为27162.9平方米。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估价对象为北京市房地产,属开发建设的，该项目尚在开发建设中。根据《国有土地使用证》[]，估价对象（分摊）出让国有建设用地使用权面积为8298.76平方米，规划建筑面积为27162.9平方米。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2023年4月6日（评估专业人员实地查勘之日）</v>
      </c>
    </row>
    <row r="13" spans="1:2" s="1203" customFormat="1">
      <c r="A13" s="1201" t="s">
        <v>529</v>
      </c>
      <c r="B13" s="1202"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105343</v>
      </c>
    </row>
    <row r="21" spans="1:2" s="1203" customFormat="1">
      <c r="A21" s="1201" t="s">
        <v>537</v>
      </c>
      <c r="B21" s="1202">
        <f ca="1">'预评函-2'!D7</f>
        <v>38782</v>
      </c>
    </row>
    <row r="22" spans="1:2" s="1203" customFormat="1">
      <c r="A22" s="1201" t="s">
        <v>538</v>
      </c>
      <c r="B22" s="1202" t="str">
        <f ca="1">'预评函-2'!D6</f>
        <v>壹拾亿伍仟叁佰肆拾叁万元整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105343</v>
      </c>
    </row>
    <row r="31" spans="1:2" s="1203" customFormat="1">
      <c r="A31" s="1201" t="s">
        <v>576</v>
      </c>
      <c r="B31" s="1202">
        <f ca="1">'预评函-2'!D15</f>
        <v>38782</v>
      </c>
    </row>
    <row r="32" spans="1:2" s="1203" customFormat="1">
      <c r="A32" s="1201" t="s">
        <v>543</v>
      </c>
      <c r="B32" s="1202" t="str">
        <f ca="1">'预评函-2'!D14</f>
        <v>壹拾亿伍仟叁佰肆拾叁万元整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100357</v>
      </c>
    </row>
    <row r="39" spans="1:2" s="1203" customFormat="1">
      <c r="A39" s="1201" t="s">
        <v>545</v>
      </c>
      <c r="B39" s="1202">
        <f ca="1">'预评函-2'!D21</f>
        <v>36946</v>
      </c>
    </row>
    <row r="40" spans="1:2" s="1203" customFormat="1">
      <c r="A40" s="1201" t="s">
        <v>546</v>
      </c>
      <c r="B40" s="1202" t="str">
        <f ca="1">'预评函-2'!D20</f>
        <v>壹拾亿零叁佰伍拾柒万元整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27162.899999999998</v>
      </c>
    </row>
    <row r="44" spans="1:2" s="1203" customFormat="1">
      <c r="A44" s="1201" t="s">
        <v>575</v>
      </c>
      <c r="B44" s="1202" t="str">
        <f>'预评函-3'!C2</f>
        <v>(分摊)土地面积</v>
      </c>
    </row>
    <row r="45" spans="1:2" s="1203" customFormat="1">
      <c r="A45" s="1201" t="s">
        <v>547</v>
      </c>
      <c r="B45" s="1202">
        <f>'预评函-3'!C4</f>
        <v>8298.76</v>
      </c>
    </row>
    <row r="46" spans="1:2" s="1203" customFormat="1">
      <c r="A46" s="1201" t="s">
        <v>573</v>
      </c>
      <c r="B46" s="1202" t="str">
        <f>'预评函-3'!D2</f>
        <v>出让国有建设用地使用权价值</v>
      </c>
    </row>
    <row r="47" spans="1:2" s="1203" customFormat="1">
      <c r="A47" s="1201" t="s">
        <v>548</v>
      </c>
      <c r="B47" s="1202">
        <f ca="1">'预评函-3'!D4</f>
        <v>93229</v>
      </c>
    </row>
    <row r="48" spans="1:2" s="1203" customFormat="1">
      <c r="A48" s="1201" t="s">
        <v>549</v>
      </c>
      <c r="B48" s="1202">
        <f ca="1">'预评函-3'!E4</f>
        <v>34322</v>
      </c>
    </row>
    <row r="49" spans="1:2" s="1203" customFormat="1">
      <c r="A49" s="1201" t="s">
        <v>550</v>
      </c>
      <c r="B49" s="1202" t="str">
        <f ca="1">'预评函-3'!D5</f>
        <v>玖亿叁仟贰佰贰拾玖万元整</v>
      </c>
    </row>
    <row r="50" spans="1:2" s="1203" customFormat="1">
      <c r="A50" s="1201" t="s">
        <v>574</v>
      </c>
      <c r="B50" s="1202" t="str">
        <f>'预评函-3'!F2</f>
        <v>在建建筑物价值</v>
      </c>
    </row>
    <row r="51" spans="1:2" s="1203" customFormat="1">
      <c r="A51" s="1201" t="s">
        <v>551</v>
      </c>
      <c r="B51" s="1202">
        <f ca="1">'预评函-3'!F4</f>
        <v>12114</v>
      </c>
    </row>
    <row r="52" spans="1:2" s="1203" customFormat="1">
      <c r="A52" s="1201" t="s">
        <v>552</v>
      </c>
      <c r="B52" s="1202">
        <f ca="1">'预评函-3'!G4</f>
        <v>4460</v>
      </c>
    </row>
    <row r="53" spans="1:2" s="1203" customFormat="1">
      <c r="A53" s="1201" t="s">
        <v>580</v>
      </c>
      <c r="B53" s="1202" t="str">
        <f ca="1">'预评函-3'!F5</f>
        <v>壹亿贰仟壹佰壹拾肆万元整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36" t="s">
        <v>2582</v>
      </c>
      <c r="J2" s="3536"/>
      <c r="K2" s="3536"/>
      <c r="L2" s="3536"/>
      <c r="M2" s="3536"/>
      <c r="N2" s="3536"/>
      <c r="O2" s="3536"/>
      <c r="P2" s="3536"/>
      <c r="Q2" s="3536"/>
      <c r="R2" s="3536"/>
    </row>
    <row r="3" spans="1:18">
      <c r="A3" s="3019" t="s">
        <v>2503</v>
      </c>
      <c r="B3" s="3020">
        <f>项目基本情况!D3</f>
        <v>45022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3.7</v>
      </c>
      <c r="D5" s="3024">
        <f>IF(ISERROR(ROUND(POWER(1+E5,A5-C5)*(POWER(1+E5,C5)-1)/(POWER(1+E5,A5)-1),3)),0,ROUND(POWER(1+E5,A5-C5)*(POWER(1+E5,C5)-1)/(POWER(1+E5,A5)-1),4))</f>
        <v>0.1706</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13.71</v>
      </c>
      <c r="D6" s="3024">
        <f>IF(ISERROR(ROUND(POWER(1+E6,A6-C6)*(POWER(1+E6,C6)-1)/(POWER(1+E6,A6)-1),3)),0,ROUND(POWER(1+E6,A6-C6)*(POWER(1+E6,C6)-1)/(POWER(1+E6,A6)-1),4))</f>
        <v>0.48399999999999999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33.72</v>
      </c>
      <c r="D7" s="3024">
        <f>IF(ISERROR(ROUND(POWER(1+E7,A7-C7)*(POWER(1+E7,C7)-1)/(POWER(1+E7,A7)-1),3)),0,ROUND(POWER(1+E7,A7-C7)*(POWER(1+E7,C7)-1)/(POWER(1+E7,A7)-1),4))</f>
        <v>0.78390000000000004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5" sqref="G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45022</v>
      </c>
      <c r="C3" s="2373" t="s">
        <v>2170</v>
      </c>
      <c r="D3" s="2372">
        <f>B3</f>
        <v>45022</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3381</v>
      </c>
      <c r="C8" s="2389"/>
      <c r="D8" s="3548" t="s">
        <v>2176</v>
      </c>
      <c r="E8" s="2390" t="s">
        <v>3380</v>
      </c>
      <c r="F8" s="2391"/>
      <c r="G8" s="2662"/>
      <c r="H8" s="2662"/>
      <c r="I8" s="2662"/>
      <c r="J8" s="2438"/>
      <c r="K8" s="2613"/>
      <c r="L8" s="2612"/>
      <c r="M8" s="2612"/>
      <c r="N8" s="2438"/>
      <c r="O8" s="2449"/>
      <c r="P8" s="2438"/>
      <c r="Q8" s="2438"/>
      <c r="R8" s="2438"/>
    </row>
    <row r="9" spans="1:30" ht="13.5" thickBot="1">
      <c r="A9" s="2392" t="s">
        <v>2177</v>
      </c>
      <c r="B9" s="2393" t="s">
        <v>3380</v>
      </c>
      <c r="C9" s="2394"/>
      <c r="D9" s="3549"/>
      <c r="E9" s="2393" t="s">
        <v>587</v>
      </c>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3378</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3338</v>
      </c>
      <c r="B13" s="2406" t="s">
        <v>2189</v>
      </c>
      <c r="C13" s="856"/>
      <c r="D13" s="856">
        <v>52898</v>
      </c>
      <c r="E13" s="856"/>
      <c r="F13" s="856"/>
      <c r="G13" s="856"/>
      <c r="H13" s="856"/>
      <c r="I13" s="856"/>
      <c r="J13" s="3061"/>
      <c r="K13" s="2612"/>
      <c r="L13" s="2612"/>
      <c r="M13" s="2438"/>
      <c r="N13" s="2449"/>
      <c r="O13" s="2438"/>
      <c r="P13" s="2438"/>
      <c r="Q13" s="2438"/>
      <c r="AD13" s="1745"/>
    </row>
    <row r="14" spans="1:30">
      <c r="A14" s="1081"/>
      <c r="B14" s="2406" t="s">
        <v>2190</v>
      </c>
      <c r="C14" s="2407"/>
      <c r="D14" s="2407">
        <v>40</v>
      </c>
      <c r="E14" s="2407"/>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f>IF(A13="出让",IF(D13="","",ROUNDDOWN(MIN((D13-$D$3)/365,D14),2)),D14)</f>
        <v>21.57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555"/>
      <c r="C16" s="3556"/>
      <c r="D16" s="3557"/>
      <c r="E16" s="2412" t="s">
        <v>2193</v>
      </c>
      <c r="F16" s="3558"/>
      <c r="G16" s="3559"/>
      <c r="H16" s="3559"/>
      <c r="I16" s="3560"/>
      <c r="J16" s="2438"/>
      <c r="K16" s="2616"/>
      <c r="L16" s="2450"/>
      <c r="M16" s="2450"/>
      <c r="N16" s="2508"/>
      <c r="O16" s="2450"/>
      <c r="P16" s="2508"/>
      <c r="Q16" s="2438"/>
      <c r="R16" s="2438"/>
    </row>
    <row r="17" spans="1:28">
      <c r="A17" s="313" t="s">
        <v>2194</v>
      </c>
      <c r="B17" s="302" t="s">
        <v>2195</v>
      </c>
      <c r="C17" s="8">
        <f>'数据-汇总表'!E3</f>
        <v>27162.899999999998</v>
      </c>
      <c r="D17" s="2321" t="s">
        <v>2196</v>
      </c>
      <c r="E17" s="3561" t="s">
        <v>2197</v>
      </c>
      <c r="F17" s="3562"/>
      <c r="G17" s="3562"/>
      <c r="H17" s="3562"/>
      <c r="I17" s="3563"/>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8298.76</v>
      </c>
      <c r="D18" s="1092" t="s">
        <v>2200</v>
      </c>
      <c r="E18" s="3564" t="s">
        <v>2201</v>
      </c>
      <c r="F18" s="3565"/>
      <c r="G18" s="3565"/>
      <c r="H18" s="3565"/>
      <c r="I18" s="3566"/>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51" t="s">
        <v>2205</v>
      </c>
      <c r="C20" s="3552"/>
      <c r="D20" s="3553" t="s">
        <v>2206</v>
      </c>
      <c r="E20" s="3554"/>
      <c r="F20" s="2646" t="s">
        <v>1056</v>
      </c>
      <c r="G20" s="2663"/>
      <c r="H20" s="2663"/>
      <c r="I20" s="2663"/>
      <c r="J20" s="2438"/>
      <c r="K20" s="355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8"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8"/>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8"/>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9"/>
      <c r="B30" s="302" t="s">
        <v>2217</v>
      </c>
      <c r="C30" s="3540"/>
      <c r="D30" s="3541"/>
      <c r="E30" s="2663"/>
      <c r="F30" s="2663"/>
      <c r="G30" s="2663"/>
      <c r="H30" s="2663"/>
      <c r="I30" s="2663"/>
      <c r="J30" s="2438"/>
      <c r="K30" s="2615"/>
      <c r="L30" s="2612"/>
      <c r="M30" s="2612"/>
      <c r="N30" s="2438"/>
      <c r="O30" s="2449"/>
      <c r="P30" s="2438"/>
      <c r="Q30" s="2438"/>
      <c r="R30" s="2438"/>
      <c r="S30" s="2438"/>
      <c r="T30" s="2438"/>
      <c r="U30" s="2438"/>
      <c r="V30" s="2438"/>
    </row>
    <row r="31" spans="1:28">
      <c r="A31" s="3542"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3"/>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7" t="s">
        <v>2227</v>
      </c>
      <c r="T34" s="2427" t="str">
        <f>NUMBERSTRING(7-K34,1)&amp;"通"</f>
        <v>七通</v>
      </c>
      <c r="U34" s="2438"/>
      <c r="V34" s="2438"/>
    </row>
    <row r="35" spans="1:30">
      <c r="A35" s="2428"/>
      <c r="B35" s="3544" t="s">
        <v>2228</v>
      </c>
      <c r="C35" s="3544"/>
      <c r="D35" s="3544"/>
      <c r="E35" s="354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146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42" sqref="AO4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8298.76</v>
      </c>
      <c r="B3" s="11">
        <f>IF(C3="否",G5-AT5,G5)</f>
        <v>27162.899999999998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27162.899999999998</v>
      </c>
      <c r="H5" s="13">
        <f t="shared" ref="H5:AT5" si="0">SUM(H13:H656)</f>
        <v>26440.1</v>
      </c>
      <c r="I5" s="13">
        <f t="shared" si="0"/>
        <v>23525.599999999999</v>
      </c>
      <c r="J5" s="13">
        <f t="shared" si="0"/>
        <v>0</v>
      </c>
      <c r="K5" s="13">
        <f t="shared" si="0"/>
        <v>2914.5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722.8</v>
      </c>
      <c r="AD5" s="13">
        <f t="shared" si="0"/>
        <v>0</v>
      </c>
      <c r="AE5" s="13">
        <f t="shared" si="0"/>
        <v>0</v>
      </c>
      <c r="AF5" s="13">
        <f t="shared" si="0"/>
        <v>0</v>
      </c>
      <c r="AG5" s="13">
        <f t="shared" si="0"/>
        <v>0</v>
      </c>
      <c r="AH5" s="13">
        <f t="shared" si="0"/>
        <v>0</v>
      </c>
      <c r="AI5" s="13">
        <f t="shared" si="0"/>
        <v>0</v>
      </c>
      <c r="AJ5" s="13">
        <f t="shared" si="0"/>
        <v>0</v>
      </c>
      <c r="AK5" s="13">
        <f t="shared" si="0"/>
        <v>0</v>
      </c>
      <c r="AL5" s="13">
        <f t="shared" si="0"/>
        <v>722.8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27162.899999999998</v>
      </c>
      <c r="BA5" s="15">
        <f t="shared" si="1"/>
        <v>26440.1</v>
      </c>
      <c r="BB5" s="15">
        <f t="shared" si="1"/>
        <v>23525.599999999999</v>
      </c>
      <c r="BC5" s="15">
        <f t="shared" si="1"/>
        <v>2914.5</v>
      </c>
      <c r="BD5" s="15">
        <f t="shared" si="1"/>
        <v>0</v>
      </c>
      <c r="BE5" s="15">
        <f t="shared" si="1"/>
        <v>0</v>
      </c>
      <c r="BF5" s="15">
        <f t="shared" si="1"/>
        <v>0</v>
      </c>
      <c r="BG5" s="15">
        <f t="shared" si="1"/>
        <v>0</v>
      </c>
      <c r="BH5" s="15">
        <f t="shared" si="1"/>
        <v>0</v>
      </c>
      <c r="BI5" s="15">
        <f t="shared" si="1"/>
        <v>0</v>
      </c>
      <c r="BJ5" s="15">
        <f t="shared" si="1"/>
        <v>0</v>
      </c>
      <c r="BK5" s="15">
        <f t="shared" si="1"/>
        <v>0</v>
      </c>
      <c r="BL5" s="15">
        <f t="shared" si="1"/>
        <v>722.8</v>
      </c>
      <c r="BM5" s="15">
        <f t="shared" si="1"/>
        <v>0</v>
      </c>
      <c r="BN5" s="15">
        <f t="shared" si="1"/>
        <v>0</v>
      </c>
      <c r="BO5" s="15">
        <f t="shared" si="1"/>
        <v>0</v>
      </c>
      <c r="BP5" s="15">
        <f t="shared" si="1"/>
        <v>0</v>
      </c>
      <c r="BQ5" s="15">
        <f t="shared" si="1"/>
        <v>722.8</v>
      </c>
      <c r="BR5" s="15">
        <f t="shared" si="1"/>
        <v>0</v>
      </c>
      <c r="BS5" s="15">
        <f t="shared" si="1"/>
        <v>0</v>
      </c>
      <c r="BT5" s="16">
        <f t="shared" si="1"/>
        <v>0</v>
      </c>
    </row>
    <row r="6" spans="1:72" s="1589" customFormat="1" ht="12.75">
      <c r="A6" s="12" t="s">
        <v>1072</v>
      </c>
      <c r="B6" s="1586"/>
      <c r="C6" s="1586"/>
      <c r="D6" s="1587"/>
      <c r="E6" s="13">
        <f>H6+AC6+AT6</f>
        <v>8298.76</v>
      </c>
      <c r="F6" s="13" t="s">
        <v>0</v>
      </c>
      <c r="G6" s="13" t="s">
        <v>1</v>
      </c>
      <c r="H6" s="17">
        <f>SUMIF(I$12:AB$12,"总值",I6:AB6)</f>
        <v>8077.93</v>
      </c>
      <c r="I6" s="13">
        <f t="shared" ref="I6:AB6" si="2">ROUND($A$3*I5/$B$3,2)</f>
        <v>7187.5</v>
      </c>
      <c r="J6" s="13">
        <f t="shared" si="2"/>
        <v>0</v>
      </c>
      <c r="K6" s="13">
        <f t="shared" si="2"/>
        <v>890.43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220.83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220.83</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8298.76</v>
      </c>
      <c r="AZ6" s="13" t="s">
        <v>2</v>
      </c>
      <c r="BA6" s="13">
        <f>ROUND($AY$6*BA5/$AZ$5,2)</f>
        <v>8077.93</v>
      </c>
      <c r="BB6" s="13">
        <f>ROUND($AY$6*BB5/$AZ$5,2)</f>
        <v>7187.5</v>
      </c>
      <c r="BC6" s="13">
        <f t="shared" ref="BC6:BH6" si="4">ROUND($AY$6*BC5/$AZ$5,2)</f>
        <v>890.43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220.83</v>
      </c>
      <c r="BM6" s="13">
        <f t="shared" si="5"/>
        <v>0</v>
      </c>
      <c r="BN6" s="13">
        <f t="shared" si="5"/>
        <v>0</v>
      </c>
      <c r="BO6" s="13">
        <f t="shared" si="5"/>
        <v>0</v>
      </c>
      <c r="BP6" s="13">
        <f t="shared" si="5"/>
        <v>0</v>
      </c>
      <c r="BQ6" s="13">
        <f t="shared" si="5"/>
        <v>220.83</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t="s">
        <v>3384</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8298.76</v>
      </c>
      <c r="F13" s="29"/>
      <c r="G13" s="30">
        <f>H13+AC13+AT13</f>
        <v>27162.899999999998</v>
      </c>
      <c r="H13" s="17">
        <f>SUMIF(I$12:AB$12,"总值",I13:AB13)</f>
        <v>26440.1</v>
      </c>
      <c r="I13" s="1626">
        <v>23525.599999999999</v>
      </c>
      <c r="J13" s="1626"/>
      <c r="K13" s="1626">
        <v>2914.5</v>
      </c>
      <c r="L13" s="1626"/>
      <c r="M13" s="1626"/>
      <c r="N13" s="1626"/>
      <c r="O13" s="1626"/>
      <c r="P13" s="1626"/>
      <c r="Q13" s="1626"/>
      <c r="R13" s="1626"/>
      <c r="S13" s="1626"/>
      <c r="T13" s="1626"/>
      <c r="U13" s="1626"/>
      <c r="V13" s="1626"/>
      <c r="W13" s="1626"/>
      <c r="X13" s="1626"/>
      <c r="Y13" s="1626"/>
      <c r="Z13" s="1626"/>
      <c r="AA13" s="1626"/>
      <c r="AB13" s="1626"/>
      <c r="AC13" s="13">
        <f>SUMIF(AD$12:AS$12,"总值",AD13:AS13)</f>
        <v>722.8</v>
      </c>
      <c r="AD13" s="1627"/>
      <c r="AE13" s="1627"/>
      <c r="AF13" s="1627"/>
      <c r="AG13" s="1627"/>
      <c r="AH13" s="1627"/>
      <c r="AI13" s="1627"/>
      <c r="AJ13" s="1627"/>
      <c r="AK13" s="1627"/>
      <c r="AL13" s="1627">
        <f>356.7+366.1</f>
        <v>722.8</v>
      </c>
      <c r="AM13" s="1627"/>
      <c r="AN13" s="1627"/>
      <c r="AO13" s="1627"/>
      <c r="AP13" s="1627"/>
      <c r="AQ13" s="1627"/>
      <c r="AR13" s="1627"/>
      <c r="AS13" s="1627"/>
      <c r="AT13" s="1628"/>
      <c r="AU13" s="1629"/>
      <c r="AV13" s="8">
        <f t="shared" ref="AV13:AX17" si="6">A13</f>
        <v>0</v>
      </c>
      <c r="AW13" s="8">
        <f t="shared" si="6"/>
        <v>0</v>
      </c>
      <c r="AX13" s="8">
        <f t="shared" si="6"/>
        <v>0</v>
      </c>
      <c r="AY13" s="1349">
        <f>ROUND($AY$6*AZ13/$AZ$5,2)</f>
        <v>8298.76</v>
      </c>
      <c r="AZ13" s="13">
        <f>BA13+BL13</f>
        <v>27162.899999999998</v>
      </c>
      <c r="BA13" s="13">
        <f>SUM(BB13:BK13)</f>
        <v>26440.1</v>
      </c>
      <c r="BB13" s="13">
        <f>IF($D13="是",I13-J13,0)</f>
        <v>23525.599999999999</v>
      </c>
      <c r="BC13" s="13">
        <f>IF($D13="是",K13-L13,0)</f>
        <v>2914.5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722.8</v>
      </c>
      <c r="BM13" s="13">
        <f>IF($D13="是",AD13-AE13,0)</f>
        <v>0</v>
      </c>
      <c r="BN13" s="13">
        <f>IF($D13="是",AF13-AG13,0)</f>
        <v>0</v>
      </c>
      <c r="BO13" s="13">
        <f>IF($D13="是",AH13-AI13,0)</f>
        <v>0</v>
      </c>
      <c r="BP13" s="13">
        <f>IF($D13="是",AJ13-AK13,0)</f>
        <v>0</v>
      </c>
      <c r="BQ13" s="13">
        <f>IF($D13="是",AL13-AM13,0)</f>
        <v>722.8</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5" sqref="H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6" t="s">
        <v>1131</v>
      </c>
      <c r="B2" s="3576"/>
      <c r="C2" s="3576"/>
      <c r="D2" s="796" t="s">
        <v>1107</v>
      </c>
      <c r="E2" s="1639" t="s">
        <v>1108</v>
      </c>
      <c r="F2" s="2658"/>
      <c r="G2" s="2649"/>
      <c r="H2" s="2650"/>
      <c r="I2" s="2324" t="s">
        <v>1132</v>
      </c>
      <c r="J2" s="2658"/>
      <c r="K2" s="2658"/>
      <c r="L2" s="2658"/>
      <c r="M2" s="2658"/>
      <c r="N2" s="2660"/>
      <c r="O2" s="2658"/>
      <c r="P2" s="2658"/>
    </row>
    <row r="3" spans="1:16" ht="15.75" thickBot="1">
      <c r="A3" s="3577" t="s">
        <v>1105</v>
      </c>
      <c r="B3" s="3577"/>
      <c r="C3" s="3577"/>
      <c r="D3" s="43">
        <f>'数据-基础表'!AY6</f>
        <v>8298.76</v>
      </c>
      <c r="E3" s="43">
        <f>'数据-基础表'!AZ5</f>
        <v>27162.899999999998</v>
      </c>
      <c r="F3" s="2658"/>
      <c r="G3" s="1145"/>
      <c r="H3" s="1026" t="s">
        <v>1106</v>
      </c>
      <c r="I3" s="855">
        <f>ROUND('数据-基础表'!B3/'数据-基础表'!A3,2)</f>
        <v>3.27</v>
      </c>
      <c r="J3" s="2658"/>
      <c r="K3" s="2658"/>
      <c r="L3" s="2658"/>
      <c r="M3" s="2658"/>
      <c r="N3" s="2660"/>
      <c r="O3" s="2658"/>
      <c r="P3" s="2658"/>
    </row>
    <row r="4" spans="1:16" ht="15">
      <c r="A4" s="3578"/>
      <c r="B4" s="3579"/>
      <c r="C4" s="3580"/>
      <c r="D4" s="1641" t="s">
        <v>1107</v>
      </c>
      <c r="E4" s="1642" t="s">
        <v>1108</v>
      </c>
      <c r="F4" s="2658"/>
      <c r="G4" s="2651" t="s">
        <v>1133</v>
      </c>
      <c r="H4" s="1026" t="s">
        <v>1113</v>
      </c>
      <c r="I4" s="855">
        <f>ROUND(SUMIF('数据-基础表'!I9:AS9,"地上",'数据-基础表'!I5:AS5)/'数据-基础表'!A3,2)</f>
        <v>2.92</v>
      </c>
      <c r="J4" s="2658"/>
      <c r="K4" s="2658"/>
      <c r="L4" s="2658"/>
      <c r="M4" s="2658"/>
      <c r="N4" s="2660"/>
      <c r="O4" s="2658"/>
      <c r="P4" s="2658"/>
    </row>
    <row r="5" spans="1:16">
      <c r="A5" s="44" t="s">
        <v>1109</v>
      </c>
      <c r="B5" s="3581" t="s">
        <v>1110</v>
      </c>
      <c r="C5" s="3581"/>
      <c r="D5" s="45">
        <f>ROUND($D$3*E5/$E$3,2)</f>
        <v>0</v>
      </c>
      <c r="E5" s="46">
        <f>SUMIF('数据-基础表'!$11:$11,"住宅",'数据-基础表'!$5:$5)</f>
        <v>0</v>
      </c>
      <c r="F5" s="2658"/>
      <c r="G5" s="1145"/>
      <c r="H5" s="1026" t="s">
        <v>1106</v>
      </c>
      <c r="I5" s="855">
        <f>ROUND(E31/D31,2)</f>
        <v>3.27</v>
      </c>
      <c r="J5" s="2658"/>
      <c r="K5" s="2658"/>
      <c r="L5" s="2658"/>
      <c r="M5" s="2658"/>
      <c r="N5" s="2658"/>
      <c r="O5" s="2658"/>
      <c r="P5" s="2658"/>
    </row>
    <row r="6" spans="1:16" ht="15" thickBot="1">
      <c r="A6" s="1644"/>
      <c r="B6" s="3581" t="s">
        <v>1111</v>
      </c>
      <c r="C6" s="3581"/>
      <c r="D6" s="45">
        <f>ROUND($D$3*E6/$E$3,2)</f>
        <v>8298.76</v>
      </c>
      <c r="E6" s="46">
        <f>E3-E5</f>
        <v>27162.899999999998</v>
      </c>
      <c r="F6" s="2658"/>
      <c r="G6" s="2652" t="s">
        <v>1112</v>
      </c>
      <c r="H6" s="1146" t="s">
        <v>1113</v>
      </c>
      <c r="I6" s="2653">
        <f>ROUND(F31/D31,2)</f>
        <v>2.92</v>
      </c>
      <c r="J6" s="2658"/>
      <c r="K6" s="2658"/>
      <c r="L6" s="2658"/>
      <c r="M6" s="2658"/>
      <c r="N6" s="2658"/>
      <c r="O6" s="2658"/>
      <c r="P6" s="2658"/>
    </row>
    <row r="7" spans="1:16" ht="15.75" thickBot="1">
      <c r="A7" s="3573"/>
      <c r="B7" s="3574"/>
      <c r="C7" s="357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7187.5</v>
      </c>
      <c r="E8" s="48">
        <f>SUMIF('数据-基础表'!BB10:BK10,"地上",'数据-基础表'!BB5:BK5)</f>
        <v>23525.599999999999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890.43</v>
      </c>
      <c r="E10" s="48">
        <f>SUMPRODUCT(('数据-基础表'!BB10:BK10="地下")*('数据-基础表'!BB11:BK11="商业")*('数据-基础表'!BB5:BK5))</f>
        <v>2914.5</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8077.93</v>
      </c>
      <c r="E16" s="50">
        <f>SUM(E8:E15)</f>
        <v>26440.1</v>
      </c>
      <c r="F16" s="2658"/>
      <c r="G16" s="2659"/>
      <c r="H16" s="1648" t="s">
        <v>1135</v>
      </c>
      <c r="I16" s="1649"/>
      <c r="J16" s="1139"/>
      <c r="K16" s="3570" t="s">
        <v>1135</v>
      </c>
      <c r="L16" s="3571"/>
      <c r="M16" s="3571"/>
      <c r="N16" s="3571"/>
      <c r="O16" s="3571"/>
      <c r="P16" s="3572"/>
    </row>
    <row r="17" spans="1:19" ht="15">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3386</v>
      </c>
      <c r="D19" s="45">
        <f>ROUND($D$3*E19/$E$3,2)</f>
        <v>8077.93</v>
      </c>
      <c r="E19" s="53">
        <f t="shared" ref="E19:E26" si="1">SUM(F19:G19)</f>
        <v>26440.1</v>
      </c>
      <c r="F19" s="2794">
        <v>23525.599999999999</v>
      </c>
      <c r="G19" s="2795">
        <v>2914.5</v>
      </c>
      <c r="H19" s="670">
        <f>ROUND($D$3*I19/$E$3,2)</f>
        <v>220.83</v>
      </c>
      <c r="I19" s="48">
        <f t="shared" ref="I19:I26" si="2">IF($I$17="自定义",P19,M19)</f>
        <v>722.8</v>
      </c>
      <c r="J19" s="1139"/>
      <c r="K19" s="1138">
        <f t="shared" ref="K19:K26" si="3">ROUND(E$28*E19/E$27,2)</f>
        <v>722.8</v>
      </c>
      <c r="L19" s="1026">
        <f t="shared" ref="L19:L26" si="4">ROUND(IF(COUNTIF(C19,"*住宅*")&gt;0,E$29*E19/E$32,0),2)</f>
        <v>0</v>
      </c>
      <c r="M19" s="1150">
        <f>K19+L19</f>
        <v>722.8</v>
      </c>
      <c r="N19" s="1668"/>
      <c r="O19" s="1669"/>
      <c r="P19" s="1150">
        <f>N19+O19</f>
        <v>0</v>
      </c>
      <c r="R19" s="1026">
        <f t="shared" ref="R19:S26" si="5">D19+H19</f>
        <v>8298.76</v>
      </c>
      <c r="S19" s="1027">
        <f t="shared" si="5"/>
        <v>27162.899999999998</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8077.93</v>
      </c>
      <c r="E27" s="1141">
        <f>IF(SUM(E19:E26)='数据-基础表'!BA5,SUM(E19:E26),IF(F27="地上面积有误","面积有误","地下面积有误"))</f>
        <v>26440.1</v>
      </c>
      <c r="F27" s="1140">
        <f>IF(SUM(F19:F26)=E8,SUM(F19:F26),"地上面积有误")</f>
        <v>23525.599999999999</v>
      </c>
      <c r="G27" s="1142">
        <f>SUM(G19:G26)</f>
        <v>2914.5</v>
      </c>
      <c r="H27" s="1143">
        <f>SUM(H19:H26)</f>
        <v>220.83</v>
      </c>
      <c r="I27" s="1144">
        <f>SUM(I19:I26)</f>
        <v>722.8</v>
      </c>
      <c r="J27" s="1139"/>
      <c r="K27" s="1147">
        <f>SUM(K19:K26)</f>
        <v>722.8</v>
      </c>
      <c r="L27" s="1148">
        <f>SUM(L19:L26)</f>
        <v>0</v>
      </c>
      <c r="M27" s="1151">
        <f>SUM(M19:M26)</f>
        <v>722.8</v>
      </c>
      <c r="N27" s="1147">
        <f t="shared" ref="N27:O27" si="10">SUM(N19:N26)</f>
        <v>0</v>
      </c>
      <c r="O27" s="1148">
        <f t="shared" si="10"/>
        <v>0</v>
      </c>
      <c r="P27" s="1149">
        <f>SUM(P19:P26)</f>
        <v>0</v>
      </c>
      <c r="R27" s="1028">
        <f>IF(SUM(R19:R26)=$D$3,SUM(R19:R26),SUM(R19:R26)&amp;"误差"&amp;ROUND(SUM(R19:R26)-$D$3,2))</f>
        <v>8298.76</v>
      </c>
      <c r="S27" s="1026">
        <f>IF(SUM(S19:S26)=$E$3,SUM(S19:S26),SUM(S19:S26)&amp;"误差"&amp;ROUND(SUM(S19:S26)-E3,2))</f>
        <v>27162.899999999998</v>
      </c>
    </row>
    <row r="28" spans="1:19">
      <c r="A28" s="1670"/>
      <c r="B28" s="47" t="s">
        <v>1155</v>
      </c>
      <c r="C28" s="1038" t="s">
        <v>1156</v>
      </c>
      <c r="D28" s="45">
        <f>ROUND($D$3*E28/$E$3,2)</f>
        <v>220.83</v>
      </c>
      <c r="E28" s="53">
        <f>SUM(F28:G28)</f>
        <v>722.8</v>
      </c>
      <c r="F28" s="56">
        <f>'数据-基础表'!BQ5+'数据-基础表'!BS5</f>
        <v>722.8</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220.83</v>
      </c>
      <c r="E30" s="1140">
        <f>SUM(E28:E29)</f>
        <v>722.8</v>
      </c>
      <c r="F30" s="1140">
        <f>SUM(F28:F29)</f>
        <v>722.8</v>
      </c>
      <c r="G30" s="1142">
        <f>SUM(G28:G29)</f>
        <v>0</v>
      </c>
      <c r="H30" s="2658"/>
      <c r="I30" s="2658"/>
      <c r="J30" s="2658"/>
      <c r="K30" s="2658"/>
      <c r="L30" s="2658"/>
      <c r="M30" s="2658"/>
      <c r="N30" s="2658"/>
      <c r="O30" s="2658"/>
      <c r="P30" s="2658"/>
    </row>
    <row r="31" spans="1:19" ht="15.75" thickBot="1">
      <c r="A31" s="1676"/>
      <c r="B31" s="1677"/>
      <c r="C31" s="835" t="s">
        <v>1158</v>
      </c>
      <c r="D31" s="676">
        <f>D27+D30</f>
        <v>8298.76</v>
      </c>
      <c r="E31" s="676">
        <f>E27+E30</f>
        <v>27162.899999999998</v>
      </c>
      <c r="F31" s="677">
        <f>F27+F30</f>
        <v>24248.399999999998</v>
      </c>
      <c r="G31" s="678">
        <f>G27+G30</f>
        <v>2914.5</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U6" activePane="bottomRight" state="frozen"/>
      <selection activeCell="C50" sqref="C50"/>
      <selection pane="topRight" activeCell="C50" sqref="C50"/>
      <selection pane="bottomLeft" activeCell="C50" sqref="C50"/>
      <selection pane="bottomRight" activeCell="AM40" sqref="AM40:AM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52898</v>
      </c>
      <c r="F6" s="64">
        <f>SUMIF(项目基本情况!C$12:I$12,C6,项目基本情况!C$15:I$15)</f>
        <v>21.57</v>
      </c>
      <c r="G6" s="65">
        <f>IF(ISERROR(ROUND(POWER(1+H6,D6-F6)*(POWER(1+H6,F6)-1)/(POWER(1+H6,D6)-1),3)),0,ROUND(POWER(1+H6,D6-F6)*(POWER(1+H6,F6)-1)/(POWER(1+H6,D6)-1),3))</f>
        <v>0.75900000000000001</v>
      </c>
      <c r="H6" s="732">
        <v>0.05</v>
      </c>
      <c r="I6" s="732">
        <v>5.5E-2</v>
      </c>
      <c r="J6" s="66">
        <v>7.0000000000000007E-2</v>
      </c>
      <c r="K6" s="1030">
        <f>SUMIF('数据-汇总表'!C$19:C$33,A6,'数据-汇总表'!E$19:E$33)</f>
        <v>26440.1</v>
      </c>
      <c r="L6" s="733">
        <v>5000</v>
      </c>
      <c r="M6" s="67">
        <f t="shared" ref="M6:M14" si="0">ROUND(K6*L6/10000,0)</f>
        <v>13220</v>
      </c>
      <c r="N6" s="731">
        <f>N21</f>
        <v>0.62</v>
      </c>
      <c r="O6" s="67" t="str">
        <f>IF($N$5="成新度","——",ROUND(M6*N6,0))</f>
        <v>——</v>
      </c>
      <c r="P6" s="68" t="str">
        <f>IF($N$5="成新度","——",M6-O6)</f>
        <v>——</v>
      </c>
      <c r="Q6" s="734">
        <v>0.2</v>
      </c>
      <c r="R6" s="69">
        <f ca="1">SUMIF('数据-汇总表'!C$19:C$33,A6,'数据-汇总表'!R$19:R$27)</f>
        <v>8298.76</v>
      </c>
      <c r="S6" s="51">
        <f>IF('数据-汇总表'!$I$17="按面积比例",SUMIF('数据-汇总表'!C$19:C$33,A6,'数据-汇总表'!K$19:K$33),SUMIF('数据-汇总表'!C$19:C$33,A6,'数据-汇总表'!N$19:N$33))</f>
        <v>722.8</v>
      </c>
      <c r="T6" s="1172">
        <f>ROUND($L$14*S6/10000,0)</f>
        <v>361</v>
      </c>
      <c r="U6" s="3427">
        <v>5</v>
      </c>
      <c r="V6" s="70">
        <v>0.03</v>
      </c>
      <c r="W6" s="70">
        <v>0.1</v>
      </c>
      <c r="X6" s="1040"/>
      <c r="Y6" s="71">
        <f>N6</f>
        <v>0.62</v>
      </c>
      <c r="Z6" s="72"/>
      <c r="AA6" s="66"/>
      <c r="AB6" s="66"/>
      <c r="AC6" s="1040"/>
      <c r="AD6" s="73"/>
      <c r="AE6" s="1041">
        <f ca="1">IF(AN6="",0,SUMIF(INDIRECT("'"&amp;AN6&amp;"'"&amp;"!E:E"),$AE$5,INDIRECT("'"&amp;AN6&amp;"'"&amp;"!F:F")))</f>
        <v>21.57</v>
      </c>
      <c r="AF6" s="1348"/>
      <c r="AG6" s="138">
        <f>IF(AF6="",0,AE6-AF6)</f>
        <v>0</v>
      </c>
      <c r="AH6" s="74"/>
      <c r="AI6" s="76">
        <v>365</v>
      </c>
      <c r="AJ6" s="77"/>
      <c r="AK6" s="78">
        <v>0.01</v>
      </c>
      <c r="AL6" s="79">
        <v>1.5E-3</v>
      </c>
      <c r="AM6" s="80">
        <v>0.01</v>
      </c>
      <c r="AN6" s="1715" t="s">
        <v>3403</v>
      </c>
      <c r="AO6" s="52">
        <f ca="1">SUMIF(INDIRECT("'"&amp;AN6&amp;"'"&amp;"!A:A"),"总价",INDIRECT("'"&amp;AN6&amp;"'"&amp;"!B:B"))</f>
        <v>55658</v>
      </c>
      <c r="AP6" s="1716">
        <f>IF(C6="住宅",K6*L6,0)</f>
        <v>0</v>
      </c>
      <c r="AQ6" s="52">
        <f>ROUND($L$14*$N$14*S6/10000,0)</f>
        <v>224</v>
      </c>
      <c r="AR6" s="52">
        <f>ROUND($L$14*(1-$N$14)*S6/10000,0)</f>
        <v>137</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722.8</v>
      </c>
      <c r="L14" s="82">
        <f>L6</f>
        <v>5000</v>
      </c>
      <c r="M14" s="67">
        <f t="shared" si="0"/>
        <v>361</v>
      </c>
      <c r="N14" s="83">
        <f>N6</f>
        <v>0.62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0.75900000000000001</v>
      </c>
      <c r="H16" s="90">
        <f>ROUND(SUMPRODUCT(H6:H13,K6:K13)/SUMPRODUCT((H6:H13&gt;0)*(K6:K13)),3)</f>
        <v>0.05</v>
      </c>
      <c r="I16" s="91"/>
      <c r="J16" s="91"/>
      <c r="K16" s="92">
        <f>SUM(K6:K15)</f>
        <v>27162.899999999998</v>
      </c>
      <c r="L16" s="93">
        <f>ROUND(M16*10000/SUM(K6:K14),0)</f>
        <v>5000</v>
      </c>
      <c r="M16" s="93">
        <f>SUM(M6:M14)</f>
        <v>13581</v>
      </c>
      <c r="N16" s="94">
        <f>ROUND(SUMPRODUCT(M6:M14,N6:N14)/M16,3)</f>
        <v>0.62</v>
      </c>
      <c r="O16" s="93">
        <f>SUM(O6:O14)</f>
        <v>0</v>
      </c>
      <c r="P16" s="93">
        <f>SUM(P6:P14)</f>
        <v>0</v>
      </c>
      <c r="Q16" s="95">
        <f>ROUND(SUMPRODUCT(Q6:Q13,K6:K13)/SUMPRODUCT((Q6:Q13&gt;0)*(K6:K13)),2)</f>
        <v>0.2</v>
      </c>
      <c r="R16" s="1034">
        <f ca="1">SUM(R6:R13)</f>
        <v>8298.76</v>
      </c>
      <c r="S16" s="96">
        <f>SUM(S6:S13)</f>
        <v>722.8</v>
      </c>
      <c r="T16" s="97">
        <f>IF(SUMIF(T6:T13,"&lt;9E307")=M14,SUMIF(T6:T13,"&lt;9E307"),"有误，请检查")</f>
        <v>361</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0" t="s">
        <v>3399</v>
      </c>
      <c r="N18" s="2670">
        <v>1986</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3449" t="s">
        <v>3398</v>
      </c>
      <c r="N19" s="2670">
        <f>ROUND(1-(2023-N18)/60,2)</f>
        <v>0.38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3449" t="s">
        <v>3400</v>
      </c>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49" t="s">
        <v>3401</v>
      </c>
      <c r="N21" s="2670">
        <f>ROUND((N20+N19)/2,2)</f>
        <v>0.62</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543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3402</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82" t="s">
        <v>2285</v>
      </c>
      <c r="B1" s="3583"/>
      <c r="C1" s="3583"/>
      <c r="D1" s="3583"/>
      <c r="E1" s="3583"/>
      <c r="F1" s="3583"/>
      <c r="G1" s="358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38782</v>
      </c>
      <c r="D5" s="2511" t="e">
        <f>ROUND(B5*10000/$B$2,0)</f>
        <v>#DIV/0!</v>
      </c>
      <c r="E5" s="2685"/>
      <c r="F5" s="2686"/>
      <c r="G5" s="2686"/>
      <c r="H5" s="2687"/>
      <c r="I5" s="2687"/>
      <c r="J5" s="2687"/>
      <c r="K5" s="2687"/>
    </row>
    <row r="6" spans="1:11" ht="16.5">
      <c r="A6" s="2511" t="s">
        <v>656</v>
      </c>
      <c r="B6" s="2511">
        <f>SUM(G14:G23)</f>
        <v>0</v>
      </c>
      <c r="C6" s="2511">
        <f ca="1">IF(B6=G14,结果表!H108,ROUND(B6*10000/$B$1,0))</f>
        <v>38782</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36946</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6" zoomScaleNormal="100" zoomScaleSheetLayoutView="100" zoomScalePageLayoutView="80" workbookViewId="0">
      <selection activeCell="F75" sqref="F7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3595</v>
      </c>
      <c r="D4" s="1756" t="s">
        <v>3404</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98" t="s">
        <v>1268</v>
      </c>
      <c r="B5" s="3585">
        <v>25</v>
      </c>
      <c r="C5" s="3601"/>
      <c r="D5" s="3621"/>
      <c r="E5" s="131" t="s">
        <v>1269</v>
      </c>
      <c r="F5" s="1757"/>
      <c r="G5" s="1757"/>
      <c r="H5" s="1757"/>
      <c r="I5" s="1373"/>
    </row>
    <row r="6" spans="1:12" ht="12.75">
      <c r="A6" s="3598"/>
      <c r="B6" s="3585"/>
      <c r="C6" s="3602"/>
      <c r="D6" s="3621"/>
      <c r="E6" s="131" t="s">
        <v>1270</v>
      </c>
      <c r="F6" s="1757"/>
      <c r="G6" s="1757"/>
      <c r="H6" s="1757"/>
      <c r="I6" s="1373"/>
    </row>
    <row r="7" spans="1:12" ht="12.75">
      <c r="A7" s="3598"/>
      <c r="B7" s="3585"/>
      <c r="C7" s="3603"/>
      <c r="D7" s="3621"/>
      <c r="E7" s="131" t="s">
        <v>1271</v>
      </c>
      <c r="F7" s="1757"/>
      <c r="G7" s="1757"/>
      <c r="H7" s="1757"/>
      <c r="I7" s="1373"/>
    </row>
    <row r="8" spans="1:12" ht="12.75">
      <c r="A8" s="3598" t="s">
        <v>1272</v>
      </c>
      <c r="B8" s="3585">
        <v>15</v>
      </c>
      <c r="C8" s="3601"/>
      <c r="D8" s="3621"/>
      <c r="E8" s="131" t="s">
        <v>1273</v>
      </c>
      <c r="F8" s="1757"/>
      <c r="G8" s="1757"/>
      <c r="H8" s="1757"/>
      <c r="I8" s="1373"/>
    </row>
    <row r="9" spans="1:12" ht="12.75">
      <c r="A9" s="3598"/>
      <c r="B9" s="3585"/>
      <c r="C9" s="3603"/>
      <c r="D9" s="3621"/>
      <c r="E9" s="131" t="s">
        <v>1274</v>
      </c>
      <c r="F9" s="1757"/>
      <c r="G9" s="1757"/>
      <c r="H9" s="1757"/>
      <c r="I9" s="1373"/>
    </row>
    <row r="10" spans="1:12" ht="12.75">
      <c r="A10" s="3598" t="s">
        <v>1275</v>
      </c>
      <c r="B10" s="3585">
        <v>15</v>
      </c>
      <c r="C10" s="3601"/>
      <c r="D10" s="3621"/>
      <c r="E10" s="131" t="s">
        <v>1276</v>
      </c>
      <c r="F10" s="1757"/>
      <c r="G10" s="1757"/>
      <c r="H10" s="1757"/>
      <c r="I10" s="1373"/>
    </row>
    <row r="11" spans="1:12" ht="12.75">
      <c r="A11" s="3598"/>
      <c r="B11" s="3585"/>
      <c r="C11" s="3603"/>
      <c r="D11" s="3621"/>
      <c r="E11" s="131" t="s">
        <v>1277</v>
      </c>
      <c r="F11" s="1757"/>
      <c r="G11" s="1757"/>
      <c r="H11" s="1757"/>
      <c r="I11" s="1373"/>
    </row>
    <row r="12" spans="1:12" ht="12.75">
      <c r="A12" s="3598" t="s">
        <v>1278</v>
      </c>
      <c r="B12" s="3585">
        <v>15</v>
      </c>
      <c r="C12" s="3601"/>
      <c r="D12" s="3621"/>
      <c r="E12" s="131" t="s">
        <v>1279</v>
      </c>
      <c r="F12" s="1757"/>
      <c r="G12" s="1757"/>
      <c r="H12" s="1757"/>
      <c r="I12" s="1373"/>
    </row>
    <row r="13" spans="1:12" ht="12.75">
      <c r="A13" s="3598"/>
      <c r="B13" s="3585"/>
      <c r="C13" s="3603"/>
      <c r="D13" s="3621"/>
      <c r="E13" s="131" t="s">
        <v>1280</v>
      </c>
      <c r="F13" s="1757"/>
      <c r="G13" s="1757"/>
      <c r="H13" s="1757"/>
      <c r="I13" s="1373"/>
    </row>
    <row r="14" spans="1:12" ht="12.75">
      <c r="A14" s="3598" t="s">
        <v>1281</v>
      </c>
      <c r="B14" s="3585">
        <v>30</v>
      </c>
      <c r="C14" s="3601">
        <v>5</v>
      </c>
      <c r="D14" s="3621">
        <v>5</v>
      </c>
      <c r="E14" s="131" t="s">
        <v>1282</v>
      </c>
      <c r="F14" s="1757"/>
      <c r="G14" s="1757"/>
      <c r="H14" s="1757"/>
      <c r="I14" s="1373"/>
    </row>
    <row r="15" spans="1:12" ht="12.75">
      <c r="A15" s="3598"/>
      <c r="B15" s="3585"/>
      <c r="C15" s="3602"/>
      <c r="D15" s="3621"/>
      <c r="E15" s="131" t="s">
        <v>1283</v>
      </c>
      <c r="F15" s="1757"/>
      <c r="G15" s="1757"/>
      <c r="H15" s="1757"/>
      <c r="I15" s="1373"/>
    </row>
    <row r="16" spans="1:12" ht="12.75">
      <c r="A16" s="3598"/>
      <c r="B16" s="3585"/>
      <c r="C16" s="3603"/>
      <c r="D16" s="362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8" t="s">
        <v>2130</v>
      </c>
      <c r="F18" s="3609"/>
      <c r="G18" s="3609"/>
      <c r="H18" s="3609"/>
      <c r="I18" s="3609"/>
      <c r="K18" s="302" t="s">
        <v>1289</v>
      </c>
      <c r="L18" s="302">
        <f>IF(C1="",'数据-汇总表'!E3,SUMIF(项目类型,C1,'数据-汇总表'!E17:E26)+SUMIF(项目类型,C1,'数据-汇总表'!I17:I26))</f>
        <v>27162.899999999998</v>
      </c>
      <c r="M18" s="302">
        <f>IF(C1="",'数据-汇总表'!E3,SUMIF(项目类型,C1,'数据-汇总表'!E17:E26))</f>
        <v>27162.899999999998</v>
      </c>
    </row>
    <row r="19" spans="1:36" ht="15">
      <c r="A19" s="1761" t="s">
        <v>1290</v>
      </c>
      <c r="B19" s="1762" t="s">
        <v>1291</v>
      </c>
      <c r="C19" s="134">
        <f ca="1">SUMIF(INDIRECT("'"&amp;C4&amp;"'"&amp;"!A:A"),结果表!B19,INDIRECT("'"&amp;C4&amp;"'"&amp;"!B:B"))</f>
        <v>101141</v>
      </c>
      <c r="D19" s="135">
        <f ca="1">SUMIF(INDIRECT("'"&amp;D4&amp;"'"&amp;"!A:A"),结果表!B19,INDIRECT("'"&amp;D4&amp;"'"&amp;"!B:B"))</f>
        <v>109544</v>
      </c>
      <c r="E19" s="1761" t="s">
        <v>1292</v>
      </c>
      <c r="F19" s="1762" t="s">
        <v>1291</v>
      </c>
      <c r="G19" s="136">
        <f ca="1">ROUND(C19*$C$18+D19*$D$18,0)</f>
        <v>105343</v>
      </c>
      <c r="H19" s="1763" t="s">
        <v>1293</v>
      </c>
      <c r="I19" s="129"/>
      <c r="K19" s="302" t="s">
        <v>1294</v>
      </c>
      <c r="L19" s="302">
        <f>IF(C1="",'数据-汇总表'!D3,SUMIF(项目类型,C1,'数据-汇总表'!D17:D26)+SUMIF(项目类型,C1,'数据-汇总表'!H17:H27))</f>
        <v>8298.76</v>
      </c>
      <c r="M19" s="302">
        <f>IF(C1="",'数据-汇总表'!D3,SUMIF(项目类型,C1,'数据-汇总表'!D17:D26))</f>
        <v>8298.76</v>
      </c>
    </row>
    <row r="20" spans="1:36" ht="15">
      <c r="A20" s="1764"/>
      <c r="B20" s="1026" t="s">
        <v>1295</v>
      </c>
      <c r="C20" s="137">
        <f ca="1">SUMIF(INDIRECT("'"&amp;C4&amp;"'"&amp;"!A:A"),结果表!B20,INDIRECT("'"&amp;C4&amp;"'"&amp;"!B:B"))</f>
        <v>42992</v>
      </c>
      <c r="D20" s="138">
        <f ca="1">SUMIF(INDIRECT("'"&amp;D4&amp;"'"&amp;"!A:A"),结果表!B20,INDIRECT("'"&amp;D4&amp;"'"&amp;"!B:B"))</f>
        <v>40329</v>
      </c>
      <c r="E20" s="1764"/>
      <c r="F20" s="1026" t="s">
        <v>1295</v>
      </c>
      <c r="G20" s="139">
        <f ca="1">ROUND(C20*$C$18+D20*$D$18,0)</f>
        <v>41661</v>
      </c>
      <c r="H20" s="808" t="s">
        <v>1296</v>
      </c>
      <c r="I20" s="129"/>
    </row>
    <row r="21" spans="1:36" ht="15" customHeight="1" thickBot="1">
      <c r="A21" s="828"/>
      <c r="B21" s="1765" t="s">
        <v>1297</v>
      </c>
      <c r="C21" s="719">
        <f ca="1">ROUND(C19*10000/L19,0)</f>
        <v>121875</v>
      </c>
      <c r="D21" s="720">
        <f ca="1">ROUND(D19*10000/L19,0)</f>
        <v>132000</v>
      </c>
      <c r="E21" s="828"/>
      <c r="F21" s="1765" t="s">
        <v>1297</v>
      </c>
      <c r="G21" s="140">
        <f ca="1">ROUND(G19*10000/L19,0)</f>
        <v>126938</v>
      </c>
      <c r="H21" s="1766" t="s">
        <v>1296</v>
      </c>
      <c r="I21" s="129"/>
    </row>
    <row r="22" spans="1:36" ht="15" thickBot="1">
      <c r="A22" s="1688" t="s">
        <v>1298</v>
      </c>
      <c r="B22" s="1767"/>
      <c r="C22" s="1768"/>
      <c r="D22" s="721">
        <f ca="1">IF(C19&lt;D19,D19/C19-1,C19/D19-1)</f>
        <v>8.308203399214964E-2</v>
      </c>
      <c r="E22" s="129"/>
      <c r="F22" s="129"/>
      <c r="G22" s="129"/>
      <c r="H22" s="129"/>
      <c r="I22" s="129"/>
    </row>
    <row r="23" spans="1:36" ht="13.5" thickBot="1">
      <c r="A23" s="1747"/>
      <c r="B23" s="1747"/>
      <c r="C23" s="1747"/>
      <c r="D23" s="1747"/>
      <c r="E23" s="129"/>
      <c r="F23" s="129"/>
      <c r="G23" s="129"/>
      <c r="H23" s="129"/>
      <c r="I23" s="129"/>
    </row>
    <row r="24" spans="1:36" ht="14.25">
      <c r="A24" s="3592" t="s">
        <v>1299</v>
      </c>
      <c r="B24" s="1762" t="s">
        <v>1291</v>
      </c>
      <c r="C24" s="136">
        <f>IF(B30=0,0,D30)</f>
        <v>0</v>
      </c>
      <c r="D24" s="1769"/>
      <c r="E24" s="129"/>
      <c r="F24" s="129"/>
      <c r="G24" s="129"/>
      <c r="H24" s="129"/>
      <c r="I24" s="129"/>
    </row>
    <row r="25" spans="1:36" ht="14.25">
      <c r="A25" s="35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105343</v>
      </c>
      <c r="D32" s="1775" t="s">
        <v>3414</v>
      </c>
      <c r="E32" s="129"/>
      <c r="F32" s="129"/>
      <c r="G32" s="129"/>
      <c r="H32" s="129"/>
      <c r="I32" s="129"/>
    </row>
    <row r="33" spans="1:15" ht="15">
      <c r="A33" s="786" t="s">
        <v>1306</v>
      </c>
      <c r="B33" s="1776"/>
      <c r="C33" s="1777" t="s">
        <v>3415</v>
      </c>
      <c r="D33" s="1778" t="s">
        <v>3404</v>
      </c>
      <c r="E33" s="1779" t="s">
        <v>1307</v>
      </c>
      <c r="F33" s="1780" t="str">
        <f>IF(D32="楼面单价","取值（单价）","取值（总价）")</f>
        <v>取值（总价）</v>
      </c>
      <c r="G33" s="129"/>
      <c r="H33" s="129"/>
      <c r="I33" s="129"/>
    </row>
    <row r="34" spans="1:15" ht="15">
      <c r="A34" s="1781"/>
      <c r="B34" s="1782" t="s">
        <v>1308</v>
      </c>
      <c r="C34" s="148">
        <f ca="1">IF(C33="自定义",F34,C32-C35)</f>
        <v>93229</v>
      </c>
      <c r="D34" s="861">
        <f ca="1">IF(C33="自定义",ROUND(C34/C32,3),IF(C33="收益比率",SUMIF(INDIRECT("'"&amp;D33&amp;"'"&amp;"!b:b"),"土地收益比率",INDIRECT("'"&amp;D33&amp;"'"&amp;"!c:c")),SUMIF(INDIRECT("'"&amp;D33&amp;"'"&amp;"!b:b"),"土地成本比率",INDIRECT("'"&amp;D33&amp;"'"&amp;"!c:c"))))</f>
        <v>0.88500000000000001</v>
      </c>
      <c r="E34" s="1783" t="s">
        <v>1309</v>
      </c>
      <c r="F34" s="1330"/>
      <c r="G34" s="129"/>
      <c r="H34" s="129"/>
      <c r="I34" s="129"/>
    </row>
    <row r="35" spans="1:15" ht="15.75" thickBot="1">
      <c r="A35" s="1784"/>
      <c r="B35" s="1785" t="s">
        <v>1310</v>
      </c>
      <c r="C35" s="1170">
        <f ca="1">IF(C33="自定义",F35,ROUND(C32*D35,0))</f>
        <v>12114</v>
      </c>
      <c r="D35" s="1171">
        <f ca="1">IF(C33="自定义",ROUND(C35/C32,3),IF(C33="收益比率",SUMIF(INDIRECT("'"&amp;D33&amp;"'"&amp;"!b:b"),"建筑物收益比率",INDIRECT("'"&amp;D33&amp;"'"&amp;"!c:c")),SUMIF(INDIRECT("'"&amp;D33&amp;"'"&amp;"!b:b"),"建筑物成本比率",INDIRECT("'"&amp;D33&amp;"'"&amp;"!c:c"))))</f>
        <v>0.115</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9" t="s">
        <v>1326</v>
      </c>
      <c r="B45" s="3590"/>
      <c r="C45" s="3591"/>
      <c r="D45" s="155">
        <f ca="1">ROUND(H101*F45,0)</f>
        <v>105343</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6"/>
      <c r="I46" s="159"/>
      <c r="J46" s="2522">
        <v>1</v>
      </c>
      <c r="K46" s="3648" t="s">
        <v>1331</v>
      </c>
      <c r="L46" s="3648"/>
      <c r="M46" s="3668"/>
      <c r="N46" s="3668"/>
      <c r="O46" s="3668"/>
    </row>
    <row r="47" spans="1:15" ht="12" customHeight="1">
      <c r="A47" s="160" t="s">
        <v>1332</v>
      </c>
      <c r="B47" s="161"/>
      <c r="C47" s="162"/>
      <c r="D47" s="1087" t="s">
        <v>1333</v>
      </c>
      <c r="E47" s="302" t="s">
        <v>1334</v>
      </c>
      <c r="F47" s="163" t="s">
        <v>1335</v>
      </c>
      <c r="G47" s="2545" t="s">
        <v>1336</v>
      </c>
      <c r="H47" s="2546"/>
      <c r="I47" s="159"/>
      <c r="J47" s="2522">
        <v>2</v>
      </c>
      <c r="K47" s="3648" t="s">
        <v>1337</v>
      </c>
      <c r="L47" s="3648"/>
      <c r="M47" s="3669">
        <f>'数据-取费表'!B2</f>
        <v>45022</v>
      </c>
      <c r="N47" s="3669"/>
      <c r="O47" s="3669"/>
    </row>
    <row r="48" spans="1:15" ht="25.5">
      <c r="A48" s="3617" t="s">
        <v>1338</v>
      </c>
      <c r="B48" s="3600"/>
      <c r="C48" s="3600"/>
      <c r="D48" s="2323">
        <f ca="1">IF(H48="情况1",0,IF(H48="情况2",D52,IF(H48="情况3",D53,IF(H48="情况4",D54))))</f>
        <v>925</v>
      </c>
      <c r="E48" s="2333" t="str">
        <f>IF(H48="情况4","(销售额-原购置价)×税（费）率","销售额×税（费）率")</f>
        <v>(销售额-原购置价)×税（费）率</v>
      </c>
      <c r="F48" s="2547">
        <f>IF(H48="情况1","免征",'数据-取费表'!B41)</f>
        <v>5.6000000000000001E-2</v>
      </c>
      <c r="G48" s="2548" t="s">
        <v>1339</v>
      </c>
      <c r="H48" s="2549" t="s">
        <v>3416</v>
      </c>
      <c r="I48" s="1806"/>
      <c r="J48" s="2522">
        <v>3</v>
      </c>
      <c r="K48" s="3648" t="s">
        <v>1340</v>
      </c>
      <c r="L48" s="3648"/>
      <c r="M48" s="3670">
        <f ca="1">H101</f>
        <v>105343</v>
      </c>
      <c r="N48" s="3670"/>
      <c r="O48" s="3670"/>
    </row>
    <row r="49" spans="1:35" ht="25.5" customHeight="1">
      <c r="A49" s="2332" t="s">
        <v>1341</v>
      </c>
      <c r="B49" s="3584" t="s">
        <v>1342</v>
      </c>
      <c r="C49" s="3584"/>
      <c r="D49" s="1590">
        <v>0</v>
      </c>
      <c r="E49" s="324" t="s">
        <v>1343</v>
      </c>
      <c r="F49" s="2423" t="s">
        <v>28</v>
      </c>
      <c r="G49" s="3654"/>
      <c r="H49" s="2309" t="s">
        <v>2133</v>
      </c>
      <c r="I49" s="2310"/>
      <c r="J49" s="2522">
        <v>4</v>
      </c>
      <c r="K49" s="3648" t="str">
        <f>IF(项目基本情况!E8="房地产抵押价值","房地产抵押价值","抵押担保权已注销时的房地产抵押价值")</f>
        <v>房地产抵押价值</v>
      </c>
      <c r="L49" s="3648"/>
      <c r="M49" s="3670">
        <f ca="1">IF(项目基本情况!E8="房地产抵押价值",H107,H109)</f>
        <v>105343</v>
      </c>
      <c r="N49" s="3670"/>
      <c r="O49" s="3670"/>
    </row>
    <row r="50" spans="1:35" ht="25.5" customHeight="1">
      <c r="A50" s="2550"/>
      <c r="B50" s="3584" t="s">
        <v>1344</v>
      </c>
      <c r="C50" s="3584"/>
      <c r="D50" s="2551"/>
      <c r="E50" s="332"/>
      <c r="F50" s="2423"/>
      <c r="G50" s="3655"/>
      <c r="H50" s="2311" t="s">
        <v>2134</v>
      </c>
      <c r="I50" s="2310"/>
      <c r="J50" s="3667" t="s">
        <v>1345</v>
      </c>
      <c r="K50" s="3667"/>
      <c r="L50" s="3667"/>
      <c r="M50" s="3667"/>
      <c r="N50" s="3667"/>
      <c r="O50" s="3667"/>
    </row>
    <row r="51" spans="1:35" ht="20.45" customHeight="1">
      <c r="A51" s="2552"/>
      <c r="B51" s="3584" t="s">
        <v>1346</v>
      </c>
      <c r="C51" s="3584"/>
      <c r="D51" s="1087"/>
      <c r="E51" s="327"/>
      <c r="F51" s="2423"/>
      <c r="G51" s="3656"/>
      <c r="H51" s="2311" t="s">
        <v>2135</v>
      </c>
      <c r="I51" s="2310"/>
      <c r="J51" s="2523" t="s">
        <v>1347</v>
      </c>
      <c r="K51" s="3648" t="s">
        <v>1348</v>
      </c>
      <c r="L51" s="3648"/>
      <c r="M51" s="2523" t="s">
        <v>1349</v>
      </c>
      <c r="N51" s="2523" t="s">
        <v>1350</v>
      </c>
      <c r="O51" s="2523" t="s">
        <v>1351</v>
      </c>
    </row>
    <row r="52" spans="1:35" ht="24" customHeight="1">
      <c r="A52" s="2334" t="s">
        <v>1352</v>
      </c>
      <c r="B52" s="3584" t="s">
        <v>1353</v>
      </c>
      <c r="C52" s="3584"/>
      <c r="D52" s="1087">
        <f ca="1">ROUND(D45*'数据-取费表'!B41/(1+'数据-取费表'!C42),0)</f>
        <v>5618</v>
      </c>
      <c r="E52" s="2333" t="s">
        <v>1354</v>
      </c>
      <c r="F52" s="2553">
        <f>'数据-取费表'!B41</f>
        <v>5.6000000000000001E-2</v>
      </c>
      <c r="G52" s="2554"/>
      <c r="H52" s="2543"/>
      <c r="I52" s="1807"/>
      <c r="J52" s="2522">
        <v>1</v>
      </c>
      <c r="K52" s="3649" t="s">
        <v>1355</v>
      </c>
      <c r="L52" s="3649"/>
      <c r="M52" s="2524">
        <f ca="1">D48</f>
        <v>925</v>
      </c>
      <c r="N52" s="2522" t="str">
        <f>E48</f>
        <v>(销售额-原购置价)×税（费）率</v>
      </c>
      <c r="O52" s="2525">
        <f>F48</f>
        <v>5.6000000000000001E-2</v>
      </c>
    </row>
    <row r="53" spans="1:35" ht="12" customHeight="1">
      <c r="A53" s="2334" t="s">
        <v>1356</v>
      </c>
      <c r="B53" s="3610" t="s">
        <v>2290</v>
      </c>
      <c r="C53" s="3611"/>
      <c r="D53" s="1087">
        <f ca="1">ROUND(D45*'数据-取费表'!B41/(1+'数据-取费表'!C42),0)</f>
        <v>5618</v>
      </c>
      <c r="E53" s="2333" t="s">
        <v>1354</v>
      </c>
      <c r="F53" s="2553">
        <f>'数据-取费表'!B41</f>
        <v>5.6000000000000001E-2</v>
      </c>
      <c r="G53" s="2554"/>
      <c r="H53" s="2543"/>
      <c r="I53" s="1807"/>
      <c r="J53" s="2522">
        <v>2</v>
      </c>
      <c r="K53" s="3649" t="s">
        <v>1357</v>
      </c>
      <c r="L53" s="3649"/>
      <c r="M53" s="2524">
        <f t="shared" ref="M53:O54" ca="1" si="0">D55</f>
        <v>53</v>
      </c>
      <c r="N53" s="2522" t="str">
        <f t="shared" si="0"/>
        <v>销售额×税（费）率</v>
      </c>
      <c r="O53" s="2525">
        <f t="shared" si="0"/>
        <v>5.0000000000000001E-4</v>
      </c>
    </row>
    <row r="54" spans="1:35" ht="12" customHeight="1">
      <c r="A54" s="2334" t="s">
        <v>1358</v>
      </c>
      <c r="B54" s="3610" t="s">
        <v>2291</v>
      </c>
      <c r="C54" s="3611"/>
      <c r="D54" s="1087">
        <f ca="1">C68</f>
        <v>925</v>
      </c>
      <c r="E54" s="327" t="s">
        <v>1359</v>
      </c>
      <c r="F54" s="2553">
        <f>'数据-取费表'!B41</f>
        <v>5.6000000000000001E-2</v>
      </c>
      <c r="G54" s="2554"/>
      <c r="H54" s="2555"/>
      <c r="I54" s="1807"/>
      <c r="J54" s="2522">
        <v>3</v>
      </c>
      <c r="K54" s="3649" t="s">
        <v>1360</v>
      </c>
      <c r="L54" s="3649"/>
      <c r="M54" s="2524">
        <f t="shared" ca="1" si="0"/>
        <v>4008</v>
      </c>
      <c r="N54" s="2522" t="str">
        <f t="shared" si="0"/>
        <v>增值额×税（费）率</v>
      </c>
      <c r="O54" s="2526" t="str">
        <f t="shared" si="0"/>
        <v>——</v>
      </c>
    </row>
    <row r="55" spans="1:35" ht="24" customHeight="1">
      <c r="A55" s="3599" t="s">
        <v>1361</v>
      </c>
      <c r="B55" s="3600"/>
      <c r="C55" s="3600"/>
      <c r="D55" s="2323">
        <f ca="1">IF(H55="个人住宅",0,ROUND(D45*I55,0))</f>
        <v>53</v>
      </c>
      <c r="E55" s="2333" t="s">
        <v>1362</v>
      </c>
      <c r="F55" s="2553">
        <f>IF(H55="正常",I55,"免征")</f>
        <v>5.0000000000000001E-4</v>
      </c>
      <c r="G55" s="2554"/>
      <c r="H55" s="2549" t="s">
        <v>3417</v>
      </c>
      <c r="I55" s="165">
        <f>'数据-取费表'!B49</f>
        <v>5.0000000000000001E-4</v>
      </c>
      <c r="J55" s="2522" t="str">
        <f>IF(H59="非个人房产","",4)</f>
        <v/>
      </c>
      <c r="K55" s="3649" t="str">
        <f>IF(H59="非个人房产","——","个人所得税")</f>
        <v>——</v>
      </c>
      <c r="L55" s="3649"/>
      <c r="M55" s="2527" t="str">
        <f>D59</f>
        <v>——</v>
      </c>
      <c r="N55" s="2039" t="str">
        <f>E59</f>
        <v>——</v>
      </c>
      <c r="O55" s="2528" t="str">
        <f>F59</f>
        <v>——</v>
      </c>
    </row>
    <row r="56" spans="1:35" ht="24.75">
      <c r="A56" s="3599" t="s">
        <v>1363</v>
      </c>
      <c r="B56" s="3600"/>
      <c r="C56" s="3600"/>
      <c r="D56" s="2323">
        <f ca="1">IF(H56="个人住宅",D57,D58)</f>
        <v>4008</v>
      </c>
      <c r="E56" s="2333" t="s">
        <v>1364</v>
      </c>
      <c r="F56" s="2553" t="str">
        <f>IF(H56="正常",F58,"免征")</f>
        <v>——</v>
      </c>
      <c r="G56" s="2556" t="s">
        <v>1365</v>
      </c>
      <c r="H56" s="2557" t="s">
        <v>3417</v>
      </c>
      <c r="I56" s="1808"/>
      <c r="J56" s="2522" t="str">
        <f>IF(项目基本情况!K6="上海银行",IF(J55="",4,J55+1),"")</f>
        <v/>
      </c>
      <c r="K56" s="3672" t="str">
        <f>IF(项目基本情况!K6="上海银行","其他处置费用","")</f>
        <v/>
      </c>
      <c r="L56" s="3673"/>
      <c r="M56" s="2524" t="str">
        <f>IF(项目基本情况!K6="上海银行",M69,"")</f>
        <v/>
      </c>
      <c r="N56" s="3672" t="str">
        <f>IF(项目基本情况!K6="上海银行","包含处置中涉及的律师、诉讼、拍卖、评估等费用","")</f>
        <v/>
      </c>
      <c r="O56" s="3675"/>
    </row>
    <row r="57" spans="1:35" ht="12.75">
      <c r="A57" s="2334" t="s">
        <v>1341</v>
      </c>
      <c r="B57" s="3610" t="s">
        <v>1366</v>
      </c>
      <c r="C57" s="3611"/>
      <c r="D57" s="1590">
        <v>0</v>
      </c>
      <c r="E57" s="324" t="s">
        <v>1343</v>
      </c>
      <c r="F57" s="302"/>
      <c r="G57" s="2554"/>
      <c r="H57" s="2558"/>
      <c r="I57" s="1808"/>
      <c r="J57" s="3649">
        <f>IF(AND(J55="",J56=""),4,IF(项目基本情况!K6="上海银行",结果表!J56+1,结果表!J55+1))</f>
        <v>4</v>
      </c>
      <c r="K57" s="3649" t="s">
        <v>1367</v>
      </c>
      <c r="L57" s="2529" t="s">
        <v>1368</v>
      </c>
      <c r="M57" s="2530"/>
      <c r="N57" s="2531">
        <f ca="1">SUMIF(M52:M56,"&lt;9e307")</f>
        <v>4986</v>
      </c>
      <c r="O57" s="2532"/>
      <c r="P57" s="2689">
        <f ca="1">N57/M49</f>
        <v>4.7331099361134582E-2</v>
      </c>
    </row>
    <row r="58" spans="1:35" ht="24.75">
      <c r="A58" s="2334" t="s">
        <v>1352</v>
      </c>
      <c r="B58" s="3610" t="s">
        <v>1369</v>
      </c>
      <c r="C58" s="3584"/>
      <c r="D58" s="2323">
        <f ca="1">IF(H58="转让取得",C81,C97)</f>
        <v>4008</v>
      </c>
      <c r="E58" s="2333" t="s">
        <v>1364</v>
      </c>
      <c r="F58" s="302" t="s">
        <v>28</v>
      </c>
      <c r="G58" s="2554"/>
      <c r="H58" s="2557" t="s">
        <v>3418</v>
      </c>
      <c r="I58" s="1808"/>
      <c r="J58" s="3649"/>
      <c r="K58" s="3649"/>
      <c r="L58" s="2529" t="s">
        <v>1370</v>
      </c>
      <c r="M58" s="2533"/>
      <c r="N58" s="2534" t="str">
        <f ca="1">NUMBERSTRING(INT(N57*10000),2)&amp;"元整"</f>
        <v>肆仟玖佰捌拾陆万元整</v>
      </c>
      <c r="O58" s="2535"/>
    </row>
    <row r="59" spans="1:35" ht="24.75" thickBot="1">
      <c r="A59" s="3652" t="s">
        <v>1371</v>
      </c>
      <c r="B59" s="3653"/>
      <c r="C59" s="365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3419</v>
      </c>
      <c r="I59" s="2312" t="s">
        <v>2136</v>
      </c>
      <c r="J59" s="3650">
        <f>J57+1</f>
        <v>5</v>
      </c>
      <c r="K59" s="3649" t="s">
        <v>1372</v>
      </c>
      <c r="L59" s="2522" t="s">
        <v>1368</v>
      </c>
      <c r="M59" s="2536"/>
      <c r="N59" s="2537">
        <f ca="1">M49-N57</f>
        <v>100357</v>
      </c>
      <c r="O59" s="2538"/>
    </row>
    <row r="60" spans="1:35" ht="12" customHeight="1">
      <c r="A60" s="1809"/>
      <c r="B60" s="1747"/>
      <c r="C60" s="1747"/>
      <c r="D60" s="1747"/>
      <c r="E60" s="1578"/>
      <c r="F60" s="1808"/>
      <c r="G60" s="1808"/>
      <c r="H60" s="1810"/>
      <c r="I60" s="129"/>
      <c r="J60" s="3651"/>
      <c r="K60" s="3649"/>
      <c r="L60" s="2529" t="s">
        <v>1370</v>
      </c>
      <c r="M60" s="2533"/>
      <c r="N60" s="2534" t="str">
        <f ca="1">NUMBERSTRING(INT(N59*10000),2)&amp;"元整"</f>
        <v>壹拾亿零叁佰伍拾柒万元整</v>
      </c>
      <c r="O60" s="2535"/>
    </row>
    <row r="61" spans="1:35" ht="13.5" thickBot="1">
      <c r="A61" s="3597" t="s">
        <v>1373</v>
      </c>
      <c r="B61" s="3597"/>
      <c r="C61" s="3597"/>
      <c r="D61" s="3597"/>
      <c r="E61" s="3597"/>
      <c r="F61" s="1808"/>
      <c r="G61" s="1808"/>
      <c r="H61" s="1810"/>
      <c r="I61" s="129"/>
      <c r="J61" s="2522">
        <f>J59+1</f>
        <v>6</v>
      </c>
      <c r="K61" s="3649" t="s">
        <v>1374</v>
      </c>
      <c r="L61" s="3649"/>
      <c r="M61" s="2539"/>
      <c r="N61" s="2540">
        <f ca="1">ROUND(N59*10000/'数据-汇总表'!E3,0)</f>
        <v>36946</v>
      </c>
      <c r="O61" s="2541"/>
    </row>
    <row r="62" spans="1:35" ht="12.75">
      <c r="A62" s="3615" t="s">
        <v>1375</v>
      </c>
      <c r="B62" s="3616"/>
      <c r="C62" s="2020"/>
      <c r="D62" s="2020" t="s">
        <v>1376</v>
      </c>
      <c r="E62" s="166" t="s">
        <v>1377</v>
      </c>
      <c r="F62" s="1808"/>
      <c r="G62" s="1808"/>
      <c r="H62" s="1810"/>
      <c r="I62" s="129"/>
    </row>
    <row r="63" spans="1:35" ht="12.75">
      <c r="A63" s="173" t="s">
        <v>330</v>
      </c>
      <c r="B63" s="167" t="s">
        <v>1378</v>
      </c>
      <c r="C63" s="2563">
        <f ca="1">ROUND((C64+C65)/(1+'数据-取费表'!C42),0)</f>
        <v>100327</v>
      </c>
      <c r="D63" s="167"/>
      <c r="E63" s="168"/>
      <c r="F63" s="1808"/>
      <c r="G63" s="1808"/>
      <c r="H63" s="1810"/>
      <c r="I63" s="129"/>
      <c r="J63" s="3674" t="s">
        <v>1379</v>
      </c>
      <c r="K63" s="1332" t="s">
        <v>1380</v>
      </c>
      <c r="L63" s="1332">
        <f ca="1">IF(M49&gt;10000,M49*0.5%,IF(AND(M49&gt;1000,M49&lt;=10000),M49*1%,IF(AND(M49&gt;100,M49&lt;=1000),M49*3%,IF(AND(M49&gt;10,M49&lt;=100),M49*5%,M49*8%))))</f>
        <v>526.71500000000003</v>
      </c>
      <c r="M63" s="302">
        <f ca="1">ROUND(L63,1)</f>
        <v>526.70000000000005</v>
      </c>
      <c r="N63" s="2542"/>
      <c r="Z63" s="1752"/>
      <c r="AI63" s="1753"/>
    </row>
    <row r="64" spans="1:35" ht="14.25" customHeight="1">
      <c r="A64" s="169" t="s">
        <v>325</v>
      </c>
      <c r="B64" s="170" t="s">
        <v>1381</v>
      </c>
      <c r="C64" s="2564">
        <f ca="1">D45</f>
        <v>105343</v>
      </c>
      <c r="D64" s="170" t="s">
        <v>26</v>
      </c>
      <c r="E64" s="172"/>
      <c r="F64" s="1808"/>
      <c r="G64" s="1808"/>
      <c r="H64" s="1810"/>
      <c r="I64" s="129"/>
      <c r="J64" s="3674"/>
      <c r="K64" s="1332" t="s">
        <v>1382</v>
      </c>
      <c r="L64" s="1332">
        <f ca="1">IF(M49&gt;2000,M49*0.5%,IF(AND(M49&gt;1000,M49&lt;=2000),M49*0.6%,IF(AND(M49&gt;500,M49&lt;=1000),M49*0.7%,IF(AND(M49&gt;200,M49&lt;=500),M49*0.8%,IF(AND(M49&gt;100,M49&lt;=200),M49*0.9%,IF(AND(M49&gt;50,M49&lt;=100),M49*1%,IF(AND(M49&gt;20,M49&lt;=50),M49*1.5%,IF(AND(M49&gt;10,M49&lt;=20),M49*2%,IF(AND(M49&gt;1,M49&lt;=10),M49*2.5%)))))))))</f>
        <v>526.71500000000003</v>
      </c>
      <c r="M64" s="302">
        <f t="shared" ref="M64:M65" ca="1" si="1">ROUND(L64,1)</f>
        <v>526.70000000000005</v>
      </c>
      <c r="N64" s="2543" t="s">
        <v>1383</v>
      </c>
      <c r="Z64" s="1752"/>
      <c r="AI64" s="1753"/>
    </row>
    <row r="65" spans="1:35" ht="14.25" customHeight="1">
      <c r="A65" s="169" t="s">
        <v>326</v>
      </c>
      <c r="B65" s="170" t="s">
        <v>1384</v>
      </c>
      <c r="C65" s="2565"/>
      <c r="D65" s="170"/>
      <c r="E65" s="172"/>
      <c r="F65" s="1808"/>
      <c r="G65" s="1808"/>
      <c r="H65" s="1810"/>
      <c r="I65" s="129"/>
      <c r="J65" s="3674"/>
      <c r="K65" s="1332" t="s">
        <v>1385</v>
      </c>
      <c r="L65" s="1332">
        <f ca="1">IF(M49&gt;1000,M49*0.1%,IF(AND(M49&gt;500,M49&lt;=1000),M49*0.5%,IF(AND(M49&gt;50,M49&lt;=500),M49*1%,IF(AND(M49&gt;1,M49&lt;=50),M49*1.5%))))</f>
        <v>105.343</v>
      </c>
      <c r="M65" s="302">
        <f t="shared" ca="1" si="1"/>
        <v>105.3</v>
      </c>
      <c r="N65" s="2543" t="s">
        <v>1383</v>
      </c>
      <c r="Z65" s="1752"/>
      <c r="AI65" s="1753"/>
    </row>
    <row r="66" spans="1:35" ht="14.25" customHeight="1">
      <c r="A66" s="173" t="s">
        <v>327</v>
      </c>
      <c r="B66" s="174" t="s">
        <v>1386</v>
      </c>
      <c r="C66" s="2566">
        <f>ROUND(88000/1.05,0)</f>
        <v>83810</v>
      </c>
      <c r="D66" s="174" t="s">
        <v>26</v>
      </c>
      <c r="E66" s="1338" t="s">
        <v>671</v>
      </c>
      <c r="F66" s="1808"/>
      <c r="G66" s="1808"/>
      <c r="H66" s="1810"/>
      <c r="I66" s="129"/>
      <c r="J66" s="3674"/>
      <c r="K66" s="1332" t="s">
        <v>1387</v>
      </c>
      <c r="L66" s="1332">
        <f ca="1">M49*0.5%</f>
        <v>526.71500000000003</v>
      </c>
      <c r="M66" s="302">
        <f ca="1">IF(L66&gt;0.5,0.5,ROUND(L66,0))</f>
        <v>0.5</v>
      </c>
      <c r="N66" s="2543" t="s">
        <v>1388</v>
      </c>
      <c r="Z66" s="1752"/>
      <c r="AI66" s="1753"/>
    </row>
    <row r="67" spans="1:35" ht="14.25" customHeight="1">
      <c r="A67" s="173" t="s">
        <v>328</v>
      </c>
      <c r="B67" s="174" t="s">
        <v>1389</v>
      </c>
      <c r="C67" s="2567">
        <f ca="1">C63-C66</f>
        <v>16517</v>
      </c>
      <c r="D67" s="170" t="s">
        <v>26</v>
      </c>
      <c r="E67" s="172"/>
      <c r="F67" s="1808"/>
      <c r="G67" s="1808"/>
      <c r="H67" s="1810"/>
      <c r="I67" s="129"/>
      <c r="J67" s="3674"/>
      <c r="K67" s="1332" t="s">
        <v>1390</v>
      </c>
      <c r="L67" s="1332">
        <f ca="1">IF(M49&gt;=10000,(8.25+(M49-10000)*0.01%),IF(AND(M49&gt;=8000,M49&lt;10000),(7.85+(M49-8000)*0.02%),IF(AND(M49&gt;=5000,M49&lt;8000),(6.65+(M49-5000)*0.04%),IF(AND(M49&gt;=2000,M49&lt;5000),(4.25+(PM49-2000)*0.08%),IF(AND(M49&gt;=1000,M49&lt;2000),(2.75+(M49-1000)*0.15%),IF(AND(M49&gt;=100,M49&lt;1000),(0.5+(M49-100)*0.25%),IF(AND(M49&gt;0,M49&lt;100),M49*0.5%)))))))</f>
        <v>17.784300000000002</v>
      </c>
      <c r="M67" s="302">
        <f ca="1">ROUND(L67*0.9,1)</f>
        <v>16</v>
      </c>
      <c r="N67" s="2542"/>
      <c r="Z67" s="1752"/>
      <c r="AI67" s="1753"/>
    </row>
    <row r="68" spans="1:35" ht="14.25" customHeight="1" thickBot="1">
      <c r="A68" s="176" t="s">
        <v>329</v>
      </c>
      <c r="B68" s="177" t="s">
        <v>1391</v>
      </c>
      <c r="C68" s="2568">
        <f ca="1">IF(C67&lt;=0,0,ROUND(C67*D68,0))</f>
        <v>925</v>
      </c>
      <c r="D68" s="2569">
        <f>'数据-取费表'!B41</f>
        <v>5.6000000000000001E-2</v>
      </c>
      <c r="E68" s="178"/>
      <c r="F68" s="1808"/>
      <c r="G68" s="1808"/>
      <c r="H68" s="1810"/>
      <c r="I68" s="129"/>
      <c r="J68" s="3674"/>
      <c r="K68" s="1332" t="s">
        <v>1392</v>
      </c>
      <c r="L68" s="1332">
        <f ca="1">IF(M49&gt;10000,M49*0.5%,IF(AND(M49&gt;5000,M49&lt;=10000),M49*1%,IF(AND(M49&gt;1000,M49&lt;=5000),M49*2%,IF(AND(M49&gt;200,M49&lt;=1000),M49*3%,M49*5%))))</f>
        <v>526.71500000000003</v>
      </c>
      <c r="M68" s="302">
        <f ca="1">ROUND(L68,1)</f>
        <v>526.70000000000005</v>
      </c>
      <c r="N68" s="2542"/>
      <c r="Z68" s="1752"/>
      <c r="AI68" s="1753"/>
    </row>
    <row r="69" spans="1:35" s="1772" customFormat="1" ht="16.5" customHeight="1">
      <c r="A69" s="1811"/>
      <c r="B69" s="1812"/>
      <c r="C69" s="1813"/>
      <c r="D69" s="1814"/>
      <c r="E69" s="1815"/>
      <c r="F69" s="1578"/>
      <c r="G69" s="1578"/>
      <c r="H69" s="1577"/>
      <c r="I69" s="1747"/>
      <c r="J69" s="3674"/>
      <c r="K69" s="1332" t="s">
        <v>1393</v>
      </c>
      <c r="L69" s="1332"/>
      <c r="M69" s="302">
        <f ca="1">ROUND(SUM(M63:M68),0)</f>
        <v>1702</v>
      </c>
      <c r="N69" s="2544">
        <f ca="1">M69/M49</f>
        <v>1.6156745108834948E-2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100327</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86968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86366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v>88000</v>
      </c>
      <c r="D75" s="170" t="s">
        <v>26</v>
      </c>
      <c r="E75" s="184" t="s">
        <v>1399</v>
      </c>
      <c r="F75" s="2571" t="s">
        <v>3420</v>
      </c>
      <c r="G75" s="184" t="s">
        <v>1400</v>
      </c>
      <c r="H75" s="257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0" t="s">
        <v>1402</v>
      </c>
      <c r="F76" s="3584"/>
      <c r="G76" s="3584"/>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2556</v>
      </c>
      <c r="D77" s="2574">
        <f>'数据-取费表'!B48+'数据-取费表'!B49</f>
        <v>3.0499999999999999E-2</v>
      </c>
      <c r="E77" s="2323" t="s">
        <v>1404</v>
      </c>
      <c r="F77" s="186"/>
      <c r="G77" s="1822" t="s">
        <v>3421</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602</v>
      </c>
      <c r="D78" s="2576">
        <f>'数据-取费表'!B43</f>
        <v>6.000000000000001E-3</v>
      </c>
      <c r="E78" s="3594" t="s">
        <v>1406</v>
      </c>
      <c r="F78" s="3595"/>
      <c r="G78" s="3595"/>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13359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0.15360822371446969</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4008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100327</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602</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76" t="s">
        <v>2128</v>
      </c>
      <c r="H90" s="3677"/>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4" t="s">
        <v>1422</v>
      </c>
      <c r="F92" s="3595"/>
      <c r="G92" s="3595"/>
      <c r="H92" s="3604"/>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602</v>
      </c>
      <c r="D93" s="2576">
        <f>'数据-取费表'!B43</f>
        <v>6.000000000000001E-3</v>
      </c>
      <c r="E93" s="3594" t="s">
        <v>1406</v>
      </c>
      <c r="F93" s="3595"/>
      <c r="G93" s="3595"/>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05" t="s">
        <v>1426</v>
      </c>
      <c r="F94" s="3606"/>
      <c r="G94" s="3606"/>
      <c r="H94" s="360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99725</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165.65614617940199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59624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4" t="str">
        <f>C4</f>
        <v>比较法-办公</v>
      </c>
      <c r="D101" s="2585" t="str">
        <f>D4</f>
        <v>成本法</v>
      </c>
      <c r="E101" s="3671" t="s">
        <v>1431</v>
      </c>
      <c r="F101" s="3628"/>
      <c r="G101" s="1827" t="s">
        <v>1432</v>
      </c>
      <c r="H101" s="2594">
        <f ca="1">H118</f>
        <v>105343</v>
      </c>
      <c r="I101" s="129"/>
    </row>
    <row r="102" spans="1:35" ht="18.75" customHeight="1">
      <c r="A102" s="3630" t="s">
        <v>1433</v>
      </c>
      <c r="B102" s="2583" t="s">
        <v>1432</v>
      </c>
      <c r="C102" s="2584">
        <f ca="1">IF(D32="楼面单价",ROUND(C19,0),C19)</f>
        <v>101141</v>
      </c>
      <c r="D102" s="2585">
        <f ca="1">IF(D32="楼面单价",ROUND(D19,0),D19)</f>
        <v>109544</v>
      </c>
      <c r="E102" s="3671"/>
      <c r="F102" s="3628"/>
      <c r="G102" s="1827" t="s">
        <v>1434</v>
      </c>
      <c r="H102" s="2554">
        <f ca="1">I118</f>
        <v>38782</v>
      </c>
      <c r="I102" s="129"/>
    </row>
    <row r="103" spans="1:35" ht="42.75" customHeight="1">
      <c r="A103" s="3630"/>
      <c r="B103" s="2583" t="s">
        <v>1434</v>
      </c>
      <c r="C103" s="2586">
        <f ca="1">C20</f>
        <v>42992</v>
      </c>
      <c r="D103" s="2587">
        <f ca="1">D20</f>
        <v>40329</v>
      </c>
      <c r="E103" s="3665" t="s">
        <v>1435</v>
      </c>
      <c r="F103" s="3666"/>
      <c r="G103" s="1828" t="s">
        <v>1436</v>
      </c>
      <c r="H103" s="2594">
        <f>IF(D36="正常操作",H104+H105+H106,H105+H106)</f>
        <v>0</v>
      </c>
      <c r="I103" s="129"/>
    </row>
    <row r="104" spans="1:35" ht="18.75" customHeight="1">
      <c r="A104" s="3630" t="s">
        <v>1437</v>
      </c>
      <c r="B104" s="2588" t="s">
        <v>1432</v>
      </c>
      <c r="C104" s="2589">
        <f ca="1">H118</f>
        <v>105343</v>
      </c>
      <c r="D104" s="2590"/>
      <c r="E104" s="1674" t="s">
        <v>1438</v>
      </c>
      <c r="F104" s="1666"/>
      <c r="G104" s="1828" t="s">
        <v>1436</v>
      </c>
      <c r="H104" s="2595">
        <f>IF(D36="同一抵押权人同一抵押物续贷",C36&amp;"（续贷，未扣减，详见特别提示）",C36)</f>
        <v>0</v>
      </c>
      <c r="I104" s="129"/>
    </row>
    <row r="105" spans="1:35" ht="18.75" customHeight="1" thickBot="1">
      <c r="A105" s="3631"/>
      <c r="B105" s="2591" t="s">
        <v>1434</v>
      </c>
      <c r="C105" s="2592">
        <f ca="1">I118</f>
        <v>38782</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27" t="str">
        <f>IF(项目基本情况!E8="已注销","——","3.房地产抵押价值")</f>
        <v>3.房地产抵押价值</v>
      </c>
      <c r="F107" s="3628"/>
      <c r="G107" s="1827" t="s">
        <v>1432</v>
      </c>
      <c r="H107" s="2594">
        <f ca="1">IF(E107="——","——",H101-H103)</f>
        <v>105343</v>
      </c>
      <c r="I107" s="129"/>
    </row>
    <row r="108" spans="1:35" ht="18.75" customHeight="1">
      <c r="A108" s="129"/>
      <c r="B108" s="129"/>
      <c r="C108" s="129"/>
      <c r="D108" s="129"/>
      <c r="E108" s="3627"/>
      <c r="F108" s="3628"/>
      <c r="G108" s="1827" t="s">
        <v>1434</v>
      </c>
      <c r="H108" s="2554">
        <f ca="1">IF(H107=H101,H102,ROUND(H107*10000/'数据-汇总表'!E3,0))</f>
        <v>38782</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7" t="s">
        <v>1432</v>
      </c>
      <c r="H109" s="2597" t="str">
        <f>IF(E109="——","——",H101-H105-H106)</f>
        <v>——</v>
      </c>
      <c r="I109" s="129"/>
    </row>
    <row r="110" spans="1:35" ht="18.75" customHeight="1">
      <c r="A110" s="129"/>
      <c r="B110" s="129"/>
      <c r="C110" s="129"/>
      <c r="D110" s="129"/>
      <c r="E110" s="3627"/>
      <c r="F110" s="3628"/>
      <c r="G110" s="1827" t="s">
        <v>1434</v>
      </c>
      <c r="H110" s="2554"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4.抵押净值</v>
      </c>
      <c r="F111" s="3629"/>
      <c r="G111" s="1827" t="s">
        <v>1432</v>
      </c>
      <c r="H111" s="2594">
        <f ca="1">IF(E111="——","——",N59)</f>
        <v>100357</v>
      </c>
      <c r="I111" s="129"/>
    </row>
    <row r="112" spans="1:35" ht="18.75" customHeight="1" thickBot="1">
      <c r="A112" s="129"/>
      <c r="B112" s="129"/>
      <c r="C112" s="129"/>
      <c r="D112" s="129"/>
      <c r="E112" s="3660"/>
      <c r="F112" s="3661"/>
      <c r="G112" s="1830" t="s">
        <v>1434</v>
      </c>
      <c r="H112" s="2598">
        <f ca="1">IF(E111="——","——",N61)</f>
        <v>36946</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27162.899999999998</v>
      </c>
      <c r="C118" s="2328">
        <f>M19</f>
        <v>8298.76</v>
      </c>
      <c r="D118" s="2328">
        <f ca="1">ROUND(IF(D32="总价",C34,E118*B118/10000),0)</f>
        <v>93229</v>
      </c>
      <c r="E118" s="2328">
        <f ca="1">ROUND(IF(C33="自定义",IF(D32="楼面单价",C34,D118*10000/B118),I118-G118),0)</f>
        <v>34322</v>
      </c>
      <c r="F118" s="2328">
        <f ca="1">ROUND(IF(D32="总价",C35,G118*B118/10000),0)</f>
        <v>12114</v>
      </c>
      <c r="G118" s="2328">
        <f ca="1">ROUND(IF(D32="楼面单价",C35,F118*10000/B118),0)</f>
        <v>4460</v>
      </c>
      <c r="H118" s="2328">
        <f ca="1">ROUND(IF(D32="总价",C32,I118*B118/10000),0)</f>
        <v>105343</v>
      </c>
      <c r="I118" s="2328">
        <f ca="1">ROUND(IF(D32="楼面单价",C32,H118*10000/B118),0)</f>
        <v>38782</v>
      </c>
    </row>
    <row r="119" spans="1:27" ht="18.75" customHeight="1">
      <c r="A119" s="3598" t="s">
        <v>1452</v>
      </c>
      <c r="B119" s="3598"/>
      <c r="C119" s="3598"/>
      <c r="D119" s="3638" t="str">
        <f ca="1">NUMBERSTRING(INT(D118*10000),2)&amp;"元整"</f>
        <v>玖亿叁仟贰佰贰拾玖万元整</v>
      </c>
      <c r="E119" s="3640"/>
      <c r="F119" s="3638" t="str">
        <f ca="1">NUMBERSTRING(INT(F118*10000),2)&amp;"元整"</f>
        <v>壹亿贰仟壹佰壹拾肆万元整</v>
      </c>
      <c r="G119" s="3640"/>
      <c r="H119" s="3638" t="str">
        <f ca="1">NUMBERSTRING(INT(H118*10000),2)&amp;"元整"</f>
        <v>壹拾亿伍仟叁佰肆拾叁万元整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8" t="s">
        <v>1452</v>
      </c>
      <c r="B121" s="3639"/>
      <c r="C121" s="3640"/>
      <c r="D121" s="3638" t="str">
        <f>IF(D120=0,"零元整",NUMBERSTRING(INT(D120*10000),2)&amp;"元整")</f>
        <v>零元整</v>
      </c>
      <c r="E121" s="3639"/>
      <c r="F121" s="3639"/>
      <c r="G121" s="3639"/>
      <c r="H121" s="3639"/>
      <c r="I121" s="3640"/>
      <c r="AA121" s="725"/>
    </row>
    <row r="122" spans="1:27" ht="18.75" customHeight="1">
      <c r="A122" s="3629" t="str">
        <f>IF(项目基本情况!B9="房地产市场价值","",MID(E107,3,LEN(E107)-2))</f>
        <v>房地产抵押价值</v>
      </c>
      <c r="B122" s="3629"/>
      <c r="C122" s="3629"/>
      <c r="D122" s="3662">
        <f ca="1">H107</f>
        <v>105343</v>
      </c>
      <c r="E122" s="3663"/>
      <c r="F122" s="3663"/>
      <c r="G122" s="3663"/>
      <c r="H122" s="3663"/>
      <c r="I122" s="3664"/>
      <c r="AA122" s="725"/>
    </row>
    <row r="123" spans="1:27" ht="18.75" customHeight="1">
      <c r="A123" s="3598" t="s">
        <v>1452</v>
      </c>
      <c r="B123" s="3598"/>
      <c r="C123" s="3598"/>
      <c r="D123" s="3638" t="str">
        <f ca="1">NUMBERSTRING(INT(D122*10000),2)&amp;"元整"</f>
        <v>壹拾亿伍仟叁佰肆拾叁万元整</v>
      </c>
      <c r="E123" s="3639"/>
      <c r="F123" s="3639"/>
      <c r="G123" s="3639"/>
      <c r="H123" s="3639"/>
      <c r="I123" s="3640"/>
      <c r="AA123" s="725"/>
    </row>
    <row r="124" spans="1:27" ht="18.75" customHeight="1">
      <c r="A124" s="3629" t="str">
        <f>IF(项目基本情况!B9="房地产市场价值","",MID(E109,3,LEN(E109)-2))</f>
        <v/>
      </c>
      <c r="B124" s="3629"/>
      <c r="C124" s="3629"/>
      <c r="D124" s="3662" t="str">
        <f>H109</f>
        <v>——</v>
      </c>
      <c r="E124" s="3663"/>
      <c r="F124" s="3663"/>
      <c r="G124" s="3663"/>
      <c r="H124" s="3663"/>
      <c r="I124" s="3664"/>
      <c r="AA124" s="725"/>
    </row>
    <row r="125" spans="1:27" ht="18.75" customHeight="1">
      <c r="A125" s="3598" t="s">
        <v>1452</v>
      </c>
      <c r="B125" s="3598"/>
      <c r="C125" s="3598"/>
      <c r="D125" s="3638" t="e">
        <f>NUMBERSTRING(INT(D124*10000),2)&amp;"元整"</f>
        <v>#VALUE!</v>
      </c>
      <c r="E125" s="3639"/>
      <c r="F125" s="3639"/>
      <c r="G125" s="3639"/>
      <c r="H125" s="3639"/>
      <c r="I125" s="3640"/>
      <c r="AA125" s="725"/>
    </row>
    <row r="126" spans="1:27" ht="18.75" customHeight="1">
      <c r="A126" s="3629" t="str">
        <f>IF(项目基本情况!B9="房地产市场价值","",MID(E111,3,LEN(E111)-2))</f>
        <v>抵押净值</v>
      </c>
      <c r="B126" s="3629"/>
      <c r="C126" s="3629"/>
      <c r="D126" s="3662">
        <f ca="1">H111</f>
        <v>100357</v>
      </c>
      <c r="E126" s="3663"/>
      <c r="F126" s="3663"/>
      <c r="G126" s="3663"/>
      <c r="H126" s="3663"/>
      <c r="I126" s="3664"/>
      <c r="AA126" s="725"/>
    </row>
    <row r="127" spans="1:27" ht="18.75" customHeight="1">
      <c r="A127" s="3598" t="s">
        <v>1452</v>
      </c>
      <c r="B127" s="3598"/>
      <c r="C127" s="3598"/>
      <c r="D127" s="3638" t="str">
        <f ca="1">NUMBERSTRING(INT(D126*10000),2)&amp;"元整"</f>
        <v>壹拾亿零叁佰伍拾柒万元整</v>
      </c>
      <c r="E127" s="3639"/>
      <c r="F127" s="3639"/>
      <c r="G127" s="3639"/>
      <c r="H127" s="3639"/>
      <c r="I127" s="3640"/>
      <c r="AA127" s="725"/>
    </row>
    <row r="128" spans="1:27" ht="21.75" customHeight="1">
      <c r="A128" s="3645" t="s">
        <v>1453</v>
      </c>
      <c r="B128" s="3645"/>
      <c r="C128" s="3645"/>
      <c r="D128" s="3645"/>
      <c r="E128" s="3645"/>
      <c r="F128" s="3645"/>
      <c r="G128" s="3645"/>
      <c r="H128" s="3645"/>
      <c r="I128" s="364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109544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40329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68282</v>
      </c>
      <c r="D5" s="211" t="s">
        <v>1469</v>
      </c>
      <c r="E5" s="212" t="s">
        <v>1470</v>
      </c>
      <c r="F5" s="212" t="s">
        <v>1471</v>
      </c>
      <c r="G5" s="213"/>
    </row>
    <row r="6" spans="1:9" s="214" customFormat="1" ht="13.5" customHeight="1">
      <c r="A6" s="778" t="s">
        <v>1472</v>
      </c>
      <c r="B6" s="215" t="s">
        <v>1473</v>
      </c>
      <c r="C6" s="216">
        <f>基准地价修正!E33+基准地价修正!E37</f>
        <v>65734</v>
      </c>
      <c r="D6" s="217"/>
      <c r="E6" s="218"/>
      <c r="F6" s="218"/>
      <c r="G6" s="219"/>
    </row>
    <row r="7" spans="1:9" s="214" customFormat="1" ht="13.5" customHeight="1">
      <c r="A7" s="778" t="s">
        <v>1474</v>
      </c>
      <c r="B7" s="215" t="s">
        <v>1475</v>
      </c>
      <c r="C7" s="220">
        <f>ROUND(C6*F7,0)</f>
        <v>2005</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543</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3408</v>
      </c>
      <c r="H9" s="1137"/>
      <c r="I9" s="1858" t="s">
        <v>1479</v>
      </c>
    </row>
    <row r="10" spans="1:9" s="214" customFormat="1" ht="13.5" customHeight="1">
      <c r="A10" s="779" t="s">
        <v>356</v>
      </c>
      <c r="B10" s="224" t="s">
        <v>1480</v>
      </c>
      <c r="C10" s="225">
        <f ca="1">ROUND(D10*E10/10000,0)</f>
        <v>543</v>
      </c>
      <c r="D10" s="845">
        <f ca="1">IF(B1="",'数据-汇总表'!E6,IF(INDIRECT("'数据-取费表'!c"&amp;$G$1)="住宅",INDIRECT("'数据-取费表'!s"&amp;$G$1),INDIRECT("'数据-取费表'!k"&amp;$G$1)+INDIRECT("'数据-取费表'!s"&amp;$G$1)))</f>
        <v>27162.899999999998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27162.899999999998</v>
      </c>
      <c r="E19" s="211">
        <f>'数据-取费表'!B31</f>
        <v>200</v>
      </c>
      <c r="F19" s="231"/>
      <c r="G19" s="1856" t="s">
        <v>3409</v>
      </c>
    </row>
    <row r="20" spans="1:7" s="214" customFormat="1" ht="13.5" customHeight="1">
      <c r="A20" s="255" t="s">
        <v>1493</v>
      </c>
      <c r="B20" s="210" t="s">
        <v>1494</v>
      </c>
      <c r="C20" s="232">
        <f>ROUND((C5+C19)*F20,0)</f>
        <v>1366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5842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5785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57</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13930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13930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96995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14735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13581</v>
      </c>
      <c r="D34" s="217"/>
      <c r="E34" s="220"/>
      <c r="F34" s="257">
        <f ca="1">IF('数据-取费表'!B24=0,1,IF(B1="",'数据-取费表'!N16,INDIRECT("'数据-取费表'!n"&amp;$G$1)))</f>
        <v>1</v>
      </c>
      <c r="G34" s="219" t="s">
        <v>1526</v>
      </c>
    </row>
    <row r="35" spans="1:7" ht="13.5" customHeight="1">
      <c r="A35" s="780" t="s">
        <v>351</v>
      </c>
      <c r="B35" s="215" t="s">
        <v>1527</v>
      </c>
      <c r="C35" s="220">
        <f ca="1">ROUND(C34*F35,0)</f>
        <v>407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543</v>
      </c>
      <c r="D37" s="217">
        <f ca="1">D19</f>
        <v>27162.899999999998</v>
      </c>
      <c r="E37" s="249">
        <f>'数据-取费表'!B35</f>
        <v>200</v>
      </c>
      <c r="F37" s="259"/>
      <c r="G37" s="261" t="s">
        <v>1532</v>
      </c>
    </row>
    <row r="38" spans="1:7" ht="13.5" customHeight="1">
      <c r="A38" s="780" t="s">
        <v>354</v>
      </c>
      <c r="B38" s="215" t="s">
        <v>1533</v>
      </c>
      <c r="C38" s="220">
        <f ca="1">ROUND(C34*F38,0)</f>
        <v>204</v>
      </c>
      <c r="D38" s="220"/>
      <c r="E38" s="220"/>
      <c r="F38" s="259">
        <f>'数据-取费表'!B36</f>
        <v>1.4999999999999999E-2</v>
      </c>
      <c r="G38" s="219" t="s">
        <v>1528</v>
      </c>
    </row>
    <row r="39" spans="1:7" s="214" customFormat="1" ht="13.5" customHeight="1">
      <c r="A39" s="255" t="s">
        <v>1534</v>
      </c>
      <c r="B39" s="210" t="s">
        <v>1535</v>
      </c>
      <c r="C39" s="232">
        <f ca="1">ROUND(C33*F20,0)</f>
        <v>295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612</v>
      </c>
      <c r="D42" s="238"/>
      <c r="E42" s="238"/>
      <c r="F42" s="239"/>
      <c r="G42" s="3678" t="s">
        <v>1544</v>
      </c>
    </row>
    <row r="43" spans="1:7" ht="13.5" customHeight="1">
      <c r="A43" s="780" t="s">
        <v>347</v>
      </c>
      <c r="B43" s="215" t="s">
        <v>1545</v>
      </c>
      <c r="C43" s="238">
        <f ca="1">ROUND(IF('数据-取费表'!B22&lt;=1,C39*F22*'数据-取费表'!B21/2,C39*(POWER((1+F22),'数据-取费表'!B21/2)-1)),0)</f>
        <v>12</v>
      </c>
      <c r="D43" s="238"/>
      <c r="E43" s="238"/>
      <c r="F43" s="239"/>
      <c r="G43" s="3679"/>
    </row>
    <row r="44" spans="1:7" ht="13.5" customHeight="1">
      <c r="A44" s="780" t="s">
        <v>348</v>
      </c>
      <c r="B44" s="215" t="s">
        <v>1546</v>
      </c>
      <c r="C44" s="238">
        <f ca="1">ROUND(IF('数据-取费表'!B22&lt;=1,C40*F22*'数据-取费表'!B21/2,C40*(POWER((1+F22),'数据-取费表'!B21/2)-1)),4)</f>
        <v>8.0000000000000004E-4</v>
      </c>
      <c r="D44" s="238"/>
      <c r="E44" s="238"/>
      <c r="F44" s="239"/>
      <c r="G44" s="3680"/>
    </row>
    <row r="45" spans="1:7" s="214" customFormat="1" ht="13.5" customHeight="1">
      <c r="A45" s="255" t="s">
        <v>1547</v>
      </c>
      <c r="B45" s="244" t="s">
        <v>1513</v>
      </c>
      <c r="C45" s="245">
        <f ca="1">C46</f>
        <v>3006</v>
      </c>
      <c r="D45" s="235">
        <f ca="1">C47</f>
        <v>4.0000000000000001E-3</v>
      </c>
      <c r="E45" s="236" t="s">
        <v>1539</v>
      </c>
      <c r="F45" s="246">
        <f ca="1">F27</f>
        <v>0.2</v>
      </c>
      <c r="G45" s="247" t="s">
        <v>1548</v>
      </c>
    </row>
    <row r="46" spans="1:7" s="214" customFormat="1" ht="13.5" customHeight="1">
      <c r="A46" s="780" t="s">
        <v>346</v>
      </c>
      <c r="B46" s="248" t="s">
        <v>1549</v>
      </c>
      <c r="C46" s="249">
        <f ca="1">ROUND((C33+C39)*F27,0)</f>
        <v>3006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20241</v>
      </c>
      <c r="D49" s="232"/>
      <c r="E49" s="232"/>
      <c r="F49" s="264"/>
      <c r="G49" s="234" t="s">
        <v>1554</v>
      </c>
    </row>
    <row r="50" spans="1:7" s="258" customFormat="1" ht="24">
      <c r="A50" s="255" t="s">
        <v>1555</v>
      </c>
      <c r="B50" s="210" t="s">
        <v>1556</v>
      </c>
      <c r="C50" s="232"/>
      <c r="D50" s="232"/>
      <c r="E50" s="232"/>
      <c r="F50" s="264">
        <f>IF('数据-取费表'!B24=0,'数据-取费表'!N16,1)</f>
        <v>0.62</v>
      </c>
      <c r="G50" s="247" t="s">
        <v>1557</v>
      </c>
    </row>
    <row r="51" spans="1:7" ht="16.5" customHeight="1">
      <c r="A51" s="255" t="s">
        <v>1558</v>
      </c>
      <c r="B51" s="210" t="s">
        <v>1559</v>
      </c>
      <c r="C51" s="232">
        <f ca="1">ROUND(C49*F50,0)</f>
        <v>12549</v>
      </c>
      <c r="D51" s="232"/>
      <c r="E51" s="232"/>
      <c r="F51" s="264"/>
      <c r="G51" s="234" t="s">
        <v>1560</v>
      </c>
    </row>
    <row r="52" spans="1:7" s="208" customFormat="1" ht="16.5" thickBot="1">
      <c r="A52" s="265" t="s">
        <v>1561</v>
      </c>
      <c r="B52" s="266"/>
      <c r="C52" s="267">
        <f ca="1">C31+C51</f>
        <v>109544</v>
      </c>
      <c r="D52" s="266"/>
      <c r="E52" s="266"/>
      <c r="F52" s="266"/>
      <c r="G52" s="268"/>
    </row>
    <row r="55" spans="1:7" ht="15">
      <c r="B55" s="270" t="s">
        <v>1562</v>
      </c>
      <c r="C55" s="271"/>
    </row>
    <row r="56" spans="1:7">
      <c r="B56" s="273" t="s">
        <v>802</v>
      </c>
      <c r="C56" s="275">
        <f ca="1">1-C57</f>
        <v>0.88500000000000001</v>
      </c>
    </row>
    <row r="57" spans="1:7">
      <c r="B57" s="273" t="s">
        <v>803</v>
      </c>
      <c r="C57" s="274">
        <f ca="1">ROUND(C51/C52,3)</f>
        <v>0.115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14093.010200000001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5432580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5432580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5432580</v>
      </c>
      <c r="D10" s="845">
        <f ca="1">IF(B1="",'数据-汇总表'!E6,IF(INDIRECT("'数据-取费表'!c"&amp;$G$1)="住宅",INDIRECT("'数据-取费表'!s"&amp;$G$1),INDIRECT("'数据-取费表'!k"&amp;$G$1)+INDIRECT("'数据-取费表'!s"&amp;$G$1)))</f>
        <v>27162.899999999998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5432580</v>
      </c>
      <c r="D19" s="849">
        <f ca="1">D9+D10</f>
        <v>27162.899999999998</v>
      </c>
      <c r="E19" s="211">
        <f>'数据-取费表'!B31</f>
        <v>200</v>
      </c>
      <c r="F19" s="231"/>
      <c r="G19" s="1856"/>
    </row>
    <row r="20" spans="1:7" s="214" customFormat="1" ht="13.5" customHeight="1">
      <c r="A20" s="255" t="s">
        <v>1574</v>
      </c>
      <c r="B20" s="210" t="s">
        <v>1575</v>
      </c>
      <c r="C20" s="232">
        <f ca="1">ROUND((C5+C19)*F20,0)</f>
        <v>217303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929538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460260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460260</v>
      </c>
      <c r="D24" s="238"/>
      <c r="E24" s="238"/>
      <c r="F24" s="239"/>
      <c r="G24" s="240" t="s">
        <v>1586</v>
      </c>
    </row>
    <row r="25" spans="1:7" s="214" customFormat="1" ht="24">
      <c r="A25" s="780" t="s">
        <v>1476</v>
      </c>
      <c r="B25" s="215" t="s">
        <v>1587</v>
      </c>
      <c r="C25" s="1128">
        <f ca="1">ROUND(IF('数据-取费表'!B22&lt;=1,C20*F22*'数据-取费表'!B22/2,C20*(POWER((1+F22),'数据-取费表'!B22/2)-1)),0)</f>
        <v>9018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2216493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2216493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15433880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147358733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135814500</v>
      </c>
      <c r="D34" s="217"/>
      <c r="E34" s="220"/>
      <c r="F34" s="257"/>
      <c r="G34" s="219"/>
    </row>
    <row r="35" spans="1:7" ht="13.5" customHeight="1">
      <c r="A35" s="780" t="s">
        <v>351</v>
      </c>
      <c r="B35" s="215" t="s">
        <v>1527</v>
      </c>
      <c r="C35" s="220">
        <f ca="1">ROUND(C34*F35,0)</f>
        <v>4074435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5432580</v>
      </c>
      <c r="D37" s="217">
        <f ca="1">D19</f>
        <v>27162.899999999998</v>
      </c>
      <c r="E37" s="249">
        <f>'数据-取费表'!B35</f>
        <v>200</v>
      </c>
      <c r="F37" s="259"/>
      <c r="G37" s="261"/>
    </row>
    <row r="38" spans="1:7" ht="13.5" customHeight="1">
      <c r="A38" s="780" t="s">
        <v>354</v>
      </c>
      <c r="B38" s="215" t="s">
        <v>1533</v>
      </c>
      <c r="C38" s="220">
        <f ca="1">ROUND(C34*F38,0)</f>
        <v>2037218</v>
      </c>
      <c r="D38" s="220"/>
      <c r="E38" s="220"/>
      <c r="F38" s="259">
        <f>'数据-取费表'!B36</f>
        <v>1.4999999999999999E-2</v>
      </c>
      <c r="G38" s="219" t="s">
        <v>1528</v>
      </c>
    </row>
    <row r="39" spans="1:7" s="214" customFormat="1" ht="13.5" customHeight="1">
      <c r="A39" s="255" t="s">
        <v>1534</v>
      </c>
      <c r="B39" s="210" t="s">
        <v>1535</v>
      </c>
      <c r="C39" s="232">
        <f ca="1">ROUND(C33*F20,0)</f>
        <v>2947175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6237695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6115387</v>
      </c>
      <c r="D42" s="238"/>
      <c r="E42" s="238"/>
      <c r="F42" s="239"/>
      <c r="G42" s="3678" t="s">
        <v>1591</v>
      </c>
    </row>
    <row r="43" spans="1:7" ht="13.5" customHeight="1">
      <c r="A43" s="780" t="s">
        <v>347</v>
      </c>
      <c r="B43" s="215" t="s">
        <v>1545</v>
      </c>
      <c r="C43" s="238">
        <f ca="1">ROUND(IF('数据-取费表'!B22&lt;=1,C39*F22*'数据-取费表'!B20/2,C39*(POWER((1+F22),'数据-取费表'!B20/2)-1)),0)</f>
        <v>122308</v>
      </c>
      <c r="D43" s="238"/>
      <c r="E43" s="238"/>
      <c r="F43" s="239"/>
      <c r="G43" s="3679"/>
    </row>
    <row r="44" spans="1:7" ht="13.5" customHeight="1">
      <c r="A44" s="780" t="s">
        <v>348</v>
      </c>
      <c r="B44" s="215" t="s">
        <v>1546</v>
      </c>
      <c r="C44" s="238">
        <f ca="1">ROUND(IF('数据-取费表'!B22&lt;=1,C40*F22*'数据-取费表'!B20/2,C40*(POWER((1+F22),'数据-取费表'!B20/2)-1)),4)</f>
        <v>8.0000000000000004E-4</v>
      </c>
      <c r="D44" s="238"/>
      <c r="E44" s="238"/>
      <c r="F44" s="239"/>
      <c r="G44" s="3680"/>
    </row>
    <row r="45" spans="1:7" s="214" customFormat="1" ht="13.5" customHeight="1">
      <c r="A45" s="255" t="s">
        <v>1547</v>
      </c>
      <c r="B45" s="244" t="s">
        <v>1513</v>
      </c>
      <c r="C45" s="245">
        <f ca="1">C46</f>
        <v>30061182</v>
      </c>
      <c r="D45" s="235">
        <f ca="1">C47</f>
        <v>4.0000000000000001E-3</v>
      </c>
      <c r="E45" s="236" t="s">
        <v>1539</v>
      </c>
      <c r="F45" s="246">
        <f ca="1">F27</f>
        <v>0.2</v>
      </c>
      <c r="G45" s="247" t="s">
        <v>1548</v>
      </c>
    </row>
    <row r="46" spans="1:7" s="214" customFormat="1" ht="13.5" customHeight="1">
      <c r="A46" s="780" t="s">
        <v>346</v>
      </c>
      <c r="B46" s="248" t="s">
        <v>1549</v>
      </c>
      <c r="C46" s="249">
        <f ca="1">ROUND((C33+C39)*F27,0)</f>
        <v>30061182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202413261</v>
      </c>
      <c r="D49" s="232"/>
      <c r="E49" s="232"/>
      <c r="F49" s="264"/>
      <c r="G49" s="234" t="s">
        <v>1554</v>
      </c>
    </row>
    <row r="50" spans="1:7" s="258" customFormat="1">
      <c r="A50" s="255" t="s">
        <v>1555</v>
      </c>
      <c r="B50" s="210" t="s">
        <v>1556</v>
      </c>
      <c r="C50" s="232"/>
      <c r="D50" s="232"/>
      <c r="E50" s="232"/>
      <c r="F50" s="264">
        <f>IF('数据-取费表'!B24=0,'数据-取费表'!N16,1)</f>
        <v>0.62</v>
      </c>
      <c r="G50" s="247"/>
    </row>
    <row r="51" spans="1:7" ht="16.5" customHeight="1">
      <c r="A51" s="255" t="s">
        <v>1558</v>
      </c>
      <c r="B51" s="210" t="s">
        <v>1593</v>
      </c>
      <c r="C51" s="232">
        <f ca="1">ROUND(C49*F50,0)</f>
        <v>125496222</v>
      </c>
      <c r="D51" s="232"/>
      <c r="E51" s="232"/>
      <c r="F51" s="264"/>
      <c r="G51" s="234" t="s">
        <v>1560</v>
      </c>
    </row>
    <row r="52" spans="1:7" s="208" customFormat="1" ht="16.5" thickBot="1">
      <c r="A52" s="265" t="s">
        <v>1561</v>
      </c>
      <c r="B52" s="266"/>
      <c r="C52" s="267">
        <f ca="1">C31+C51</f>
        <v>140930102</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27162.899999999998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27162.899999999998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543</v>
      </c>
      <c r="D20" s="846">
        <f ca="1">IF(C1="",'数据-汇总表'!E6,IF(INDIRECT("'数据-取费表'!c"&amp;$K$1)="住宅",INDIRECT("'数据-取费表'!s"&amp;$K$1),INDIRECT("'数据-取费表'!k"&amp;$K$1)+INDIRECT("'数据-取费表'!s"&amp;$K$1)))</f>
        <v>27162.899999999998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21.57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55658</v>
      </c>
      <c r="C2" s="1387" t="s">
        <v>805</v>
      </c>
      <c r="D2" s="1387"/>
      <c r="E2" s="1388"/>
      <c r="F2" s="1389"/>
      <c r="G2" s="2705"/>
      <c r="H2" s="2694"/>
      <c r="I2" s="2694"/>
      <c r="J2" s="2694"/>
      <c r="K2" s="2695"/>
      <c r="L2" s="2694"/>
      <c r="M2" s="2694"/>
    </row>
    <row r="3" spans="1:37" ht="18" customHeight="1" thickBot="1">
      <c r="A3" s="1390" t="s">
        <v>806</v>
      </c>
      <c r="B3" s="1391">
        <f ca="1">IF(ISERROR(B2*10000/F43),0,ROUND(B2*10000/F43,0))</f>
        <v>21051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4348</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4343</v>
      </c>
      <c r="D6" s="155" t="s">
        <v>2108</v>
      </c>
      <c r="E6" s="302" t="s">
        <v>696</v>
      </c>
      <c r="F6" s="303">
        <f ca="1">INDIRECT("'数据-取费表'!u"&amp;$G$1)</f>
        <v>5</v>
      </c>
      <c r="G6" s="1384"/>
      <c r="H6" s="1069" t="s">
        <v>398</v>
      </c>
      <c r="I6" s="3683" t="s">
        <v>694</v>
      </c>
      <c r="J6" s="301">
        <f ca="1">ROUND(M6*M8*M7*(1-M9)/10000,0)</f>
        <v>0</v>
      </c>
      <c r="K6" s="155"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26440.1</v>
      </c>
      <c r="G7" s="1384"/>
      <c r="H7" s="304"/>
      <c r="I7" s="3684"/>
      <c r="J7" s="306"/>
      <c r="K7" s="307"/>
      <c r="L7" s="302" t="s">
        <v>697</v>
      </c>
      <c r="M7" s="303">
        <f ca="1">F7</f>
        <v>26440.1</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2116</v>
      </c>
      <c r="E10" s="313" t="s">
        <v>701</v>
      </c>
      <c r="F10" s="1116" t="s">
        <v>3410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12549</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13581</v>
      </c>
      <c r="D14" s="1345" t="s">
        <v>708</v>
      </c>
      <c r="E14" s="1342"/>
      <c r="F14" s="319"/>
      <c r="G14" s="1384"/>
      <c r="H14" s="982" t="s">
        <v>398</v>
      </c>
      <c r="I14" s="302" t="s">
        <v>709</v>
      </c>
      <c r="J14" s="21">
        <f ca="1">C29</f>
        <v>20241</v>
      </c>
      <c r="K14" s="12"/>
      <c r="L14" s="807"/>
      <c r="M14" s="808"/>
    </row>
    <row r="15" spans="1:37" s="1397" customFormat="1" ht="18" customHeight="1" thickBot="1">
      <c r="A15" s="982" t="s">
        <v>399</v>
      </c>
      <c r="B15" s="302" t="s">
        <v>710</v>
      </c>
      <c r="C15" s="21">
        <f ca="1">ROUND(C14*F15,0)</f>
        <v>407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217</v>
      </c>
      <c r="K16" s="1087" t="s">
        <v>715</v>
      </c>
      <c r="L16" s="1088"/>
      <c r="M16" s="1072"/>
    </row>
    <row r="17" spans="1:37" s="1397" customFormat="1" ht="18" customHeight="1">
      <c r="A17" s="982" t="s">
        <v>681</v>
      </c>
      <c r="B17" s="302" t="s">
        <v>716</v>
      </c>
      <c r="C17" s="21">
        <f ca="1">ROUND(F17*(F43+INDIRECT("'数据-取费表'!S"&amp;$G$1))/10000,0)</f>
        <v>543</v>
      </c>
      <c r="D17" s="302" t="s">
        <v>717</v>
      </c>
      <c r="E17" s="302" t="s">
        <v>718</v>
      </c>
      <c r="F17" s="23">
        <f>'数据-取费表'!B35</f>
        <v>200</v>
      </c>
      <c r="G17" s="1396"/>
      <c r="H17" s="982" t="s">
        <v>398</v>
      </c>
      <c r="I17" s="302" t="s">
        <v>719</v>
      </c>
      <c r="J17" s="2315">
        <f ca="1">ROUND(IF(AND(项目基本情况!B11="自然人",项目基本情况!B10="北京市"),J6*M17/(1+'数据-取费表'!C42),J18+J19+J20),2)</f>
        <v>14.94</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14735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295</v>
      </c>
      <c r="D20" s="323" t="s">
        <v>729</v>
      </c>
      <c r="E20" s="302" t="s">
        <v>712</v>
      </c>
      <c r="F20" s="322">
        <f>'数据-取费表'!B37</f>
        <v>0.02</v>
      </c>
      <c r="G20" s="1396"/>
      <c r="H20" s="982" t="s">
        <v>680</v>
      </c>
      <c r="I20" s="155" t="s">
        <v>730</v>
      </c>
      <c r="J20" s="22">
        <f ca="1">ROUND(M20*M21/10000,2)</f>
        <v>14.94</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8298.76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202.41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-217</v>
      </c>
      <c r="K25" s="1095" t="s">
        <v>753</v>
      </c>
      <c r="L25" s="1096"/>
      <c r="M25" s="1097"/>
    </row>
    <row r="26" spans="1:37">
      <c r="A26" s="982" t="s">
        <v>397</v>
      </c>
      <c r="B26" s="302" t="s">
        <v>754</v>
      </c>
      <c r="C26" s="21">
        <f ca="1">ROUND((C19+C20)*F26,0)</f>
        <v>3006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20241</v>
      </c>
      <c r="D29" s="1092"/>
      <c r="E29" s="1090"/>
      <c r="F29" s="1093"/>
      <c r="G29" s="1396"/>
      <c r="H29" s="334" t="s">
        <v>396</v>
      </c>
      <c r="I29" s="335" t="s">
        <v>768</v>
      </c>
      <c r="J29" s="336">
        <f ca="1">ROUND(J26/(1+F40)^F41,0)</f>
        <v>0</v>
      </c>
      <c r="K29" s="337" t="s">
        <v>769</v>
      </c>
      <c r="L29" s="338"/>
      <c r="M29" s="339">
        <f ca="1">INDIRECT("'数据-取费表'!k"&amp;$G$1)</f>
        <v>26440.1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742.91</v>
      </c>
      <c r="D31" s="1345" t="s">
        <v>720</v>
      </c>
      <c r="E31" s="1344" t="s">
        <v>770</v>
      </c>
      <c r="F31" s="2314"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IF(项目基本情况!B11="自然人","——",ROUND(C6*F32/(1+'数据-取费表'!C42),2))</f>
        <v>231.63</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496.34</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14.94</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8298.76</v>
      </c>
      <c r="G35" s="1384"/>
      <c r="H35" s="2696"/>
      <c r="I35" s="1398"/>
      <c r="J35" s="1399"/>
      <c r="K35" s="2700"/>
      <c r="L35" s="2699"/>
      <c r="M35" s="2699"/>
    </row>
    <row r="36" spans="1:18" ht="18" customHeight="1">
      <c r="A36" s="1102" t="s">
        <v>402</v>
      </c>
      <c r="B36" s="302" t="s">
        <v>738</v>
      </c>
      <c r="C36" s="21">
        <f ca="1">ROUND(C29*F36,2)</f>
        <v>202.41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18.82</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43.48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3340</v>
      </c>
      <c r="D39" s="1095" t="s">
        <v>773</v>
      </c>
      <c r="E39" s="1096"/>
      <c r="F39" s="1097"/>
      <c r="G39" s="1384"/>
      <c r="H39" s="2699"/>
      <c r="I39" s="1398"/>
      <c r="J39" s="1399"/>
      <c r="K39" s="2703"/>
      <c r="L39" s="2699"/>
      <c r="M39" s="2699"/>
    </row>
    <row r="40" spans="1:18" ht="18" customHeight="1">
      <c r="A40" s="299" t="s">
        <v>395</v>
      </c>
      <c r="B40" s="300" t="s">
        <v>774</v>
      </c>
      <c r="C40" s="301">
        <f ca="1">ROUND(C39*(1-((1+F42)/(1+F40))^F41)/(F40-F42),0)</f>
        <v>53957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21.57</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20407</v>
      </c>
      <c r="D43" s="337" t="s">
        <v>777</v>
      </c>
      <c r="E43" s="338" t="s">
        <v>778</v>
      </c>
      <c r="F43" s="339">
        <f ca="1">INDIRECT("'数据-取费表'!k"&amp;$G$1)</f>
        <v>26440.1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-56896</v>
      </c>
      <c r="D46" s="1406" t="str">
        <f>C2</f>
        <v>万元</v>
      </c>
      <c r="E46" s="1400"/>
      <c r="F46" s="1400"/>
      <c r="I46" s="1407" t="s">
        <v>810</v>
      </c>
      <c r="J46" s="1408"/>
      <c r="K46" s="1409"/>
      <c r="L46" s="1410">
        <f ca="1">IF(M47="住宅",0,IF(L48&gt;J51,L60,J60))</f>
        <v>1701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53957</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21.57</v>
      </c>
      <c r="O48" s="1418" t="s">
        <v>404</v>
      </c>
      <c r="P48" s="1419" t="s">
        <v>821</v>
      </c>
      <c r="Q48" s="1420">
        <f ca="1">J60</f>
        <v>1701</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1986</v>
      </c>
      <c r="K49" s="1423" t="s">
        <v>824</v>
      </c>
      <c r="L49" s="1427"/>
      <c r="O49" s="1428" t="s">
        <v>405</v>
      </c>
      <c r="P49" s="1419" t="s">
        <v>825</v>
      </c>
      <c r="Q49" s="1420">
        <f ca="1">C29</f>
        <v>20241</v>
      </c>
      <c r="R49" s="1420" t="s">
        <v>818</v>
      </c>
    </row>
    <row r="50" spans="1:18" s="1384" customFormat="1" ht="13.5" thickBot="1">
      <c r="A50" s="976"/>
      <c r="B50" s="979"/>
      <c r="C50" s="1118"/>
      <c r="D50" s="953"/>
      <c r="E50" s="1056" t="s">
        <v>697</v>
      </c>
      <c r="F50" s="1057">
        <f ca="1">F7</f>
        <v>26440.1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33203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21.57</v>
      </c>
      <c r="K53" s="3681" t="s">
        <v>837</v>
      </c>
      <c r="L53" s="3682"/>
      <c r="O53" s="1418" t="s">
        <v>409</v>
      </c>
      <c r="P53" s="1419" t="s">
        <v>838</v>
      </c>
      <c r="Q53" s="1420">
        <f ca="1">Q47+Q48</f>
        <v>55658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2.4E-2</v>
      </c>
      <c r="K55" s="1445" t="s">
        <v>841</v>
      </c>
      <c r="L55" s="1446"/>
      <c r="O55" s="1411" t="s">
        <v>811</v>
      </c>
      <c r="P55" s="1412" t="s">
        <v>812</v>
      </c>
      <c r="Q55" s="1413" t="s">
        <v>813</v>
      </c>
      <c r="R55" s="1413" t="s">
        <v>814</v>
      </c>
    </row>
    <row r="56" spans="1:18" s="1384" customFormat="1" ht="25.5" thickTop="1" thickBot="1">
      <c r="A56" s="957">
        <v>2</v>
      </c>
      <c r="B56" s="958" t="s">
        <v>704</v>
      </c>
      <c r="C56" s="232">
        <f ca="1">C13</f>
        <v>12549</v>
      </c>
      <c r="D56" s="1447"/>
      <c r="E56" s="1448"/>
      <c r="F56" s="1440"/>
      <c r="I56" s="1449" t="s">
        <v>842</v>
      </c>
      <c r="J56" s="1450" t="s">
        <v>3413</v>
      </c>
      <c r="K56" s="1421" t="s">
        <v>843</v>
      </c>
      <c r="L56" s="1424" t="str">
        <f ca="1">IF(L48&lt;J51,"——",L48-J53)</f>
        <v>——</v>
      </c>
      <c r="O56" s="1418" t="s">
        <v>403</v>
      </c>
      <c r="P56" s="1419" t="s">
        <v>817</v>
      </c>
      <c r="Q56" s="1420">
        <f ca="1">C40+J29</f>
        <v>53957</v>
      </c>
      <c r="R56" s="1420" t="s">
        <v>818</v>
      </c>
    </row>
    <row r="57" spans="1:18" s="1384" customFormat="1" ht="24.75" thickBot="1">
      <c r="A57" s="1451"/>
      <c r="B57" s="950" t="s">
        <v>767</v>
      </c>
      <c r="C57" s="238">
        <f ca="1">C29</f>
        <v>20241</v>
      </c>
      <c r="D57" s="1452"/>
      <c r="E57" s="1453"/>
      <c r="F57" s="1454"/>
      <c r="I57" s="1455" t="s">
        <v>844</v>
      </c>
      <c r="J57" s="1456">
        <f ca="1">IF(OR(M47="住宅",J51&lt;L48,J56="是"),"——",J51-L48)</f>
        <v>1.4299999999999997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15</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8096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14.94</v>
      </c>
      <c r="D62" s="965" t="s">
        <v>786</v>
      </c>
      <c r="E62" s="950" t="s">
        <v>787</v>
      </c>
      <c r="F62" s="325">
        <f t="shared" si="0"/>
        <v>18</v>
      </c>
      <c r="I62" s="1462" t="s">
        <v>858</v>
      </c>
      <c r="J62" s="1463" t="s">
        <v>859</v>
      </c>
      <c r="K62" s="1463" t="s">
        <v>860</v>
      </c>
      <c r="L62" s="1463" t="s">
        <v>861</v>
      </c>
      <c r="M62" s="1464" t="s">
        <v>862</v>
      </c>
      <c r="O62" s="1418" t="s">
        <v>409</v>
      </c>
      <c r="P62" s="1419" t="s">
        <v>863</v>
      </c>
      <c r="Q62" s="1420">
        <f ca="1">Q56+Q57</f>
        <v>53957</v>
      </c>
      <c r="R62" s="1420" t="s">
        <v>410</v>
      </c>
    </row>
    <row r="63" spans="1:18" s="1384" customFormat="1" ht="13.5" thickBot="1">
      <c r="A63" s="326"/>
      <c r="B63" s="956"/>
      <c r="C63" s="26"/>
      <c r="D63" s="966"/>
      <c r="E63" s="950" t="s">
        <v>788</v>
      </c>
      <c r="F63" s="303">
        <f t="shared" ca="1" si="0"/>
        <v>8298.76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202.41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18.82</v>
      </c>
      <c r="D65" s="964" t="s">
        <v>743</v>
      </c>
      <c r="E65" s="950" t="s">
        <v>744</v>
      </c>
      <c r="F65" s="330">
        <f t="shared" ca="1" si="0"/>
        <v>1.5E-3</v>
      </c>
      <c r="I65" s="1462" t="s">
        <v>867</v>
      </c>
      <c r="J65" s="1463">
        <v>40</v>
      </c>
      <c r="K65" s="1463">
        <v>30</v>
      </c>
      <c r="L65" s="1463">
        <v>50</v>
      </c>
      <c r="M65" s="1465">
        <v>0.02</v>
      </c>
      <c r="O65" s="1418" t="s">
        <v>403</v>
      </c>
      <c r="P65" s="1419" t="s">
        <v>868</v>
      </c>
      <c r="Q65" s="1420">
        <f ca="1">C40+J29</f>
        <v>53957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-236</v>
      </c>
      <c r="D67" s="963" t="s">
        <v>753</v>
      </c>
      <c r="E67" s="968"/>
      <c r="F67" s="969"/>
      <c r="O67" s="1428" t="s">
        <v>405</v>
      </c>
      <c r="P67" s="1419" t="s">
        <v>850</v>
      </c>
      <c r="Q67" s="1466">
        <f ca="1">L51</f>
        <v>33203</v>
      </c>
      <c r="R67" s="1420" t="s">
        <v>870</v>
      </c>
    </row>
    <row r="68" spans="1:18" s="1384" customFormat="1" ht="16.5" thickBot="1">
      <c r="A68" s="947" t="s">
        <v>395</v>
      </c>
      <c r="B68" s="948" t="s">
        <v>774</v>
      </c>
      <c r="C68" s="301">
        <f ca="1">ROUND(C67*(1-((1+F70)/(1+F68))^F69)/(F68-F70),0)</f>
        <v>-2939</v>
      </c>
      <c r="D68" s="965" t="s">
        <v>758</v>
      </c>
      <c r="E68" s="950" t="s">
        <v>759</v>
      </c>
      <c r="F68" s="312">
        <f ca="1">F40</f>
        <v>5.5E-2</v>
      </c>
      <c r="O68" s="1428" t="s">
        <v>406</v>
      </c>
      <c r="P68" s="1467" t="s">
        <v>871</v>
      </c>
      <c r="Q68" s="1420">
        <f ca="1">ROUND(Q69-Q70*Q71,0)</f>
        <v>2462</v>
      </c>
      <c r="R68" s="1420" t="s">
        <v>414</v>
      </c>
    </row>
    <row r="69" spans="1:18" s="1384" customFormat="1" ht="13.5" thickBot="1">
      <c r="A69" s="951"/>
      <c r="B69" s="952"/>
      <c r="C69" s="306"/>
      <c r="D69" s="970" t="s">
        <v>762</v>
      </c>
      <c r="E69" s="950" t="s">
        <v>763</v>
      </c>
      <c r="F69" s="333">
        <f ca="1">F41</f>
        <v>21.57</v>
      </c>
      <c r="O69" s="1428" t="s">
        <v>411</v>
      </c>
      <c r="P69" s="1467" t="s">
        <v>872</v>
      </c>
      <c r="Q69" s="1420">
        <f ca="1">C39</f>
        <v>3340</v>
      </c>
      <c r="R69" s="1420" t="s">
        <v>818</v>
      </c>
    </row>
    <row r="70" spans="1:18" s="1384" customFormat="1" ht="13.5" thickBot="1">
      <c r="A70" s="954"/>
      <c r="B70" s="955"/>
      <c r="C70" s="310"/>
      <c r="D70" s="966"/>
      <c r="E70" s="950" t="s">
        <v>766</v>
      </c>
      <c r="F70" s="1054"/>
      <c r="O70" s="1428" t="s">
        <v>412</v>
      </c>
      <c r="P70" s="1467" t="s">
        <v>873</v>
      </c>
      <c r="Q70" s="1420">
        <f ca="1">C13</f>
        <v>12549</v>
      </c>
      <c r="R70" s="1420" t="s">
        <v>818</v>
      </c>
    </row>
    <row r="71" spans="1:18" s="1384" customFormat="1" ht="13.5" thickBot="1">
      <c r="A71" s="971" t="s">
        <v>396</v>
      </c>
      <c r="B71" s="972" t="s">
        <v>776</v>
      </c>
      <c r="C71" s="336">
        <f ca="1">ROUND(C68*10000/F71,0)</f>
        <v>-1112</v>
      </c>
      <c r="D71" s="973" t="s">
        <v>777</v>
      </c>
      <c r="E71" s="974" t="s">
        <v>778</v>
      </c>
      <c r="F71" s="339">
        <f ca="1">F43</f>
        <v>26440.1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878</v>
      </c>
      <c r="D75" s="1384"/>
      <c r="E75" s="1384"/>
      <c r="F75" s="1384"/>
      <c r="K75" s="1402"/>
      <c r="L75" s="1384"/>
      <c r="O75" s="1418" t="s">
        <v>409</v>
      </c>
      <c r="P75" s="1419" t="s">
        <v>838</v>
      </c>
      <c r="Q75" s="1420">
        <f ca="1">Q65+Q66</f>
        <v>53957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0.73699999999999999</v>
      </c>
    </row>
    <row r="80" spans="1:18">
      <c r="B80" s="340" t="s">
        <v>800</v>
      </c>
      <c r="C80" s="274">
        <f ca="1">ROUND(C75/C39,3)</f>
        <v>0.26300000000000001</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2105</v>
      </c>
      <c r="E6" s="302" t="s">
        <v>696</v>
      </c>
      <c r="F6" s="303">
        <f ca="1">INDIRECT("'数据-取费表'!u"&amp;$G$1)</f>
        <v>0</v>
      </c>
      <c r="G6" s="1384"/>
      <c r="H6" s="1069" t="s">
        <v>398</v>
      </c>
      <c r="I6" s="3683" t="s">
        <v>694</v>
      </c>
      <c r="J6" s="301">
        <f ca="1">ROUND(M6*M8*M7*(1-M9),0)</f>
        <v>0</v>
      </c>
      <c r="K6" s="1376" t="s">
        <v>2106</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3365</v>
      </c>
      <c r="E2" s="3443"/>
      <c r="F2" s="2845"/>
      <c r="G2" s="2846"/>
      <c r="H2" s="2847"/>
      <c r="I2" s="2848"/>
      <c r="J2" s="3692" t="s">
        <v>2319</v>
      </c>
      <c r="K2" s="3693"/>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94" t="s">
        <v>2329</v>
      </c>
      <c r="K3" s="3695"/>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94" t="s">
        <v>2331</v>
      </c>
      <c r="K4" s="3695"/>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0" t="s">
        <v>2335</v>
      </c>
      <c r="B6" s="3701"/>
      <c r="C6" s="3702"/>
      <c r="D6" s="2869"/>
      <c r="E6" s="2870"/>
      <c r="F6" s="2871"/>
      <c r="G6" s="2872"/>
      <c r="H6" s="2847"/>
      <c r="I6" s="2848"/>
      <c r="J6" s="3686">
        <v>1</v>
      </c>
      <c r="K6" s="3687"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86"/>
      <c r="K7" s="3688"/>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3" t="s">
        <v>2349</v>
      </c>
      <c r="C8" s="3704"/>
      <c r="D8" s="2888" t="s">
        <v>2350</v>
      </c>
      <c r="E8" s="2889" t="s">
        <v>2351</v>
      </c>
      <c r="F8" s="2890" t="s">
        <v>2352</v>
      </c>
      <c r="G8" s="2891"/>
      <c r="H8" s="2847"/>
      <c r="I8" s="2848"/>
      <c r="J8" s="3686"/>
      <c r="K8" s="3688"/>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3" t="s">
        <v>2355</v>
      </c>
      <c r="C9" s="3704"/>
      <c r="D9" s="2888">
        <f>ROUND(D6*E9,0)</f>
        <v>0</v>
      </c>
      <c r="E9" s="2892"/>
      <c r="F9" s="2893" t="s">
        <v>2356</v>
      </c>
      <c r="G9" s="2872"/>
      <c r="H9" s="2847"/>
      <c r="I9" s="2848"/>
      <c r="J9" s="3686"/>
      <c r="K9" s="3688"/>
      <c r="L9" s="2882" t="s">
        <v>2357</v>
      </c>
      <c r="M9" s="2883"/>
      <c r="N9" s="2859"/>
      <c r="O9" s="2884"/>
      <c r="P9" s="2884"/>
      <c r="Q9" s="2885">
        <v>365</v>
      </c>
      <c r="R9" s="2886">
        <f t="shared" si="0"/>
        <v>0</v>
      </c>
      <c r="S9" s="2840"/>
      <c r="T9" s="2840"/>
      <c r="U9" s="2840"/>
      <c r="V9" s="2848"/>
    </row>
    <row r="10" spans="1:22" s="2852" customFormat="1" ht="13.15" customHeight="1">
      <c r="A10" s="2887">
        <v>2</v>
      </c>
      <c r="B10" s="3703" t="s">
        <v>2358</v>
      </c>
      <c r="C10" s="3704"/>
      <c r="D10" s="2888">
        <f>ROUND(D6*E10,0)</f>
        <v>0</v>
      </c>
      <c r="E10" s="2892"/>
      <c r="F10" s="2893" t="s">
        <v>2359</v>
      </c>
      <c r="G10" s="2872"/>
      <c r="H10" s="2847"/>
      <c r="I10" s="2848"/>
      <c r="J10" s="3686"/>
      <c r="K10" s="3688"/>
      <c r="L10" s="2882" t="s">
        <v>2360</v>
      </c>
      <c r="M10" s="2883"/>
      <c r="N10" s="2859"/>
      <c r="O10" s="2884"/>
      <c r="P10" s="2884"/>
      <c r="Q10" s="2885">
        <v>365</v>
      </c>
      <c r="R10" s="2886">
        <f t="shared" si="0"/>
        <v>0</v>
      </c>
      <c r="S10" s="2840"/>
      <c r="T10" s="2840"/>
      <c r="U10" s="2840"/>
      <c r="V10" s="2848"/>
    </row>
    <row r="11" spans="1:22" s="2852" customFormat="1" ht="13.15" customHeight="1">
      <c r="A11" s="2887">
        <v>3</v>
      </c>
      <c r="B11" s="3703" t="s">
        <v>2361</v>
      </c>
      <c r="C11" s="3704"/>
      <c r="D11" s="2888">
        <f>D12+D14+D15+D16</f>
        <v>0</v>
      </c>
      <c r="E11" s="2894" t="e">
        <f>D11/D6</f>
        <v>#DIV/0!</v>
      </c>
      <c r="F11" s="2890"/>
      <c r="G11" s="2891"/>
      <c r="H11" s="2847"/>
      <c r="I11" s="2848"/>
      <c r="J11" s="3686"/>
      <c r="K11" s="3688"/>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96" t="s">
        <v>2364</v>
      </c>
      <c r="C12" s="3697"/>
      <c r="D12" s="2896">
        <f>ROUND(D13*1.2%*(1-30%),0)</f>
        <v>0</v>
      </c>
      <c r="E12" s="2897">
        <v>1.2E-2</v>
      </c>
      <c r="F12" s="2890" t="s">
        <v>2365</v>
      </c>
      <c r="G12" s="2891"/>
      <c r="H12" s="2847"/>
      <c r="I12" s="2848"/>
      <c r="J12" s="3686"/>
      <c r="K12" s="3688"/>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86"/>
      <c r="K13" s="3688"/>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96" t="s">
        <v>2370</v>
      </c>
      <c r="C14" s="3697"/>
      <c r="D14" s="2896">
        <f>ROUND(E14*B5/10000,0)</f>
        <v>0</v>
      </c>
      <c r="E14" s="2885"/>
      <c r="F14" s="2890" t="s">
        <v>2371</v>
      </c>
      <c r="G14" s="2891"/>
      <c r="H14" s="2847"/>
      <c r="I14" s="2848"/>
      <c r="J14" s="3686"/>
      <c r="K14" s="3689"/>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96" t="s">
        <v>2374</v>
      </c>
      <c r="C15" s="3697"/>
      <c r="D15" s="2896">
        <f>ROUND(D6*E15,0)</f>
        <v>0</v>
      </c>
      <c r="E15" s="2897">
        <v>5.5E-2</v>
      </c>
      <c r="F15" s="2890" t="s">
        <v>2375</v>
      </c>
      <c r="G15" s="2872"/>
      <c r="H15" s="2847"/>
      <c r="I15" s="2848"/>
      <c r="J15" s="3686">
        <v>2</v>
      </c>
      <c r="K15" s="3687"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96" t="s">
        <v>2383</v>
      </c>
      <c r="C16" s="3697"/>
      <c r="D16" s="2907">
        <f>D6*E16</f>
        <v>0</v>
      </c>
      <c r="E16" s="2908"/>
      <c r="F16" s="2893" t="s">
        <v>2384</v>
      </c>
      <c r="G16" s="2872"/>
      <c r="H16" s="2847"/>
      <c r="I16" s="2848"/>
      <c r="J16" s="3686"/>
      <c r="K16" s="3688"/>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98" t="s">
        <v>2386</v>
      </c>
      <c r="C17" s="3699"/>
      <c r="D17" s="2910">
        <f>ROUND(D6*E17,0)</f>
        <v>0</v>
      </c>
      <c r="E17" s="2911"/>
      <c r="F17" s="2912" t="s">
        <v>2387</v>
      </c>
      <c r="G17" s="2872"/>
      <c r="H17" s="2847"/>
      <c r="I17" s="2848"/>
      <c r="J17" s="3686"/>
      <c r="K17" s="3688"/>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86"/>
      <c r="K18" s="3688"/>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86"/>
      <c r="K19" s="3689"/>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6">
        <v>3</v>
      </c>
      <c r="K20" s="3687"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86"/>
      <c r="K21" s="3688"/>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86"/>
      <c r="K22" s="3688"/>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86"/>
      <c r="K23" s="3688"/>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86"/>
      <c r="K24" s="3689"/>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2" t="s">
        <v>2319</v>
      </c>
      <c r="K32" s="3693"/>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94" t="s">
        <v>2329</v>
      </c>
      <c r="K33" s="3695"/>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94" t="s">
        <v>2331</v>
      </c>
      <c r="K34" s="369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86">
        <v>1</v>
      </c>
      <c r="K36" s="3687"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86"/>
      <c r="K37" s="3688"/>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6"/>
      <c r="K38" s="3688"/>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86"/>
      <c r="K39" s="3688"/>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86"/>
      <c r="K40" s="3689"/>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0">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55658</v>
      </c>
      <c r="C2" s="1872" t="s">
        <v>1651</v>
      </c>
      <c r="D2" s="1873" t="s">
        <v>1652</v>
      </c>
      <c r="E2" s="2606">
        <f>SUM(E6:E13)</f>
        <v>27162.899999999998</v>
      </c>
      <c r="F2" s="2706"/>
      <c r="G2" s="1489"/>
      <c r="H2" s="1489"/>
      <c r="I2" s="1489"/>
      <c r="J2" s="1489"/>
      <c r="K2" s="1489"/>
      <c r="L2" s="1489"/>
      <c r="M2" s="1489"/>
      <c r="N2" s="1489"/>
      <c r="O2" s="1489"/>
      <c r="P2" s="1489"/>
      <c r="Q2" s="1489"/>
      <c r="R2" s="1489"/>
      <c r="S2" s="1489"/>
    </row>
    <row r="3" spans="1:22" ht="15.75">
      <c r="A3" s="1870" t="s">
        <v>686</v>
      </c>
      <c r="B3" s="2600">
        <f ca="1">ROUND(B2*10000/E2,0)</f>
        <v>20490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05" t="s">
        <v>1654</v>
      </c>
      <c r="C5" s="370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55658</v>
      </c>
      <c r="C6" s="1872" t="s">
        <v>1651</v>
      </c>
      <c r="D6" s="2708"/>
      <c r="E6" s="2605">
        <f>IF(OR(A6=0,F6="否"),0,'数据-取费表'!K6+'数据-取费表'!S6)</f>
        <v>27162.899999999998</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116" sqref="J11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27162.899999999998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5" t="s">
        <v>1667</v>
      </c>
      <c r="D4" s="3726"/>
      <c r="E4" s="3727" t="s">
        <v>1668</v>
      </c>
      <c r="F4" s="3728"/>
      <c r="G4" s="3725" t="s">
        <v>1669</v>
      </c>
      <c r="H4" s="3726"/>
      <c r="I4" s="3725" t="s">
        <v>1670</v>
      </c>
      <c r="J4" s="3726"/>
      <c r="K4" s="1889" t="s">
        <v>1671</v>
      </c>
      <c r="L4" s="2714"/>
      <c r="M4" s="2715"/>
      <c r="N4" s="2715"/>
      <c r="O4" s="2715"/>
      <c r="P4" s="3729" t="s">
        <v>1672</v>
      </c>
      <c r="Q4" s="3730"/>
      <c r="R4" s="3735" t="s">
        <v>1668</v>
      </c>
      <c r="S4" s="3736"/>
      <c r="T4" s="3735" t="s">
        <v>1669</v>
      </c>
      <c r="U4" s="3736"/>
      <c r="V4" s="3741" t="s">
        <v>1670</v>
      </c>
      <c r="W4" s="3741"/>
      <c r="X4" s="1355"/>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90"/>
      <c r="L5" s="2714"/>
      <c r="M5" s="2715"/>
      <c r="N5" s="2715"/>
      <c r="O5" s="2715"/>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1890" t="s">
        <v>1678</v>
      </c>
      <c r="L6" s="2714"/>
      <c r="M6" s="2715"/>
      <c r="N6" s="2715"/>
      <c r="O6" s="2715"/>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45022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46" t="s">
        <v>1680</v>
      </c>
      <c r="Q7" s="3748"/>
      <c r="R7" s="701" t="s">
        <v>20</v>
      </c>
      <c r="S7" s="702">
        <f t="shared" ref="S7:S15" si="0">F7</f>
        <v>0</v>
      </c>
      <c r="T7" s="701" t="s">
        <v>20</v>
      </c>
      <c r="U7" s="702">
        <f t="shared" ref="U7:U15" si="1">H7</f>
        <v>0</v>
      </c>
      <c r="V7" s="701" t="s">
        <v>20</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1"/>
      <c r="Q11" s="1343" t="str">
        <f t="shared" si="6"/>
        <v>容积率</v>
      </c>
      <c r="R11" s="701" t="s">
        <v>18</v>
      </c>
      <c r="S11" s="702" t="e">
        <f t="shared" si="0"/>
        <v>#N/A</v>
      </c>
      <c r="T11" s="701" t="s">
        <v>18</v>
      </c>
      <c r="U11" s="702" t="e">
        <f t="shared" si="1"/>
        <v>#N/A</v>
      </c>
      <c r="V11" s="701" t="s">
        <v>18</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1"/>
      <c r="Q12" s="1343">
        <f t="shared" si="6"/>
        <v>111</v>
      </c>
      <c r="R12" s="701" t="s">
        <v>18</v>
      </c>
      <c r="S12" s="702">
        <f t="shared" si="0"/>
        <v>100</v>
      </c>
      <c r="T12" s="701" t="s">
        <v>18</v>
      </c>
      <c r="U12" s="702">
        <f t="shared" si="1"/>
        <v>100</v>
      </c>
      <c r="V12" s="701" t="s">
        <v>18</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1"/>
      <c r="Q13" s="1343">
        <f t="shared" si="6"/>
        <v>111</v>
      </c>
      <c r="R13" s="701" t="s">
        <v>18</v>
      </c>
      <c r="S13" s="702">
        <f t="shared" si="0"/>
        <v>100</v>
      </c>
      <c r="T13" s="701" t="s">
        <v>18</v>
      </c>
      <c r="U13" s="702">
        <f t="shared" si="1"/>
        <v>100</v>
      </c>
      <c r="V13" s="701" t="s">
        <v>18</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1"/>
      <c r="Q14" s="1343">
        <f t="shared" si="6"/>
        <v>111</v>
      </c>
      <c r="R14" s="701" t="s">
        <v>18</v>
      </c>
      <c r="S14" s="702">
        <f t="shared" si="0"/>
        <v>100</v>
      </c>
      <c r="T14" s="701" t="s">
        <v>18</v>
      </c>
      <c r="U14" s="702">
        <f t="shared" si="1"/>
        <v>100</v>
      </c>
      <c r="V14" s="701" t="s">
        <v>18</v>
      </c>
      <c r="W14" s="702">
        <f t="shared" si="2"/>
        <v>100</v>
      </c>
      <c r="X14" s="703"/>
      <c r="Y14" s="358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0"/>
      <c r="Q20" s="1352"/>
      <c r="R20" s="705"/>
      <c r="S20" s="706"/>
      <c r="T20" s="705"/>
      <c r="U20" s="706"/>
      <c r="V20" s="705"/>
      <c r="W20" s="706"/>
      <c r="X20" s="1355"/>
      <c r="Y20" s="371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0"/>
      <c r="Q22" s="1352"/>
      <c r="R22" s="705"/>
      <c r="S22" s="706"/>
      <c r="T22" s="705"/>
      <c r="U22" s="706"/>
      <c r="V22" s="705"/>
      <c r="W22" s="706"/>
      <c r="X22" s="1355"/>
      <c r="Y22" s="371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116" sqref="J1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27162.899999999998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35" t="s">
        <v>1771</v>
      </c>
      <c r="S4" s="3736"/>
      <c r="T4" s="3735" t="s">
        <v>1772</v>
      </c>
      <c r="U4" s="3736"/>
      <c r="V4" s="3741" t="s">
        <v>1773</v>
      </c>
      <c r="W4" s="3741"/>
      <c r="X4" s="1355"/>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4"/>
      <c r="M5" s="2715"/>
      <c r="N5" s="2715"/>
      <c r="O5" s="2715"/>
      <c r="P5" s="3731"/>
      <c r="Q5" s="3732"/>
      <c r="R5" s="3737"/>
      <c r="S5" s="3738"/>
      <c r="T5" s="3737"/>
      <c r="U5" s="3738"/>
      <c r="V5" s="3741"/>
      <c r="W5" s="3741"/>
      <c r="X5" s="1355"/>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4"/>
      <c r="M6" s="2715"/>
      <c r="N6" s="2715"/>
      <c r="O6" s="2715"/>
      <c r="P6" s="3733"/>
      <c r="Q6" s="3734"/>
      <c r="R6" s="3737"/>
      <c r="S6" s="3738"/>
      <c r="T6" s="3739"/>
      <c r="U6" s="3740"/>
      <c r="V6" s="3741"/>
      <c r="W6" s="3741"/>
      <c r="X6" s="1355"/>
      <c r="Y6" s="3739"/>
      <c r="Z6" s="3740"/>
      <c r="AA6" s="3724"/>
      <c r="AB6" s="3741"/>
      <c r="AC6" s="3724"/>
    </row>
    <row r="7" spans="1:29" s="108" customFormat="1" ht="15.75" thickBot="1">
      <c r="A7" s="362" t="s">
        <v>1679</v>
      </c>
      <c r="B7" s="363"/>
      <c r="C7" s="364">
        <f>'数据-取费表'!B2</f>
        <v>45022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1"/>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1"/>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1"/>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1"/>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0"/>
      <c r="Q20" s="1352"/>
      <c r="R20" s="705"/>
      <c r="S20" s="706"/>
      <c r="T20" s="705"/>
      <c r="U20" s="706"/>
      <c r="V20" s="705"/>
      <c r="W20" s="706"/>
      <c r="X20" s="1355"/>
      <c r="Y20" s="371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0"/>
      <c r="Q22" s="1352"/>
      <c r="R22" s="705"/>
      <c r="S22" s="706"/>
      <c r="T22" s="705"/>
      <c r="U22" s="706"/>
      <c r="V22" s="705"/>
      <c r="W22" s="706"/>
      <c r="X22" s="1355"/>
      <c r="Y22" s="371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E129"/>
  <sheetViews>
    <sheetView view="pageBreakPreview" zoomScale="60" zoomScaleNormal="70" workbookViewId="0">
      <selection activeCell="I63" sqref="I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2" t="s">
        <v>3564</v>
      </c>
      <c r="F1" s="1879" t="s">
        <v>3565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IF(E1="项目模式",IF(C2="——",ROUND(C47*D3/10000,0),ROUND(C47*D3/10000,0)-D2),IF(E1="单套模式",IF(C2="——",ROUND(C47*D3/10000,4),ROUND(C47*D3/10000,4)-D2)))</f>
        <v>101141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IF(C2="——",C47,ROUND(B2*10000/D3,0))</f>
        <v>42992</v>
      </c>
      <c r="C3" s="354" t="s">
        <v>1768</v>
      </c>
      <c r="D3" s="3490">
        <f>'数据-汇总表'!F27</f>
        <v>23525.599999999999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59" t="s">
        <v>1775</v>
      </c>
      <c r="Q4" s="3760"/>
      <c r="R4" s="3763" t="s">
        <v>1771</v>
      </c>
      <c r="S4" s="3764"/>
      <c r="T4" s="3763" t="s">
        <v>1772</v>
      </c>
      <c r="U4" s="3764"/>
      <c r="V4" s="3765" t="s">
        <v>1773</v>
      </c>
      <c r="W4" s="3765"/>
      <c r="X4" s="1958"/>
      <c r="Y4" s="3763" t="s">
        <v>1775</v>
      </c>
      <c r="Z4" s="3764"/>
      <c r="AA4" s="3768" t="s">
        <v>1771</v>
      </c>
      <c r="AB4" s="3768" t="s">
        <v>1772</v>
      </c>
      <c r="AC4" s="3756" t="s">
        <v>1773</v>
      </c>
    </row>
    <row r="5" spans="1:29" ht="15">
      <c r="A5" s="358"/>
      <c r="B5" s="359"/>
      <c r="C5" s="3767" t="s">
        <v>3566</v>
      </c>
      <c r="D5" s="3745"/>
      <c r="E5" s="3769" t="s">
        <v>3568</v>
      </c>
      <c r="F5" s="3752"/>
      <c r="G5" s="3744" t="s">
        <v>3507</v>
      </c>
      <c r="H5" s="3745"/>
      <c r="I5" s="3744" t="s">
        <v>3569</v>
      </c>
      <c r="J5" s="3745"/>
      <c r="K5" s="559"/>
      <c r="L5" s="2714"/>
      <c r="M5" s="2715"/>
      <c r="N5" s="2715"/>
      <c r="O5" s="2715"/>
      <c r="P5" s="3761"/>
      <c r="Q5" s="3732"/>
      <c r="R5" s="3737"/>
      <c r="S5" s="3738"/>
      <c r="T5" s="3737"/>
      <c r="U5" s="3738"/>
      <c r="V5" s="3741"/>
      <c r="W5" s="3741"/>
      <c r="X5" s="1355"/>
      <c r="Y5" s="3737"/>
      <c r="Z5" s="3738"/>
      <c r="AA5" s="3723"/>
      <c r="AB5" s="3723"/>
      <c r="AC5" s="3757"/>
    </row>
    <row r="6" spans="1:29" ht="15.75" thickBot="1">
      <c r="A6" s="360"/>
      <c r="B6" s="361"/>
      <c r="C6" s="3742" t="s">
        <v>1677</v>
      </c>
      <c r="D6" s="3743"/>
      <c r="E6" s="3749" t="s">
        <v>1677</v>
      </c>
      <c r="F6" s="3750"/>
      <c r="G6" s="3742" t="s">
        <v>1677</v>
      </c>
      <c r="H6" s="3743"/>
      <c r="I6" s="3742" t="s">
        <v>1677</v>
      </c>
      <c r="J6" s="3743"/>
      <c r="K6" s="559" t="s">
        <v>1678</v>
      </c>
      <c r="L6" s="2714"/>
      <c r="M6" s="2715"/>
      <c r="N6" s="2715"/>
      <c r="O6" s="2715"/>
      <c r="P6" s="3762"/>
      <c r="Q6" s="3734"/>
      <c r="R6" s="3737"/>
      <c r="S6" s="3738"/>
      <c r="T6" s="3739"/>
      <c r="U6" s="3740"/>
      <c r="V6" s="3741"/>
      <c r="W6" s="3741"/>
      <c r="X6" s="1355"/>
      <c r="Y6" s="3739"/>
      <c r="Z6" s="3740"/>
      <c r="AA6" s="3724"/>
      <c r="AB6" s="3724"/>
      <c r="AC6" s="3758"/>
    </row>
    <row r="7" spans="1:29" s="108" customFormat="1" ht="15.75" thickBot="1">
      <c r="A7" s="362" t="s">
        <v>1679</v>
      </c>
      <c r="B7" s="363"/>
      <c r="C7" s="364">
        <f>'数据-取费表'!B2</f>
        <v>45022</v>
      </c>
      <c r="D7" s="365">
        <v>100</v>
      </c>
      <c r="E7" s="366">
        <v>44835</v>
      </c>
      <c r="F7" s="367">
        <f>SUMIF(56:56,YEAR(E7)&amp;"-"&amp;MONTH(E7),57:57)</f>
        <v>100</v>
      </c>
      <c r="G7" s="366">
        <v>44440</v>
      </c>
      <c r="H7" s="365">
        <f>SUMIF(56:56,YEAR(G7)&amp;"-"&amp;MONTH(G7),57:57)</f>
        <v>100</v>
      </c>
      <c r="I7" s="366">
        <v>44348</v>
      </c>
      <c r="J7" s="365">
        <f>SUMIF(56:56,YEAR(I7)&amp;"-"&amp;MONTH(I7),57:57)</f>
        <v>100</v>
      </c>
      <c r="K7" s="560"/>
      <c r="L7" s="2716"/>
      <c r="M7" s="2717"/>
      <c r="N7" s="2717"/>
      <c r="O7" s="2717"/>
      <c r="P7" s="3766" t="s">
        <v>1680</v>
      </c>
      <c r="Q7" s="3748"/>
      <c r="R7" s="701" t="s">
        <v>14</v>
      </c>
      <c r="S7" s="702">
        <f t="shared" ref="S7:S15" si="0">F7</f>
        <v>100</v>
      </c>
      <c r="T7" s="701" t="s">
        <v>14</v>
      </c>
      <c r="U7" s="702">
        <f t="shared" ref="U7:U15" si="1">H7</f>
        <v>100</v>
      </c>
      <c r="V7" s="701" t="s">
        <v>14</v>
      </c>
      <c r="W7" s="702">
        <f t="shared" ref="W7:W15" si="2">J7</f>
        <v>100</v>
      </c>
      <c r="X7" s="703"/>
      <c r="Y7" s="3746" t="s">
        <v>1680</v>
      </c>
      <c r="Z7" s="3747"/>
      <c r="AA7" s="704">
        <f>D7/F7</f>
        <v>1</v>
      </c>
      <c r="AB7" s="704">
        <f>D7/H7</f>
        <v>1</v>
      </c>
      <c r="AC7" s="1959">
        <f>D7/J7</f>
        <v>1</v>
      </c>
    </row>
    <row r="8" spans="1:29" s="108" customFormat="1" ht="15.75" thickBot="1">
      <c r="A8" s="362" t="s">
        <v>1681</v>
      </c>
      <c r="B8" s="363"/>
      <c r="C8" s="368" t="s">
        <v>3417</v>
      </c>
      <c r="D8" s="365">
        <v>100</v>
      </c>
      <c r="E8" s="368" t="s">
        <v>3417</v>
      </c>
      <c r="F8" s="367">
        <f>SUMIF(59:59,E8,60:60)-SUMIF(59:59,C8,60:60)+100</f>
        <v>100</v>
      </c>
      <c r="G8" s="368" t="s">
        <v>3417</v>
      </c>
      <c r="H8" s="365">
        <f>SUMIF(59:59,G8,60:60)-SUMIF(59:59,C8,60:60)+100</f>
        <v>100</v>
      </c>
      <c r="I8" s="368" t="s">
        <v>3417</v>
      </c>
      <c r="J8" s="365">
        <f>SUMIF(59:59,I8,60:60)-SUMIF(59:59,C8,60:60)+100</f>
        <v>100</v>
      </c>
      <c r="K8" s="560"/>
      <c r="L8" s="2716"/>
      <c r="M8" s="2717"/>
      <c r="N8" s="2717"/>
      <c r="O8" s="2717"/>
      <c r="P8" s="3766" t="s">
        <v>1683</v>
      </c>
      <c r="Q8" s="3747"/>
      <c r="R8" s="701" t="s">
        <v>14</v>
      </c>
      <c r="S8" s="702">
        <f t="shared" si="0"/>
        <v>100</v>
      </c>
      <c r="T8" s="701" t="s">
        <v>14</v>
      </c>
      <c r="U8" s="702">
        <f t="shared" si="1"/>
        <v>100</v>
      </c>
      <c r="V8" s="701" t="s">
        <v>14</v>
      </c>
      <c r="W8" s="702">
        <f t="shared" si="2"/>
        <v>100</v>
      </c>
      <c r="X8" s="703"/>
      <c r="Y8" s="3746" t="s">
        <v>1683</v>
      </c>
      <c r="Z8" s="3747"/>
      <c r="AA8" s="704">
        <f t="shared" ref="AA8:AA44" si="3">D8/F8</f>
        <v>1</v>
      </c>
      <c r="AB8" s="704">
        <f t="shared" ref="AB8:AB44" si="4">D8/H8</f>
        <v>1</v>
      </c>
      <c r="AC8" s="1959">
        <f t="shared" ref="AC8:AC44" si="5">D8/J8</f>
        <v>1</v>
      </c>
    </row>
    <row r="9" spans="1:29" s="108" customFormat="1" ht="15">
      <c r="A9" s="369" t="s">
        <v>1684</v>
      </c>
      <c r="B9" s="63" t="s">
        <v>1685</v>
      </c>
      <c r="C9" s="3486" t="s">
        <v>3572</v>
      </c>
      <c r="D9" s="126">
        <v>100</v>
      </c>
      <c r="E9" s="373" t="s">
        <v>673</v>
      </c>
      <c r="F9" s="126">
        <f>SUMIF(61:61,E9,62:62)-SUMIF(61:61,C9,62:62)+100</f>
        <v>100</v>
      </c>
      <c r="G9" s="371" t="s">
        <v>3585</v>
      </c>
      <c r="H9" s="126">
        <f>SUMIF(61:61,G9,62:62)-SUMIF(61:61,C9,62:62)+100</f>
        <v>102</v>
      </c>
      <c r="I9" s="371" t="s">
        <v>3585</v>
      </c>
      <c r="J9" s="126">
        <f>SUMIF(61:61,I9,62:62)-SUMIF(61:61,C9,62:62)+100</f>
        <v>102</v>
      </c>
      <c r="K9" s="560"/>
      <c r="L9" s="2716"/>
      <c r="M9" s="2717"/>
      <c r="N9" s="2717"/>
      <c r="O9" s="2717"/>
      <c r="P9" s="3721" t="s">
        <v>1686</v>
      </c>
      <c r="Q9" s="1343" t="str">
        <f t="shared" ref="Q9:Q15" si="6">B9</f>
        <v>用途</v>
      </c>
      <c r="R9" s="701" t="s">
        <v>14</v>
      </c>
      <c r="S9" s="702">
        <f t="shared" si="0"/>
        <v>100</v>
      </c>
      <c r="T9" s="701" t="s">
        <v>14</v>
      </c>
      <c r="U9" s="702">
        <f t="shared" si="1"/>
        <v>102</v>
      </c>
      <c r="V9" s="701" t="s">
        <v>14</v>
      </c>
      <c r="W9" s="702">
        <f t="shared" si="2"/>
        <v>102</v>
      </c>
      <c r="X9" s="703"/>
      <c r="Y9" s="3585" t="s">
        <v>1687</v>
      </c>
      <c r="Z9" s="52" t="str">
        <f t="shared" ref="Z9:Z15" si="7">Q9</f>
        <v>用途</v>
      </c>
      <c r="AA9" s="704">
        <f t="shared" si="3"/>
        <v>1</v>
      </c>
      <c r="AB9" s="704">
        <f t="shared" si="4"/>
        <v>0.98039215686274506</v>
      </c>
      <c r="AC9" s="1959">
        <f t="shared" si="5"/>
        <v>0.98039215686274506</v>
      </c>
    </row>
    <row r="10" spans="1:29" s="378" customFormat="1" ht="27" hidden="1">
      <c r="A10" s="374"/>
      <c r="B10" s="375" t="s">
        <v>1688</v>
      </c>
      <c r="C10" s="3433"/>
      <c r="D10" s="127">
        <v>100</v>
      </c>
      <c r="E10" s="3433"/>
      <c r="F10" s="127">
        <f>SUMIF(63:63,E10,64:64)-SUMIF(63:63,C10,64:64)+100</f>
        <v>100</v>
      </c>
      <c r="G10" s="3434"/>
      <c r="H10" s="127">
        <f>SUMIF(63:63,G10,64:64)-SUMIF(63:63,C10,64:64)+100</f>
        <v>100</v>
      </c>
      <c r="I10" s="3433"/>
      <c r="J10" s="127">
        <f>SUMIF(63:63,I10,64:64)-SUMIF(63:63,C10,64:64)+100</f>
        <v>100</v>
      </c>
      <c r="K10" s="560"/>
      <c r="L10" s="2718"/>
      <c r="M10" s="2719"/>
      <c r="N10" s="2719"/>
      <c r="O10" s="2719"/>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LOOKUP(E11,66:66,67:67)-LOOKUP(C11,66:66,67:67)+100</f>
        <v>100</v>
      </c>
      <c r="G11" s="381"/>
      <c r="H11" s="127">
        <f>LOOKUP(G11,66:66,67:67)-LOOKUP(C11,66:66,67:67)+100</f>
        <v>100</v>
      </c>
      <c r="I11" s="380"/>
      <c r="J11" s="127">
        <f>LOOKUP(I11,66:66,67:67)-LOOKUP(C11,66:66,67:67)+100</f>
        <v>100</v>
      </c>
      <c r="K11" s="561"/>
      <c r="L11" s="2720"/>
      <c r="M11" s="2715"/>
      <c r="N11" s="2715"/>
      <c r="O11" s="2715"/>
      <c r="P11" s="3721"/>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1959">
        <f t="shared" si="5"/>
        <v>1</v>
      </c>
    </row>
    <row r="12" spans="1:29" s="108" customFormat="1" ht="15.75" thickBot="1">
      <c r="A12" s="382"/>
      <c r="B12" s="3489" t="s">
        <v>3573</v>
      </c>
      <c r="C12" s="3492">
        <f>C68</f>
        <v>0.10729708536275583</v>
      </c>
      <c r="D12" s="384">
        <v>100</v>
      </c>
      <c r="E12" s="3492">
        <f>D68</f>
        <v>0.23499999999999999</v>
      </c>
      <c r="F12" s="127">
        <f>SUMIF(68:68,E12,69:69)-SUMIF(68:68,C12,69:69)+100</f>
        <v>95</v>
      </c>
      <c r="G12" s="3493">
        <f>E68</f>
        <v>0.247</v>
      </c>
      <c r="H12" s="127">
        <f>SUMIF(68:68,G12,69:69)-SUMIF(68:68,C12,69:69)+100</f>
        <v>95</v>
      </c>
      <c r="I12" s="3494">
        <f>F68</f>
        <v>0.30299999999999999</v>
      </c>
      <c r="J12" s="127">
        <f>SUMIF(68:68,I12,69:69)-SUMIF(68:68,C12,69:69)+100</f>
        <v>95</v>
      </c>
      <c r="K12" s="562"/>
      <c r="L12" s="2716"/>
      <c r="M12" s="2717"/>
      <c r="N12" s="2717"/>
      <c r="O12" s="2717"/>
      <c r="P12" s="3721"/>
      <c r="Q12" s="1343" t="str">
        <f t="shared" si="6"/>
        <v>地下占比</v>
      </c>
      <c r="R12" s="701" t="s">
        <v>14</v>
      </c>
      <c r="S12" s="702">
        <f t="shared" si="0"/>
        <v>95</v>
      </c>
      <c r="T12" s="701" t="s">
        <v>14</v>
      </c>
      <c r="U12" s="702">
        <f t="shared" si="1"/>
        <v>95</v>
      </c>
      <c r="V12" s="701" t="s">
        <v>14</v>
      </c>
      <c r="W12" s="702">
        <f t="shared" si="2"/>
        <v>95</v>
      </c>
      <c r="X12" s="703"/>
      <c r="Y12" s="3585"/>
      <c r="Z12" s="52" t="str">
        <f t="shared" si="7"/>
        <v>地下占比</v>
      </c>
      <c r="AA12" s="704">
        <f>D12/F12</f>
        <v>1.0526315789473684</v>
      </c>
      <c r="AB12" s="704">
        <f>D12/H12</f>
        <v>1.0526315789473684</v>
      </c>
      <c r="AC12" s="1959">
        <f>D12/J12</f>
        <v>1.0526315789473684</v>
      </c>
    </row>
    <row r="13" spans="1:29" ht="15" hidden="1">
      <c r="A13" s="379"/>
      <c r="B13" s="1893"/>
      <c r="C13" s="385"/>
      <c r="D13" s="386">
        <v>100</v>
      </c>
      <c r="E13" s="383"/>
      <c r="F13" s="127">
        <f>SUMIF(70:70,E13,71:71)-SUMIF(70:70,C13,71:71)+100</f>
        <v>100</v>
      </c>
      <c r="G13" s="1960"/>
      <c r="H13" s="386">
        <f>SUMIF(70:70,G13,71:71)-SUMIF(70:70,C13,71:71)+100</f>
        <v>100</v>
      </c>
      <c r="I13" s="383"/>
      <c r="J13" s="386">
        <f>SUMIF(70:70,I13,71:71)-SUMIF(70:70,C13,71:71)+100</f>
        <v>100</v>
      </c>
      <c r="K13" s="562"/>
      <c r="L13" s="2721"/>
      <c r="M13" s="2715"/>
      <c r="N13" s="2715"/>
      <c r="O13" s="2715"/>
      <c r="P13" s="3721"/>
      <c r="Q13" s="1343">
        <f t="shared" si="6"/>
        <v>0</v>
      </c>
      <c r="R13" s="701" t="s">
        <v>14</v>
      </c>
      <c r="S13" s="702">
        <f t="shared" si="0"/>
        <v>100</v>
      </c>
      <c r="T13" s="701" t="s">
        <v>14</v>
      </c>
      <c r="U13" s="702">
        <f t="shared" si="1"/>
        <v>100</v>
      </c>
      <c r="V13" s="701" t="s">
        <v>14</v>
      </c>
      <c r="W13" s="702">
        <f t="shared" si="2"/>
        <v>100</v>
      </c>
      <c r="X13" s="703"/>
      <c r="Y13" s="3585"/>
      <c r="Z13" s="52">
        <f t="shared" si="7"/>
        <v>0</v>
      </c>
      <c r="AA13" s="704">
        <f t="shared" si="3"/>
        <v>1</v>
      </c>
      <c r="AB13" s="704">
        <f t="shared" si="4"/>
        <v>1</v>
      </c>
      <c r="AC13" s="1959">
        <f t="shared" si="5"/>
        <v>1</v>
      </c>
    </row>
    <row r="14" spans="1:29" ht="15.75" hidden="1" thickBot="1">
      <c r="A14" s="387"/>
      <c r="B14" s="1895"/>
      <c r="C14" s="388"/>
      <c r="D14" s="389">
        <v>100</v>
      </c>
      <c r="E14" s="576"/>
      <c r="F14" s="389">
        <f>SUMIF(72:72,E14,73:73)-SUMIF(72:72,C14,73:73)+100</f>
        <v>100</v>
      </c>
      <c r="G14" s="1960"/>
      <c r="H14" s="389">
        <f>SUMIF(72:72,G14,73:73)-SUMIF(72:72,C14,73:73)+100</f>
        <v>100</v>
      </c>
      <c r="I14" s="383"/>
      <c r="J14" s="389">
        <f>SUMIF(72:72,I14,73:73)-SUMIF(72:72,C14,73:73)+100</f>
        <v>100</v>
      </c>
      <c r="K14" s="562"/>
      <c r="L14" s="2721"/>
      <c r="M14" s="2715"/>
      <c r="N14" s="2715"/>
      <c r="O14" s="2715"/>
      <c r="P14" s="3721"/>
      <c r="Q14" s="1343">
        <f t="shared" si="6"/>
        <v>0</v>
      </c>
      <c r="R14" s="701" t="s">
        <v>14</v>
      </c>
      <c r="S14" s="702">
        <f t="shared" si="0"/>
        <v>100</v>
      </c>
      <c r="T14" s="701" t="s">
        <v>14</v>
      </c>
      <c r="U14" s="702">
        <f t="shared" si="1"/>
        <v>100</v>
      </c>
      <c r="V14" s="701" t="s">
        <v>14</v>
      </c>
      <c r="W14" s="702">
        <f t="shared" si="2"/>
        <v>100</v>
      </c>
      <c r="X14" s="703"/>
      <c r="Y14" s="3585"/>
      <c r="Z14" s="52">
        <f t="shared" si="7"/>
        <v>0</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SUMIF(74:74,E16,75:75)-SUMIF(74:74,C16,75:75)+100</f>
        <v>100</v>
      </c>
      <c r="G15" s="393"/>
      <c r="H15" s="392">
        <f>SUMIF(74:74,G16,75:75)-SUMIF(74:74,C16,75:75)+100</f>
        <v>100</v>
      </c>
      <c r="I15" s="393"/>
      <c r="J15" s="392">
        <f>SUMIF(74:74,I16,75:75)-SUMIF(74:74,C16,75:75)+100</f>
        <v>100</v>
      </c>
      <c r="K15" s="563">
        <v>3</v>
      </c>
      <c r="L15" s="2721"/>
      <c r="M15" s="2715"/>
      <c r="N15" s="2715"/>
      <c r="O15" s="2715"/>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t="s">
        <v>3405</v>
      </c>
      <c r="D16" s="399"/>
      <c r="E16" s="1904" t="s">
        <v>3405</v>
      </c>
      <c r="F16" s="399"/>
      <c r="G16" s="1904" t="s">
        <v>3405</v>
      </c>
      <c r="H16" s="401"/>
      <c r="I16" s="1904" t="s">
        <v>3405</v>
      </c>
      <c r="J16" s="399"/>
      <c r="K16" s="564"/>
      <c r="L16" s="2721"/>
      <c r="M16" s="2715"/>
      <c r="N16" s="2715"/>
      <c r="O16" s="2715"/>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SUMIF(76:76,E18,77:77)-SUMIF(76:76,C18,77:77)+100</f>
        <v>100</v>
      </c>
      <c r="G17" s="403"/>
      <c r="H17" s="406">
        <f>SUMIF(76:76,G18,77:77)-SUMIF(76:76,C18,77:77)+100</f>
        <v>100</v>
      </c>
      <c r="I17" s="403"/>
      <c r="J17" s="406">
        <f>SUMIF(76:76,I18,77:77)-SUMIF(76:76,C18,77:77)+100</f>
        <v>100</v>
      </c>
      <c r="K17" s="563">
        <v>3</v>
      </c>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t="s">
        <v>3405</v>
      </c>
      <c r="D18" s="401"/>
      <c r="E18" s="1964" t="s">
        <v>3405</v>
      </c>
      <c r="F18" s="401"/>
      <c r="G18" s="1964" t="s">
        <v>3405</v>
      </c>
      <c r="H18" s="399"/>
      <c r="I18" s="1964" t="s">
        <v>3405</v>
      </c>
      <c r="J18" s="399"/>
      <c r="K18" s="564"/>
      <c r="L18" s="2721"/>
      <c r="M18" s="2715"/>
      <c r="N18" s="2715"/>
      <c r="O18" s="2715"/>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SUMIF(78:78,E20,79:79)-SUMIF(78:78,C20,79:79)+100</f>
        <v>100</v>
      </c>
      <c r="G19" s="408"/>
      <c r="H19" s="401">
        <f>SUMIF(78:78,G20,79:79)-SUMIF(78:78,C20,79:79)+100</f>
        <v>100</v>
      </c>
      <c r="I19" s="408"/>
      <c r="J19" s="401">
        <f>SUMIF(78:78,I20,79:79)-SUMIF(78:78,C20,79:79)+100</f>
        <v>100</v>
      </c>
      <c r="K19" s="563">
        <v>3</v>
      </c>
      <c r="L19" s="2721"/>
      <c r="M19" s="2715"/>
      <c r="N19" s="2715"/>
      <c r="O19" s="2715"/>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t="s">
        <v>3405</v>
      </c>
      <c r="D20" s="399"/>
      <c r="E20" s="1904" t="s">
        <v>3405</v>
      </c>
      <c r="F20" s="399"/>
      <c r="G20" s="1904" t="s">
        <v>3405</v>
      </c>
      <c r="H20" s="399"/>
      <c r="I20" s="1904" t="s">
        <v>3405</v>
      </c>
      <c r="J20" s="399"/>
      <c r="K20" s="564"/>
      <c r="L20" s="2721"/>
      <c r="M20" s="2715"/>
      <c r="N20" s="2715"/>
      <c r="O20" s="2715"/>
      <c r="P20" s="3720"/>
      <c r="Q20" s="1352"/>
      <c r="R20" s="705"/>
      <c r="S20" s="706"/>
      <c r="T20" s="705"/>
      <c r="U20" s="706"/>
      <c r="V20" s="705"/>
      <c r="W20" s="706"/>
      <c r="X20" s="1355"/>
      <c r="Y20" s="371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SUMIF(80:80,E22,81:81)-SUMIF(80:80,C22,81:81)+100</f>
        <v>100</v>
      </c>
      <c r="G21" s="408"/>
      <c r="H21" s="401">
        <f>SUMIF(80:80,G22,81:81)-SUMIF(80:80,C22,81:81)+100</f>
        <v>100</v>
      </c>
      <c r="I21" s="408"/>
      <c r="J21" s="401">
        <f>SUMIF(80:80,I22,81:81)-SUMIF(80:80,C22,81:81)+100</f>
        <v>100</v>
      </c>
      <c r="K21" s="563">
        <v>1</v>
      </c>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t="s">
        <v>3586</v>
      </c>
      <c r="D22" s="399"/>
      <c r="E22" s="1964" t="s">
        <v>3586</v>
      </c>
      <c r="F22" s="399"/>
      <c r="G22" s="1964" t="s">
        <v>3586</v>
      </c>
      <c r="H22" s="399"/>
      <c r="I22" s="1964" t="s">
        <v>3586</v>
      </c>
      <c r="J22" s="399"/>
      <c r="K22" s="1130"/>
      <c r="L22" s="2721"/>
      <c r="M22" s="2715"/>
      <c r="N22" s="2715"/>
      <c r="O22" s="2715"/>
      <c r="P22" s="3720"/>
      <c r="Q22" s="1352"/>
      <c r="R22" s="705"/>
      <c r="S22" s="706"/>
      <c r="T22" s="705"/>
      <c r="U22" s="706"/>
      <c r="V22" s="705"/>
      <c r="W22" s="706"/>
      <c r="X22" s="1355"/>
      <c r="Y22" s="371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SUMIF(82:82,E24,83:83)-SUMIF(82:82,C24,83:83)+100</f>
        <v>100</v>
      </c>
      <c r="G23" s="403"/>
      <c r="H23" s="401">
        <f>SUMIF(82:82,G24,83:83)-SUMIF(82:82,C24,83:83)+100</f>
        <v>100</v>
      </c>
      <c r="I23" s="403"/>
      <c r="J23" s="401">
        <f>SUMIF(82:82,I24,83:83)-SUMIF(82:82,C24,83:83)+100</f>
        <v>100</v>
      </c>
      <c r="K23" s="563">
        <v>1</v>
      </c>
      <c r="L23" s="2721"/>
      <c r="M23" s="2715"/>
      <c r="N23" s="2715"/>
      <c r="O23" s="2715"/>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t="s">
        <v>3405</v>
      </c>
      <c r="D24" s="399"/>
      <c r="E24" s="1904" t="s">
        <v>3405</v>
      </c>
      <c r="F24" s="399"/>
      <c r="G24" s="1904" t="s">
        <v>3405</v>
      </c>
      <c r="H24" s="399"/>
      <c r="I24" s="1904" t="s">
        <v>3405</v>
      </c>
      <c r="J24" s="399"/>
      <c r="K24" s="564"/>
      <c r="L24" s="2721"/>
      <c r="M24" s="2715"/>
      <c r="N24" s="2715"/>
      <c r="O24" s="2715"/>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SUMIF(84:84,E26,85:85)-SUMIF(84:84,C26,85:85)+100</f>
        <v>99</v>
      </c>
      <c r="G25" s="1908"/>
      <c r="H25" s="386">
        <f>SUMIF(84:84,G26,85:85)-SUMIF(84:84,C26,85:85)+100</f>
        <v>100</v>
      </c>
      <c r="I25" s="385"/>
      <c r="J25" s="386">
        <f>SUMIF(84:84,I26,85:85)-SUMIF(84:84,C26,85:85)+100</f>
        <v>100</v>
      </c>
      <c r="K25" s="563">
        <v>1</v>
      </c>
      <c r="L25" s="2721"/>
      <c r="M25" s="2715"/>
      <c r="N25" s="2715"/>
      <c r="O25" s="2715"/>
      <c r="P25" s="3720"/>
      <c r="Q25" s="1352" t="str">
        <f>B25</f>
        <v>毗邻道路的类型与等级</v>
      </c>
      <c r="R25" s="705" t="s">
        <v>14</v>
      </c>
      <c r="S25" s="706">
        <f>F25</f>
        <v>99</v>
      </c>
      <c r="T25" s="705" t="s">
        <v>14</v>
      </c>
      <c r="U25" s="706">
        <f>H25</f>
        <v>100</v>
      </c>
      <c r="V25" s="705" t="s">
        <v>14</v>
      </c>
      <c r="W25" s="706">
        <f>J25</f>
        <v>100</v>
      </c>
      <c r="X25" s="1355"/>
      <c r="Y25" s="3713"/>
      <c r="Z25" s="1356" t="str">
        <f>Q25</f>
        <v>毗邻道路的类型与等级</v>
      </c>
      <c r="AA25" s="1353">
        <f t="shared" si="3"/>
        <v>1.0101010101010102</v>
      </c>
      <c r="AB25" s="1353">
        <f t="shared" si="4"/>
        <v>1</v>
      </c>
      <c r="AC25" s="1962">
        <f t="shared" si="5"/>
        <v>1</v>
      </c>
    </row>
    <row r="26" spans="1:29" ht="15.75" thickBot="1">
      <c r="A26" s="358"/>
      <c r="B26" s="580"/>
      <c r="C26" s="582" t="s">
        <v>3587</v>
      </c>
      <c r="D26" s="386"/>
      <c r="E26" s="565" t="s">
        <v>3588</v>
      </c>
      <c r="F26" s="386"/>
      <c r="G26" s="582" t="s">
        <v>3587</v>
      </c>
      <c r="H26" s="386"/>
      <c r="I26" s="582" t="s">
        <v>3587</v>
      </c>
      <c r="J26" s="386"/>
      <c r="K26" s="564"/>
      <c r="L26" s="2721"/>
      <c r="M26" s="2715"/>
      <c r="N26" s="2715"/>
      <c r="O26" s="2715"/>
      <c r="P26" s="3720"/>
      <c r="Q26" s="1352"/>
      <c r="R26" s="705"/>
      <c r="S26" s="706"/>
      <c r="T26" s="705"/>
      <c r="U26" s="706"/>
      <c r="V26" s="705"/>
      <c r="W26" s="706"/>
      <c r="X26" s="1355"/>
      <c r="Y26" s="3713"/>
      <c r="Z26" s="1356"/>
      <c r="AA26" s="1353">
        <v>1</v>
      </c>
      <c r="AB26" s="1353">
        <v>1</v>
      </c>
      <c r="AC26" s="1962">
        <v>1</v>
      </c>
    </row>
    <row r="27" spans="1:29" ht="15.75" hidden="1" thickBot="1">
      <c r="A27" s="379"/>
      <c r="B27" s="3482" t="s">
        <v>3567</v>
      </c>
      <c r="C27" s="1908"/>
      <c r="D27" s="386">
        <v>100</v>
      </c>
      <c r="E27" s="383"/>
      <c r="F27" s="386">
        <f>SUMIF(92:92,E27,93:93)-SUMIF(92:92,C27,93:93)+100</f>
        <v>100</v>
      </c>
      <c r="G27" s="1960"/>
      <c r="H27" s="386">
        <f>SUMIF(92:92,G27,93:93)-SUMIF(92:92,C27,93:93)+100</f>
        <v>100</v>
      </c>
      <c r="I27" s="383"/>
      <c r="J27" s="386">
        <f>SUMIF(92:92,I27,93:93)-SUMIF(92:92,C27,93:93)+100</f>
        <v>100</v>
      </c>
      <c r="K27" s="562"/>
      <c r="L27" s="2721"/>
      <c r="M27" s="2715"/>
      <c r="N27" s="2715"/>
      <c r="O27" s="2715"/>
      <c r="P27" s="3720"/>
      <c r="Q27" s="1352" t="str">
        <f t="shared" ref="Q27:Q44" si="11">B27</f>
        <v>土地级别</v>
      </c>
      <c r="R27" s="705" t="s">
        <v>14</v>
      </c>
      <c r="S27" s="706">
        <f t="shared" ref="S27:S44" si="12">F27</f>
        <v>100</v>
      </c>
      <c r="T27" s="705" t="s">
        <v>14</v>
      </c>
      <c r="U27" s="706">
        <f t="shared" ref="U27:U44" si="13">H27</f>
        <v>100</v>
      </c>
      <c r="V27" s="705" t="s">
        <v>14</v>
      </c>
      <c r="W27" s="706">
        <f t="shared" ref="W27:W44" si="14">J27</f>
        <v>100</v>
      </c>
      <c r="X27" s="1355"/>
      <c r="Y27" s="3713"/>
      <c r="Z27" s="1356" t="str">
        <f t="shared" ref="Z27:Z44" si="15">Q27</f>
        <v>土地级别</v>
      </c>
      <c r="AA27" s="1353">
        <f t="shared" si="3"/>
        <v>1</v>
      </c>
      <c r="AB27" s="1353">
        <f t="shared" si="4"/>
        <v>1</v>
      </c>
      <c r="AC27" s="1962">
        <f t="shared" si="5"/>
        <v>1</v>
      </c>
    </row>
    <row r="28" spans="1:29" ht="15" hidden="1">
      <c r="A28" s="379"/>
      <c r="B28" s="1965">
        <v>111</v>
      </c>
      <c r="C28" s="1908"/>
      <c r="D28" s="386">
        <v>100</v>
      </c>
      <c r="E28" s="383"/>
      <c r="F28" s="386">
        <f>SUMIF(94:94,E28,95:95)-SUMIF(94:94,C28,95:95)+100</f>
        <v>100</v>
      </c>
      <c r="G28" s="1960"/>
      <c r="H28" s="386">
        <f>SUMIF(94:94,G28,95:95)-SUMIF(94:94,C28,95:95)+100</f>
        <v>100</v>
      </c>
      <c r="I28" s="383"/>
      <c r="J28" s="386">
        <f>SUMIF(94:94,I28,95:95)-SUMIF(94:94,C28,95:95)+100</f>
        <v>100</v>
      </c>
      <c r="K28" s="562"/>
      <c r="L28" s="2721"/>
      <c r="M28" s="2715"/>
      <c r="N28" s="2715"/>
      <c r="O28" s="2715"/>
      <c r="P28" s="3720"/>
      <c r="Q28" s="1352">
        <f t="shared" si="11"/>
        <v>111</v>
      </c>
      <c r="R28" s="705" t="s">
        <v>14</v>
      </c>
      <c r="S28" s="706">
        <f t="shared" si="12"/>
        <v>100</v>
      </c>
      <c r="T28" s="705" t="s">
        <v>14</v>
      </c>
      <c r="U28" s="706">
        <f t="shared" si="13"/>
        <v>100</v>
      </c>
      <c r="V28" s="705" t="s">
        <v>14</v>
      </c>
      <c r="W28" s="706">
        <f t="shared" si="14"/>
        <v>100</v>
      </c>
      <c r="X28" s="1355"/>
      <c r="Y28" s="3713"/>
      <c r="Z28" s="1356">
        <f t="shared" si="15"/>
        <v>111</v>
      </c>
      <c r="AA28" s="1353">
        <f t="shared" si="3"/>
        <v>1</v>
      </c>
      <c r="AB28" s="1353">
        <f t="shared" si="4"/>
        <v>1</v>
      </c>
      <c r="AC28" s="1962">
        <f t="shared" si="5"/>
        <v>1</v>
      </c>
    </row>
    <row r="29" spans="1:29" ht="15.75" hidden="1" thickBot="1">
      <c r="A29" s="387"/>
      <c r="B29" s="583">
        <v>111</v>
      </c>
      <c r="C29" s="1909"/>
      <c r="D29" s="389">
        <v>100</v>
      </c>
      <c r="E29" s="576"/>
      <c r="F29" s="389">
        <f>SUMIF(96:96,E29,97:97)-SUMIF(96:96,C29,97:97)+100</f>
        <v>100</v>
      </c>
      <c r="G29" s="1960"/>
      <c r="H29" s="389">
        <f>SUMIF(96:96,G29,97:97)-SUMIF(96:96,C29,97:97)+100</f>
        <v>100</v>
      </c>
      <c r="I29" s="383"/>
      <c r="J29" s="389">
        <f>SUMIF(96:96,I29,97:97)-SUMIF(96:96,C29,97:97)+100</f>
        <v>100</v>
      </c>
      <c r="K29" s="562"/>
      <c r="L29" s="2721"/>
      <c r="M29" s="2715"/>
      <c r="N29" s="2715"/>
      <c r="O29" s="2715"/>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962">
        <f t="shared" si="5"/>
        <v>1</v>
      </c>
    </row>
    <row r="30" spans="1:29" ht="15">
      <c r="A30" s="391" t="s">
        <v>1694</v>
      </c>
      <c r="B30" s="63" t="s">
        <v>1816</v>
      </c>
      <c r="C30" s="1966" t="s">
        <v>3589</v>
      </c>
      <c r="D30" s="418">
        <v>100</v>
      </c>
      <c r="E30" s="1966" t="s">
        <v>3589</v>
      </c>
      <c r="F30" s="412">
        <f>SUMIF(98:98,E30,99:99)-SUMIF(98:98,C30,99:99)+100</f>
        <v>100</v>
      </c>
      <c r="G30" s="1966" t="s">
        <v>3506</v>
      </c>
      <c r="H30" s="386">
        <f>SUMIF(98:98,G30,99:99)-SUMIF(98:98,C30,99:99)+100</f>
        <v>98</v>
      </c>
      <c r="I30" s="1966" t="s">
        <v>3590</v>
      </c>
      <c r="J30" s="418">
        <f>SUMIF(98:98,I30,99:99)-SUMIF(98:98,C30,99:99)+100</f>
        <v>102</v>
      </c>
      <c r="K30" s="561">
        <v>2</v>
      </c>
      <c r="L30" s="2721"/>
      <c r="M30" s="2715"/>
      <c r="N30" s="2715"/>
      <c r="O30" s="2715"/>
      <c r="P30" s="3714" t="s">
        <v>1696</v>
      </c>
      <c r="Q30" s="1352" t="str">
        <f t="shared" si="11"/>
        <v>建筑类型</v>
      </c>
      <c r="R30" s="705" t="s">
        <v>14</v>
      </c>
      <c r="S30" s="706">
        <f t="shared" si="12"/>
        <v>100</v>
      </c>
      <c r="T30" s="705" t="s">
        <v>14</v>
      </c>
      <c r="U30" s="706">
        <f t="shared" si="13"/>
        <v>98</v>
      </c>
      <c r="V30" s="705" t="s">
        <v>14</v>
      </c>
      <c r="W30" s="706">
        <f t="shared" si="14"/>
        <v>102</v>
      </c>
      <c r="X30" s="1355"/>
      <c r="Y30" s="3717" t="s">
        <v>1696</v>
      </c>
      <c r="Z30" s="1356" t="str">
        <f t="shared" si="15"/>
        <v>建筑类型</v>
      </c>
      <c r="AA30" s="1353">
        <f t="shared" si="3"/>
        <v>1</v>
      </c>
      <c r="AB30" s="1353">
        <f t="shared" si="4"/>
        <v>1.0204081632653061</v>
      </c>
      <c r="AC30" s="1962">
        <f t="shared" si="5"/>
        <v>0.98039215686274506</v>
      </c>
    </row>
    <row r="31" spans="1:29" s="422" customFormat="1" ht="15">
      <c r="A31" s="419"/>
      <c r="B31" s="375" t="s">
        <v>1697</v>
      </c>
      <c r="C31" s="420">
        <f>'数据-汇总表'!E3</f>
        <v>27162.899999999998</v>
      </c>
      <c r="D31" s="127">
        <v>100</v>
      </c>
      <c r="E31" s="381">
        <v>7405.99</v>
      </c>
      <c r="F31" s="376">
        <f>LOOKUP(E31,101:101,102:102)-LOOKUP(C31,101:101,102:102)+100</f>
        <v>101</v>
      </c>
      <c r="G31" s="380">
        <v>138490</v>
      </c>
      <c r="H31" s="127">
        <f>LOOKUP(G31,101:101,102:102)-LOOKUP(C31,101:101,102:102)+100</f>
        <v>96</v>
      </c>
      <c r="I31" s="380">
        <v>38000</v>
      </c>
      <c r="J31" s="127">
        <f>LOOKUP(I31,101:101,102:102)-LOOKUP(C31,101:101,102:102)+100</f>
        <v>100</v>
      </c>
      <c r="K31" s="562"/>
      <c r="L31" s="2720"/>
      <c r="M31" s="2722"/>
      <c r="N31" s="2722"/>
      <c r="O31" s="2722"/>
      <c r="P31" s="3715"/>
      <c r="Q31" s="707" t="str">
        <f t="shared" si="11"/>
        <v>项目建筑规模</v>
      </c>
      <c r="R31" s="708" t="s">
        <v>14</v>
      </c>
      <c r="S31" s="709">
        <f t="shared" si="12"/>
        <v>101</v>
      </c>
      <c r="T31" s="708" t="s">
        <v>14</v>
      </c>
      <c r="U31" s="709">
        <f t="shared" si="13"/>
        <v>96</v>
      </c>
      <c r="V31" s="708" t="s">
        <v>14</v>
      </c>
      <c r="W31" s="709">
        <f t="shared" si="14"/>
        <v>100</v>
      </c>
      <c r="X31" s="710"/>
      <c r="Y31" s="3717"/>
      <c r="Z31" s="711" t="str">
        <f t="shared" si="15"/>
        <v>项目建筑规模</v>
      </c>
      <c r="AA31" s="1353">
        <f t="shared" si="3"/>
        <v>0.99009900990099009</v>
      </c>
      <c r="AB31" s="1353">
        <f t="shared" si="4"/>
        <v>1.0416666666666667</v>
      </c>
      <c r="AC31" s="1962">
        <f t="shared" si="5"/>
        <v>1</v>
      </c>
    </row>
    <row r="32" spans="1:29" ht="15">
      <c r="A32" s="423"/>
      <c r="B32" s="375" t="s">
        <v>1698</v>
      </c>
      <c r="C32" s="411" t="s">
        <v>3411</v>
      </c>
      <c r="D32" s="386">
        <v>100</v>
      </c>
      <c r="E32" s="411" t="s">
        <v>3411</v>
      </c>
      <c r="F32" s="412">
        <f>SUMIF(103:103,E32,104:104)-SUMIF(103:103,C32,104:104)+100</f>
        <v>100</v>
      </c>
      <c r="G32" s="411" t="s">
        <v>3411</v>
      </c>
      <c r="H32" s="386">
        <f>SUMIF(103:103,G32,104:104)-SUMIF(103:103,C32,104:104)+100</f>
        <v>100</v>
      </c>
      <c r="I32" s="411" t="s">
        <v>3411</v>
      </c>
      <c r="J32" s="386">
        <f>SUMIF(103:103,I32,104:104)-SUMIF(103:103,C32,104:104)+100</f>
        <v>100</v>
      </c>
      <c r="K32" s="561">
        <v>1</v>
      </c>
      <c r="L32" s="2721"/>
      <c r="M32" s="2715"/>
      <c r="N32" s="2715"/>
      <c r="O32" s="2715"/>
      <c r="P32" s="3715"/>
      <c r="Q32" s="1352" t="str">
        <f t="shared" si="11"/>
        <v>建筑结构</v>
      </c>
      <c r="R32" s="705" t="s">
        <v>14</v>
      </c>
      <c r="S32" s="706">
        <f t="shared" si="12"/>
        <v>100</v>
      </c>
      <c r="T32" s="705" t="s">
        <v>14</v>
      </c>
      <c r="U32" s="706">
        <f t="shared" si="13"/>
        <v>100</v>
      </c>
      <c r="V32" s="705" t="s">
        <v>14</v>
      </c>
      <c r="W32" s="706">
        <f t="shared" si="14"/>
        <v>100</v>
      </c>
      <c r="X32" s="1355"/>
      <c r="Y32" s="3717"/>
      <c r="Z32" s="1356" t="str">
        <f t="shared" si="15"/>
        <v>建筑结构</v>
      </c>
      <c r="AA32" s="1353">
        <f t="shared" si="3"/>
        <v>1</v>
      </c>
      <c r="AB32" s="1353">
        <f t="shared" si="4"/>
        <v>1</v>
      </c>
      <c r="AC32" s="1962">
        <f t="shared" si="5"/>
        <v>1</v>
      </c>
    </row>
    <row r="33" spans="1:29" ht="15">
      <c r="A33" s="423"/>
      <c r="B33" s="375" t="s">
        <v>1785</v>
      </c>
      <c r="C33" s="411" t="s">
        <v>3591</v>
      </c>
      <c r="D33" s="386">
        <v>100</v>
      </c>
      <c r="E33" s="411" t="s">
        <v>3591</v>
      </c>
      <c r="F33" s="412">
        <f>SUMIF(105:105,E33,106:106)-SUMIF(105:105,C33,106:106)+100</f>
        <v>100</v>
      </c>
      <c r="G33" s="411" t="s">
        <v>3591</v>
      </c>
      <c r="H33" s="386">
        <f>SUMIF(105:105,G33,106:106)-SUMIF(105:105,C33,106:106)+100</f>
        <v>100</v>
      </c>
      <c r="I33" s="411" t="s">
        <v>3591</v>
      </c>
      <c r="J33" s="386">
        <f>SUMIF(105:105,I33,106:106)-SUMIF(105:105,C33,106:106)+100</f>
        <v>100</v>
      </c>
      <c r="K33" s="561">
        <v>2</v>
      </c>
      <c r="L33" s="2721"/>
      <c r="M33" s="2715"/>
      <c r="N33" s="2715"/>
      <c r="O33" s="2715"/>
      <c r="P33" s="3715"/>
      <c r="Q33" s="1352" t="str">
        <f t="shared" si="11"/>
        <v>公共部分装修</v>
      </c>
      <c r="R33" s="705" t="s">
        <v>14</v>
      </c>
      <c r="S33" s="706">
        <f t="shared" si="12"/>
        <v>100</v>
      </c>
      <c r="T33" s="705" t="s">
        <v>14</v>
      </c>
      <c r="U33" s="706">
        <f t="shared" si="13"/>
        <v>100</v>
      </c>
      <c r="V33" s="705" t="s">
        <v>14</v>
      </c>
      <c r="W33" s="706">
        <f t="shared" si="14"/>
        <v>100</v>
      </c>
      <c r="X33" s="1355"/>
      <c r="Y33" s="3717"/>
      <c r="Z33" s="1356" t="str">
        <f t="shared" si="15"/>
        <v>公共部分装修</v>
      </c>
      <c r="AA33" s="1353">
        <f t="shared" si="3"/>
        <v>1</v>
      </c>
      <c r="AB33" s="1353">
        <f t="shared" si="4"/>
        <v>1</v>
      </c>
      <c r="AC33" s="1962">
        <f t="shared" si="5"/>
        <v>1</v>
      </c>
    </row>
    <row r="34" spans="1:29" ht="15">
      <c r="A34" s="423"/>
      <c r="B34" s="375" t="s">
        <v>1786</v>
      </c>
      <c r="C34" s="425">
        <f>'数据-取费表'!Y6</f>
        <v>0.62</v>
      </c>
      <c r="D34" s="386">
        <v>100</v>
      </c>
      <c r="E34" s="425">
        <v>0.8</v>
      </c>
      <c r="F34" s="412">
        <f>LOOKUP(E34,108:108,109:109)-LOOKUP(C34,108:108,109:109)+100</f>
        <v>110</v>
      </c>
      <c r="G34" s="425">
        <v>0.81</v>
      </c>
      <c r="H34" s="412">
        <f>LOOKUP(G34,108:108,109:109)-LOOKUP(C34,108:108,109:109)+100</f>
        <v>110</v>
      </c>
      <c r="I34" s="425">
        <v>0.8</v>
      </c>
      <c r="J34" s="386">
        <f>LOOKUP(I34,108:108,109:109)-LOOKUP(C34,108:108,109:109)+100</f>
        <v>110</v>
      </c>
      <c r="K34" s="561">
        <v>5</v>
      </c>
      <c r="L34" s="2721"/>
      <c r="M34" s="2715"/>
      <c r="N34" s="2715"/>
      <c r="O34" s="2715"/>
      <c r="P34" s="3715"/>
      <c r="Q34" s="1352" t="str">
        <f t="shared" si="11"/>
        <v>成新度</v>
      </c>
      <c r="R34" s="705" t="s">
        <v>14</v>
      </c>
      <c r="S34" s="706">
        <f t="shared" si="12"/>
        <v>110</v>
      </c>
      <c r="T34" s="705" t="s">
        <v>14</v>
      </c>
      <c r="U34" s="706">
        <f t="shared" si="13"/>
        <v>110</v>
      </c>
      <c r="V34" s="705" t="s">
        <v>14</v>
      </c>
      <c r="W34" s="706">
        <f t="shared" si="14"/>
        <v>110</v>
      </c>
      <c r="X34" s="1355"/>
      <c r="Y34" s="3717"/>
      <c r="Z34" s="1356" t="str">
        <f t="shared" si="15"/>
        <v>成新度</v>
      </c>
      <c r="AA34" s="1353">
        <f t="shared" si="3"/>
        <v>0.90909090909090906</v>
      </c>
      <c r="AB34" s="1353">
        <f t="shared" si="4"/>
        <v>0.90909090909090906</v>
      </c>
      <c r="AC34" s="1962">
        <f t="shared" si="5"/>
        <v>0.90909090909090906</v>
      </c>
    </row>
    <row r="35" spans="1:29" s="108" customFormat="1" ht="15" hidden="1">
      <c r="A35" s="424"/>
      <c r="B35" s="375" t="s">
        <v>1817</v>
      </c>
      <c r="C35" s="411"/>
      <c r="D35" s="127">
        <v>100</v>
      </c>
      <c r="E35" s="411"/>
      <c r="F35" s="412">
        <f>SUMIF(110:110,E35,111:111)-SUMIF(110:110,C35,111:111)+100</f>
        <v>100</v>
      </c>
      <c r="G35" s="411"/>
      <c r="H35" s="386">
        <f>SUMIF(110:110,G35,111:111)-SUMIF(110:110,C35,111:111)+100</f>
        <v>100</v>
      </c>
      <c r="I35" s="411"/>
      <c r="J35" s="386">
        <f>SUMIF(110:110,I35,111:111)-SUMIF(110:110,C35,111:111)+100</f>
        <v>100</v>
      </c>
      <c r="K35" s="561"/>
      <c r="L35" s="2716"/>
      <c r="M35" s="2717"/>
      <c r="N35" s="2717"/>
      <c r="O35" s="2717"/>
      <c r="P35" s="3715"/>
      <c r="Q35" s="1343" t="str">
        <f t="shared" si="11"/>
        <v>写字楼等级</v>
      </c>
      <c r="R35" s="701" t="s">
        <v>14</v>
      </c>
      <c r="S35" s="702">
        <f t="shared" si="12"/>
        <v>100</v>
      </c>
      <c r="T35" s="701" t="s">
        <v>14</v>
      </c>
      <c r="U35" s="702">
        <f t="shared" si="13"/>
        <v>100</v>
      </c>
      <c r="V35" s="701" t="s">
        <v>14</v>
      </c>
      <c r="W35" s="702">
        <f t="shared" si="14"/>
        <v>100</v>
      </c>
      <c r="X35" s="703"/>
      <c r="Y35" s="3717"/>
      <c r="Z35" s="52" t="str">
        <f t="shared" si="15"/>
        <v>写字楼等级</v>
      </c>
      <c r="AA35" s="704">
        <f t="shared" si="3"/>
        <v>1</v>
      </c>
      <c r="AB35" s="704">
        <f t="shared" si="4"/>
        <v>1</v>
      </c>
      <c r="AC35" s="1959">
        <f t="shared" si="5"/>
        <v>1</v>
      </c>
    </row>
    <row r="36" spans="1:29" ht="15" hidden="1">
      <c r="A36" s="423"/>
      <c r="B36" s="375" t="s">
        <v>1818</v>
      </c>
      <c r="C36" s="411"/>
      <c r="D36" s="386">
        <v>100</v>
      </c>
      <c r="E36" s="411"/>
      <c r="F36" s="412">
        <f>SUMIF(112:112,E36,113:113)-SUMIF(112:112,C36,113:113)+100</f>
        <v>100</v>
      </c>
      <c r="G36" s="411"/>
      <c r="H36" s="386">
        <f>SUMIF(112:112,G36,113:113)-SUMIF(112:112,C36,113:113)+100</f>
        <v>100</v>
      </c>
      <c r="I36" s="411"/>
      <c r="J36" s="386">
        <f>SUMIF(112:112,I36,113:113)-SUMIF(112:112,C36,113:113)+100</f>
        <v>100</v>
      </c>
      <c r="K36" s="561"/>
      <c r="L36" s="2721"/>
      <c r="M36" s="2715"/>
      <c r="N36" s="2715"/>
      <c r="O36" s="2715"/>
      <c r="P36" s="3715" t="s">
        <v>1696</v>
      </c>
      <c r="Q36" s="1352" t="str">
        <f t="shared" si="11"/>
        <v>物业管理</v>
      </c>
      <c r="R36" s="705" t="s">
        <v>14</v>
      </c>
      <c r="S36" s="706">
        <f t="shared" si="12"/>
        <v>100</v>
      </c>
      <c r="T36" s="705" t="s">
        <v>14</v>
      </c>
      <c r="U36" s="706">
        <f t="shared" si="13"/>
        <v>100</v>
      </c>
      <c r="V36" s="705" t="s">
        <v>14</v>
      </c>
      <c r="W36" s="706">
        <f t="shared" si="14"/>
        <v>100</v>
      </c>
      <c r="X36" s="1355"/>
      <c r="Y36" s="3717" t="s">
        <v>1696</v>
      </c>
      <c r="Z36" s="1356" t="str">
        <f t="shared" si="15"/>
        <v>物业管理</v>
      </c>
      <c r="AA36" s="1353">
        <f t="shared" si="3"/>
        <v>1</v>
      </c>
      <c r="AB36" s="1353">
        <f t="shared" si="4"/>
        <v>1</v>
      </c>
      <c r="AC36" s="1962">
        <f t="shared" si="5"/>
        <v>1</v>
      </c>
    </row>
    <row r="37" spans="1:29" ht="15">
      <c r="A37" s="423"/>
      <c r="B37" s="375" t="s">
        <v>1787</v>
      </c>
      <c r="C37" s="411" t="s">
        <v>3593</v>
      </c>
      <c r="D37" s="386">
        <v>100</v>
      </c>
      <c r="E37" s="411" t="s">
        <v>3593</v>
      </c>
      <c r="F37" s="412">
        <f>SUMIF(114:114,E37,115:115)-SUMIF(114:114,C37,115:115)+100</f>
        <v>100</v>
      </c>
      <c r="G37" s="411" t="s">
        <v>3593</v>
      </c>
      <c r="H37" s="386">
        <f>SUMIF(114:114,G37,115:115)-SUMIF(114:114,C37,115:115)+100</f>
        <v>100</v>
      </c>
      <c r="I37" s="411" t="s">
        <v>3593</v>
      </c>
      <c r="J37" s="386">
        <f>SUMIF(114:114,I37,115:115)-SUMIF(114:114,C37,115:115)+100</f>
        <v>100</v>
      </c>
      <c r="K37" s="561">
        <v>1</v>
      </c>
      <c r="L37" s="2721"/>
      <c r="M37" s="2715"/>
      <c r="N37" s="2715"/>
      <c r="O37" s="2715"/>
      <c r="P37" s="3715"/>
      <c r="Q37" s="1352" t="str">
        <f t="shared" si="11"/>
        <v>市政基础设施</v>
      </c>
      <c r="R37" s="705" t="s">
        <v>14</v>
      </c>
      <c r="S37" s="706">
        <f t="shared" si="12"/>
        <v>100</v>
      </c>
      <c r="T37" s="705" t="s">
        <v>14</v>
      </c>
      <c r="U37" s="706">
        <f t="shared" si="13"/>
        <v>100</v>
      </c>
      <c r="V37" s="705" t="s">
        <v>14</v>
      </c>
      <c r="W37" s="706">
        <f t="shared" si="14"/>
        <v>100</v>
      </c>
      <c r="X37" s="1355"/>
      <c r="Y37" s="3717"/>
      <c r="Z37" s="1356" t="str">
        <f t="shared" si="15"/>
        <v>市政基础设施</v>
      </c>
      <c r="AA37" s="1353">
        <f t="shared" si="3"/>
        <v>1</v>
      </c>
      <c r="AB37" s="1353">
        <f t="shared" si="4"/>
        <v>1</v>
      </c>
      <c r="AC37" s="1962">
        <f t="shared" si="5"/>
        <v>1</v>
      </c>
    </row>
    <row r="38" spans="1:29" ht="15" hidden="1">
      <c r="A38" s="423"/>
      <c r="B38" s="375" t="s">
        <v>1789</v>
      </c>
      <c r="C38" s="565"/>
      <c r="D38" s="386">
        <v>100</v>
      </c>
      <c r="E38" s="565"/>
      <c r="F38" s="412">
        <f>SUMIF(116:116,E38,117:117)-SUMIF(116:116,C38,117:117)+100</f>
        <v>100</v>
      </c>
      <c r="G38" s="565"/>
      <c r="H38" s="386">
        <f>SUMIF(116:116,G38,117:117)-SUMIF(116:116,C38,117:117)+100</f>
        <v>100</v>
      </c>
      <c r="I38" s="565"/>
      <c r="J38" s="386">
        <f>SUMIF(116:116,I38,117:117)-SUMIF(116:116,C38,117:117)+100</f>
        <v>100</v>
      </c>
      <c r="K38" s="561"/>
      <c r="L38" s="2721"/>
      <c r="M38" s="2715"/>
      <c r="N38" s="2715"/>
      <c r="O38" s="2715"/>
      <c r="P38" s="3715"/>
      <c r="Q38" s="1352" t="str">
        <f t="shared" si="11"/>
        <v>层高</v>
      </c>
      <c r="R38" s="705" t="s">
        <v>14</v>
      </c>
      <c r="S38" s="706">
        <f t="shared" si="12"/>
        <v>100</v>
      </c>
      <c r="T38" s="705" t="s">
        <v>14</v>
      </c>
      <c r="U38" s="706">
        <f t="shared" si="13"/>
        <v>100</v>
      </c>
      <c r="V38" s="705" t="s">
        <v>14</v>
      </c>
      <c r="W38" s="706">
        <f t="shared" si="14"/>
        <v>100</v>
      </c>
      <c r="X38" s="1355"/>
      <c r="Y38" s="3717"/>
      <c r="Z38" s="1356" t="str">
        <f t="shared" si="15"/>
        <v>层高</v>
      </c>
      <c r="AA38" s="1353">
        <f t="shared" si="3"/>
        <v>1</v>
      </c>
      <c r="AB38" s="1353">
        <f t="shared" si="4"/>
        <v>1</v>
      </c>
      <c r="AC38" s="1962">
        <f t="shared" si="5"/>
        <v>1</v>
      </c>
    </row>
    <row r="39" spans="1:29" s="422" customFormat="1" ht="15" hidden="1">
      <c r="A39" s="419"/>
      <c r="B39" s="1354" t="s">
        <v>1819</v>
      </c>
      <c r="C39" s="385"/>
      <c r="D39" s="386">
        <v>100</v>
      </c>
      <c r="E39" s="385"/>
      <c r="F39" s="412">
        <f>SUMIF(118:118,E39,119:119)-SUMIF(118:118,C39,119:119)+100</f>
        <v>100</v>
      </c>
      <c r="G39" s="385"/>
      <c r="H39" s="386">
        <f>SUMIF(118:118,G39,119:119)-SUMIF(118:118,C39,119:119)+100</f>
        <v>100</v>
      </c>
      <c r="I39" s="385"/>
      <c r="J39" s="386">
        <f>SUMIF(118:118,I39,119:119)-SUMIF(118:118,C39,119:119)+100</f>
        <v>100</v>
      </c>
      <c r="K39" s="562"/>
      <c r="L39" s="2720"/>
      <c r="M39" s="2722"/>
      <c r="N39" s="2722"/>
      <c r="O39" s="2722"/>
      <c r="P39" s="3715"/>
      <c r="Q39" s="707" t="str">
        <f t="shared" si="11"/>
        <v>单套建筑面积</v>
      </c>
      <c r="R39" s="708" t="s">
        <v>14</v>
      </c>
      <c r="S39" s="709">
        <f t="shared" si="12"/>
        <v>100</v>
      </c>
      <c r="T39" s="708" t="s">
        <v>14</v>
      </c>
      <c r="U39" s="709">
        <f t="shared" si="13"/>
        <v>100</v>
      </c>
      <c r="V39" s="708" t="s">
        <v>14</v>
      </c>
      <c r="W39" s="709">
        <f t="shared" si="14"/>
        <v>100</v>
      </c>
      <c r="X39" s="710"/>
      <c r="Y39" s="3717"/>
      <c r="Z39" s="711" t="str">
        <f t="shared" si="15"/>
        <v>单套建筑面积</v>
      </c>
      <c r="AA39" s="1353">
        <f t="shared" si="3"/>
        <v>1</v>
      </c>
      <c r="AB39" s="1353">
        <f t="shared" si="4"/>
        <v>1</v>
      </c>
      <c r="AC39" s="1962">
        <f t="shared" si="5"/>
        <v>1</v>
      </c>
    </row>
    <row r="40" spans="1:29" ht="15">
      <c r="A40" s="423"/>
      <c r="B40" s="375" t="s">
        <v>1792</v>
      </c>
      <c r="C40" s="411" t="s">
        <v>3591</v>
      </c>
      <c r="D40" s="386">
        <v>100</v>
      </c>
      <c r="E40" s="411" t="s">
        <v>3591</v>
      </c>
      <c r="F40" s="412">
        <f>SUMIF(120:120,E40,121:121)-SUMIF(120:120,C40,121:121)+100</f>
        <v>100</v>
      </c>
      <c r="G40" s="411" t="s">
        <v>3591</v>
      </c>
      <c r="H40" s="386">
        <f>SUMIF(120:120,G40,121:121)-SUMIF(120:120,C40,121:121)+100</f>
        <v>100</v>
      </c>
      <c r="I40" s="411" t="s">
        <v>3591</v>
      </c>
      <c r="J40" s="386">
        <f>SUMIF(120:120,I40,121:121)-SUMIF(120:120,C40,121:121)+100</f>
        <v>100</v>
      </c>
      <c r="K40" s="561">
        <v>2</v>
      </c>
      <c r="L40" s="2721"/>
      <c r="M40" s="2715"/>
      <c r="N40" s="2715"/>
      <c r="O40" s="2715"/>
      <c r="P40" s="3715"/>
      <c r="Q40" s="1352" t="str">
        <f t="shared" si="11"/>
        <v>内部装修</v>
      </c>
      <c r="R40" s="705" t="s">
        <v>14</v>
      </c>
      <c r="S40" s="706">
        <f t="shared" si="12"/>
        <v>100</v>
      </c>
      <c r="T40" s="705" t="s">
        <v>14</v>
      </c>
      <c r="U40" s="706">
        <f t="shared" si="13"/>
        <v>100</v>
      </c>
      <c r="V40" s="705" t="s">
        <v>14</v>
      </c>
      <c r="W40" s="706">
        <f t="shared" si="14"/>
        <v>100</v>
      </c>
      <c r="X40" s="1355"/>
      <c r="Y40" s="3717"/>
      <c r="Z40" s="1356" t="str">
        <f t="shared" si="15"/>
        <v>内部装修</v>
      </c>
      <c r="AA40" s="1353">
        <f t="shared" si="3"/>
        <v>1</v>
      </c>
      <c r="AB40" s="1353">
        <f t="shared" si="4"/>
        <v>1</v>
      </c>
      <c r="AC40" s="1962">
        <f t="shared" si="5"/>
        <v>1</v>
      </c>
    </row>
    <row r="41" spans="1:29" ht="15.75" thickBot="1">
      <c r="A41" s="423"/>
      <c r="B41" s="375" t="s">
        <v>1707</v>
      </c>
      <c r="C41" s="411" t="s">
        <v>3574</v>
      </c>
      <c r="D41" s="386">
        <v>100</v>
      </c>
      <c r="E41" s="1906" t="s">
        <v>3405</v>
      </c>
      <c r="F41" s="412">
        <f>SUMIF(122:122,E41,123:123)-SUMIF(122:122,C41,123:123)+100</f>
        <v>101</v>
      </c>
      <c r="G41" s="1906" t="s">
        <v>3405</v>
      </c>
      <c r="H41" s="386">
        <f>SUMIF(122:122,G41,123:123)-SUMIF(122:122,C41,123:123)+100</f>
        <v>101</v>
      </c>
      <c r="I41" s="1906" t="s">
        <v>3405</v>
      </c>
      <c r="J41" s="386">
        <f>SUMIF(122:122,I41,123:123)-SUMIF(122:122,C41,123:123)+100</f>
        <v>101</v>
      </c>
      <c r="K41" s="561">
        <v>1</v>
      </c>
      <c r="L41" s="2721"/>
      <c r="M41" s="2715"/>
      <c r="N41" s="2715"/>
      <c r="O41" s="2715"/>
      <c r="P41" s="3715"/>
      <c r="Q41" s="1352" t="str">
        <f t="shared" si="11"/>
        <v>内部装修维护情况</v>
      </c>
      <c r="R41" s="705" t="s">
        <v>14</v>
      </c>
      <c r="S41" s="706">
        <f t="shared" si="12"/>
        <v>101</v>
      </c>
      <c r="T41" s="705" t="s">
        <v>14</v>
      </c>
      <c r="U41" s="706">
        <f t="shared" si="13"/>
        <v>101</v>
      </c>
      <c r="V41" s="705" t="s">
        <v>14</v>
      </c>
      <c r="W41" s="706">
        <f t="shared" si="14"/>
        <v>101</v>
      </c>
      <c r="X41" s="1355"/>
      <c r="Y41" s="3717"/>
      <c r="Z41" s="1356" t="str">
        <f t="shared" si="15"/>
        <v>内部装修维护情况</v>
      </c>
      <c r="AA41" s="1353">
        <f t="shared" si="3"/>
        <v>0.99009900990099009</v>
      </c>
      <c r="AB41" s="1353">
        <f t="shared" si="4"/>
        <v>0.99009900990099009</v>
      </c>
      <c r="AC41" s="1962">
        <f t="shared" si="5"/>
        <v>0.99009900990099009</v>
      </c>
    </row>
    <row r="42" spans="1:29" s="108" customFormat="1" ht="13.5" hidden="1" customHeight="1">
      <c r="A42" s="424"/>
      <c r="B42" s="3483"/>
      <c r="C42" s="420"/>
      <c r="D42" s="127">
        <v>100</v>
      </c>
      <c r="E42" s="383"/>
      <c r="F42" s="376">
        <f>SUMIF(124:124,E42,125:125)-SUMIF(124:124,C42,125:125)+100</f>
        <v>100</v>
      </c>
      <c r="G42" s="383"/>
      <c r="H42" s="127">
        <f>SUMIF(124:124,G42,125:125)-SUMIF(124:124,C42,125:125)+100</f>
        <v>100</v>
      </c>
      <c r="I42" s="383"/>
      <c r="J42" s="127">
        <f>SUMIF(124:124,I42,125:125)-SUMIF(124:124,C42,125:125)+100</f>
        <v>100</v>
      </c>
      <c r="K42" s="562"/>
      <c r="L42" s="2716"/>
      <c r="M42" s="2717"/>
      <c r="N42" s="2717"/>
      <c r="O42" s="2717"/>
      <c r="P42" s="3715"/>
      <c r="Q42" s="1343">
        <f t="shared" si="11"/>
        <v>0</v>
      </c>
      <c r="R42" s="701" t="s">
        <v>14</v>
      </c>
      <c r="S42" s="702">
        <f t="shared" si="12"/>
        <v>100</v>
      </c>
      <c r="T42" s="701" t="s">
        <v>14</v>
      </c>
      <c r="U42" s="702">
        <f t="shared" si="13"/>
        <v>100</v>
      </c>
      <c r="V42" s="701" t="s">
        <v>14</v>
      </c>
      <c r="W42" s="702">
        <f t="shared" si="14"/>
        <v>100</v>
      </c>
      <c r="X42" s="703"/>
      <c r="Y42" s="3717"/>
      <c r="Z42" s="52">
        <f t="shared" si="15"/>
        <v>0</v>
      </c>
      <c r="AA42" s="704">
        <f t="shared" si="3"/>
        <v>1</v>
      </c>
      <c r="AB42" s="704">
        <f t="shared" si="4"/>
        <v>1</v>
      </c>
      <c r="AC42" s="1959">
        <f t="shared" si="5"/>
        <v>1</v>
      </c>
    </row>
    <row r="43" spans="1:29" ht="15.75" hidden="1" thickBot="1">
      <c r="A43" s="423"/>
      <c r="B43" s="3483"/>
      <c r="C43" s="385"/>
      <c r="D43" s="386">
        <v>100</v>
      </c>
      <c r="E43" s="383"/>
      <c r="F43" s="412">
        <f>SUMIF(126:126,E43,127:127)-SUMIF(126:126,C43,127:127)+100</f>
        <v>100</v>
      </c>
      <c r="G43" s="383"/>
      <c r="H43" s="386">
        <f>SUMIF(126:126,G43,127:127)-SUMIF(126:126,C43,127:127)+100</f>
        <v>100</v>
      </c>
      <c r="I43" s="383"/>
      <c r="J43" s="386">
        <f>SUMIF(126:126,I43,127:127)-SUMIF(126:126,C43,127:127)+100</f>
        <v>100</v>
      </c>
      <c r="K43" s="562"/>
      <c r="L43" s="2721"/>
      <c r="M43" s="2715"/>
      <c r="N43" s="2715"/>
      <c r="O43" s="2715"/>
      <c r="P43" s="3715"/>
      <c r="Q43" s="1352">
        <f t="shared" si="11"/>
        <v>0</v>
      </c>
      <c r="R43" s="705" t="s">
        <v>14</v>
      </c>
      <c r="S43" s="706">
        <f t="shared" si="12"/>
        <v>100</v>
      </c>
      <c r="T43" s="705" t="s">
        <v>14</v>
      </c>
      <c r="U43" s="706">
        <f t="shared" si="13"/>
        <v>100</v>
      </c>
      <c r="V43" s="705" t="s">
        <v>14</v>
      </c>
      <c r="W43" s="706">
        <f t="shared" si="14"/>
        <v>100</v>
      </c>
      <c r="X43" s="1355"/>
      <c r="Y43" s="3717"/>
      <c r="Z43" s="1356">
        <f t="shared" si="15"/>
        <v>0</v>
      </c>
      <c r="AA43" s="1353">
        <f t="shared" si="3"/>
        <v>1</v>
      </c>
      <c r="AB43" s="1353">
        <f t="shared" si="4"/>
        <v>1</v>
      </c>
      <c r="AC43" s="1962">
        <f t="shared" si="5"/>
        <v>1</v>
      </c>
    </row>
    <row r="44" spans="1:29" ht="15.75" hidden="1" thickBot="1">
      <c r="A44" s="429"/>
      <c r="B44" s="1895">
        <v>111</v>
      </c>
      <c r="C44" s="388"/>
      <c r="D44" s="389">
        <v>100</v>
      </c>
      <c r="E44" s="383"/>
      <c r="F44" s="390">
        <f>SUMIF(128:128,E44,129:129)-SUMIF(128:128,C44,129:129)+100</f>
        <v>100</v>
      </c>
      <c r="G44" s="383"/>
      <c r="H44" s="389">
        <f>SUMIF(128:128,G44,129:129)-SUMIF(128:128,C44,129:129)+100</f>
        <v>100</v>
      </c>
      <c r="I44" s="383"/>
      <c r="J44" s="389">
        <f>SUMIF(128:128,I44,129:129)-SUMIF(128:128,C44,129:129)+100</f>
        <v>100</v>
      </c>
      <c r="K44" s="562"/>
      <c r="L44" s="2721"/>
      <c r="M44" s="2715"/>
      <c r="N44" s="2715"/>
      <c r="O44" s="2715"/>
      <c r="P44" s="3716"/>
      <c r="Q44" s="1352">
        <f t="shared" si="11"/>
        <v>111</v>
      </c>
      <c r="R44" s="705" t="s">
        <v>14</v>
      </c>
      <c r="S44" s="706">
        <f t="shared" si="12"/>
        <v>100</v>
      </c>
      <c r="T44" s="705" t="s">
        <v>14</v>
      </c>
      <c r="U44" s="706">
        <f t="shared" si="13"/>
        <v>100</v>
      </c>
      <c r="V44" s="705" t="s">
        <v>14</v>
      </c>
      <c r="W44" s="706">
        <f t="shared" si="14"/>
        <v>100</v>
      </c>
      <c r="X44" s="1355"/>
      <c r="Y44" s="3718"/>
      <c r="Z44" s="1356">
        <f t="shared" si="15"/>
        <v>111</v>
      </c>
      <c r="AA44" s="1353">
        <f t="shared" si="3"/>
        <v>1</v>
      </c>
      <c r="AB44" s="1353">
        <f t="shared" si="4"/>
        <v>1</v>
      </c>
      <c r="AC44" s="1962">
        <f t="shared" si="5"/>
        <v>1</v>
      </c>
    </row>
    <row r="45" spans="1:29" ht="15">
      <c r="A45" s="430" t="s">
        <v>1708</v>
      </c>
      <c r="B45" s="431"/>
      <c r="C45" s="1154" t="s">
        <v>0</v>
      </c>
      <c r="D45" s="1155"/>
      <c r="E45" s="3484">
        <v>49741</v>
      </c>
      <c r="F45" s="1157"/>
      <c r="G45" s="1158">
        <v>44665</v>
      </c>
      <c r="H45" s="1159"/>
      <c r="I45" s="1156">
        <v>41447</v>
      </c>
      <c r="J45" s="436"/>
      <c r="K45" s="714"/>
      <c r="L45" s="2723"/>
      <c r="M45" s="2715"/>
      <c r="N45" s="2715"/>
      <c r="O45" s="2715"/>
      <c r="P45" s="3721" t="str">
        <f>A45</f>
        <v>成交单价（元/平方米）</v>
      </c>
      <c r="Q45" s="3710"/>
      <c r="R45" s="3711">
        <f>E45</f>
        <v>49741</v>
      </c>
      <c r="S45" s="3711"/>
      <c r="T45" s="3711">
        <f>G45</f>
        <v>44665</v>
      </c>
      <c r="U45" s="3711"/>
      <c r="V45" s="3711">
        <f>I45</f>
        <v>41447</v>
      </c>
      <c r="W45" s="3711"/>
      <c r="X45" s="397"/>
      <c r="Y45" s="712"/>
      <c r="Z45" s="397"/>
      <c r="AA45" s="397"/>
      <c r="AB45" s="397"/>
      <c r="AC45" s="578"/>
    </row>
    <row r="46" spans="1:29" ht="15.75" thickBot="1">
      <c r="A46" s="437" t="s">
        <v>1793</v>
      </c>
      <c r="B46" s="438"/>
      <c r="C46" s="1160">
        <f>R47</f>
        <v>42992</v>
      </c>
      <c r="D46" s="2316" t="s">
        <v>2137</v>
      </c>
      <c r="E46" s="1161">
        <f>R46</f>
        <v>47132</v>
      </c>
      <c r="F46" s="2317"/>
      <c r="G46" s="1160">
        <f>T46</f>
        <v>44099</v>
      </c>
      <c r="H46" s="2317"/>
      <c r="I46" s="1161">
        <f>V46</f>
        <v>37745</v>
      </c>
      <c r="J46" s="2317"/>
      <c r="K46" s="2319">
        <f>F46+H46+J46</f>
        <v>0</v>
      </c>
      <c r="L46" s="2723"/>
      <c r="M46" s="2715"/>
      <c r="N46" s="2715"/>
      <c r="O46" s="2715"/>
      <c r="P46" s="3721" t="str">
        <f>A46</f>
        <v>比较价值（元/平方米）</v>
      </c>
      <c r="Q46" s="3710"/>
      <c r="R46" s="3711">
        <f>IF(F1="售价",ROUND(PRODUCT(R45,AA7:AA44),0),ROUND(PRODUCT(R45,AA7:AA44),1))</f>
        <v>47132</v>
      </c>
      <c r="S46" s="3711"/>
      <c r="T46" s="3711">
        <f>IF(F1="售价",ROUND(PRODUCT(T45,AB7:AB44),0),ROUND(PRODUCT(T45,AB7:AB44),1))</f>
        <v>44099</v>
      </c>
      <c r="U46" s="3711"/>
      <c r="V46" s="3711">
        <f>IF(F1="售价",ROUND(PRODUCT(V45,AC7:AC44),0),ROUND(PRODUCT(V45,AC7:AC44),1))</f>
        <v>37745</v>
      </c>
      <c r="W46" s="3711"/>
      <c r="X46" s="397"/>
      <c r="Y46" s="397"/>
      <c r="Z46" s="397"/>
      <c r="AA46" s="397"/>
      <c r="AB46" s="397"/>
      <c r="AC46" s="578"/>
    </row>
    <row r="47" spans="1:29" ht="15.75" thickBot="1">
      <c r="A47" s="441" t="s">
        <v>1794</v>
      </c>
      <c r="B47" s="442"/>
      <c r="C47" s="1163">
        <f>R47</f>
        <v>42992</v>
      </c>
      <c r="D47" s="1163"/>
      <c r="E47" s="1163"/>
      <c r="F47" s="1163"/>
      <c r="G47" s="1163"/>
      <c r="H47" s="1163"/>
      <c r="I47" s="1163"/>
      <c r="J47" s="443"/>
      <c r="K47" s="715"/>
      <c r="L47" s="2723"/>
      <c r="M47" s="2715"/>
      <c r="N47" s="2715"/>
      <c r="O47" s="2715"/>
      <c r="P47" s="3753" t="str">
        <f>A47</f>
        <v>估价对象XX用房的比较价值（楼面单价，元/平方米）</v>
      </c>
      <c r="Q47" s="3754"/>
      <c r="R47" s="3755">
        <f>IF(F1="售价",ROUND(IF(D46="简单平均",AVERAGE(R46:V46),R46*F46+T46*H46+V46*J46),0),ROUND(IF(D46="简单平均",AVERAGE(R46:V46),R46*F46+T46*H46+V46*J46),1))</f>
        <v>42992</v>
      </c>
      <c r="S47" s="3755"/>
      <c r="T47" s="3755"/>
      <c r="U47" s="3755"/>
      <c r="V47" s="3755"/>
      <c r="W47" s="3755"/>
      <c r="X47" s="1946"/>
      <c r="Y47" s="1946"/>
      <c r="Z47" s="1946"/>
      <c r="AA47" s="1946"/>
      <c r="AB47" s="1946"/>
      <c r="AC47" s="1947"/>
    </row>
    <row r="48" spans="1:29">
      <c r="A48" s="2724"/>
      <c r="B48" s="2724"/>
      <c r="C48" s="2724"/>
      <c r="D48" s="2724"/>
      <c r="E48" s="2724"/>
      <c r="F48" s="2724"/>
      <c r="G48" s="2728"/>
      <c r="H48" s="2724"/>
      <c r="I48" s="2724"/>
      <c r="J48" s="2724"/>
      <c r="K48" s="2729"/>
      <c r="L48" s="2725"/>
      <c r="M48" s="2724"/>
      <c r="N48" s="2724"/>
      <c r="O48" s="2724"/>
      <c r="P48" s="2755"/>
      <c r="Q48" s="2724"/>
      <c r="R48" s="2724"/>
      <c r="S48" s="2724"/>
      <c r="T48" s="2724"/>
      <c r="U48" s="2724"/>
      <c r="V48" s="2724"/>
      <c r="W48" s="2724"/>
      <c r="X48" s="2724"/>
      <c r="Y48" s="2724"/>
      <c r="Z48" s="2724"/>
      <c r="AA48" s="2724"/>
      <c r="AB48" s="2724"/>
      <c r="AC48" s="2724"/>
    </row>
    <row r="49" spans="1:31">
      <c r="A49" s="2724"/>
      <c r="B49" s="2724"/>
      <c r="C49" s="2724"/>
      <c r="D49" s="2724"/>
      <c r="E49" s="2724"/>
      <c r="F49" s="2724"/>
      <c r="G49" s="2724"/>
      <c r="H49" s="2724"/>
      <c r="I49" s="2724"/>
      <c r="J49" s="2724"/>
      <c r="K49" s="2729"/>
      <c r="L49" s="2725"/>
      <c r="M49" s="2724"/>
      <c r="N49" s="2724"/>
      <c r="O49" s="2724"/>
      <c r="P49" s="2755"/>
      <c r="Q49" s="2724"/>
      <c r="R49" s="2724"/>
      <c r="S49" s="2724"/>
      <c r="T49" s="2724"/>
      <c r="U49" s="2724"/>
      <c r="V49" s="2724"/>
      <c r="W49" s="2724"/>
      <c r="X49" s="2724"/>
      <c r="Y49" s="2724"/>
      <c r="Z49" s="2724"/>
      <c r="AA49" s="2724"/>
      <c r="AB49" s="2724"/>
      <c r="AC49" s="2724"/>
    </row>
    <row r="50" spans="1:31" ht="13.5" customHeight="1">
      <c r="A50" s="2724"/>
      <c r="B50" s="2724"/>
      <c r="C50" s="446" t="s">
        <v>1795</v>
      </c>
      <c r="D50" s="447"/>
      <c r="E50" s="448">
        <f>IF(E45&lt;E46,E46/E45-1,E45/E46-1)</f>
        <v>5.5355172706441413E-2</v>
      </c>
      <c r="F50" s="449" t="str">
        <f>IF(OR(E50&gt;=0.3,E50&lt;=-0.3),"超过30%","")</f>
        <v/>
      </c>
      <c r="G50" s="448">
        <f>IF(G45&lt;G46,G46/G45-1,G45/G46-1)</f>
        <v>1.2834758157781456E-2</v>
      </c>
      <c r="H50" s="449" t="str">
        <f>IF(OR(G50&gt;=0.3,G50&lt;=-0.3),"超过30%","")</f>
        <v/>
      </c>
      <c r="I50" s="448">
        <f>IF(I45&lt;I46,I46/I45-1,I45/I46-1)</f>
        <v>9.8079215790170871E-2</v>
      </c>
      <c r="J50" s="449" t="str">
        <f>IF(OR(I50&gt;=0.3,I50&lt;=-0.3),"超过30%","")</f>
        <v/>
      </c>
      <c r="K50" s="2729"/>
      <c r="L50" s="2725"/>
      <c r="M50" s="2724"/>
      <c r="N50" s="2724"/>
      <c r="O50" s="2724"/>
      <c r="P50" s="2755"/>
      <c r="Q50" s="2724"/>
      <c r="R50" s="2724"/>
      <c r="S50" s="2724"/>
      <c r="T50" s="2724"/>
      <c r="U50" s="2724"/>
      <c r="V50" s="2724"/>
      <c r="W50" s="2724"/>
      <c r="X50" s="2724"/>
      <c r="Y50" s="2724"/>
      <c r="Z50" s="2724"/>
      <c r="AA50" s="2724"/>
      <c r="AB50" s="2724"/>
      <c r="AC50" s="2724"/>
    </row>
    <row r="51" spans="1:31" ht="13.5" customHeight="1">
      <c r="A51" s="2724"/>
      <c r="B51" s="2724"/>
      <c r="C51" s="446" t="s">
        <v>1796</v>
      </c>
      <c r="D51" s="450"/>
      <c r="E51" s="448">
        <f>IF(E46&lt;G46,G46/E46-1,E46/G46-1)</f>
        <v>6.8777069774824895E-2</v>
      </c>
      <c r="F51" s="449" t="str">
        <f>IF(OR(E51&gt;=0.2,E51&lt;=-0.2),"超过20%","")</f>
        <v/>
      </c>
      <c r="G51" s="448">
        <f>IF(G46&lt;I46,I46/G46-1,G46/I46-1)</f>
        <v>0.16834017750695462</v>
      </c>
      <c r="H51" s="449" t="str">
        <f>IF(OR(G51&gt;=0.2,G51&lt;=-0.2),"超过20%","")</f>
        <v/>
      </c>
      <c r="I51" s="448">
        <f>IF(I46&lt;E46,E46/I46-1,I46/E46-1)</f>
        <v>0.24869519141608154</v>
      </c>
      <c r="J51" s="449" t="str">
        <f>IF(OR(I51&gt;=0.2,I51&lt;=-0.2),"超过20%","")</f>
        <v>超过20%</v>
      </c>
      <c r="K51" s="2729"/>
      <c r="L51" s="2725"/>
      <c r="M51" s="2724"/>
      <c r="N51" s="2724"/>
      <c r="O51" s="2724"/>
      <c r="P51" s="2755"/>
      <c r="Q51" s="2724"/>
      <c r="R51" s="2724"/>
      <c r="S51" s="2724"/>
      <c r="T51" s="2724"/>
      <c r="U51" s="2724"/>
      <c r="V51" s="2724"/>
      <c r="W51" s="2724"/>
      <c r="X51" s="2724"/>
      <c r="Y51" s="2724"/>
      <c r="Z51" s="2724"/>
      <c r="AA51" s="2724"/>
      <c r="AB51" s="2724"/>
      <c r="AC51" s="2724"/>
    </row>
    <row r="52" spans="1:31" s="451" customFormat="1" ht="13.5" customHeight="1">
      <c r="A52" s="2727"/>
      <c r="B52" s="2727"/>
      <c r="C52" s="446" t="s">
        <v>1797</v>
      </c>
      <c r="D52" s="450"/>
      <c r="E52" s="448">
        <f>IF(E45&lt;G45,G45/E45-1,E45/G45-1)</f>
        <v>0.11364603156834208</v>
      </c>
      <c r="F52" s="449" t="str">
        <f>IF(OR(E52&gt;=0.3,E52&lt;=-0.3),"超过30%","")</f>
        <v/>
      </c>
      <c r="G52" s="448">
        <f>IF(G45&lt;I45,I45/G45-1,G45/I45-1)</f>
        <v>7.7641325065746614E-2</v>
      </c>
      <c r="H52" s="449" t="str">
        <f>IF(OR(G52&gt;=0.3,G52&lt;=-0.3),"超过30%","")</f>
        <v/>
      </c>
      <c r="I52" s="448">
        <f>IF(I45&lt;E45,E45/I45-1,I45/E45-1)</f>
        <v>0.20011098511351855</v>
      </c>
      <c r="J52" s="449" t="str">
        <f>IF(OR(I52&gt;=0.3,I52&lt;=-0.3),"超过30%","")</f>
        <v/>
      </c>
      <c r="K52" s="2732"/>
      <c r="L52" s="2726"/>
      <c r="M52" s="2727"/>
      <c r="N52" s="2727"/>
      <c r="O52" s="2727"/>
      <c r="P52" s="2756"/>
      <c r="Q52" s="2727"/>
      <c r="R52" s="2727"/>
      <c r="S52" s="2727"/>
      <c r="T52" s="2727"/>
      <c r="U52" s="2727"/>
      <c r="V52" s="2727"/>
      <c r="W52" s="2727"/>
      <c r="X52" s="2727"/>
      <c r="Y52" s="2727"/>
      <c r="Z52" s="2727"/>
      <c r="AA52" s="2727"/>
      <c r="AB52" s="2727"/>
      <c r="AC52" s="2727"/>
    </row>
    <row r="53" spans="1:31" s="451" customFormat="1">
      <c r="A53" s="2727"/>
      <c r="B53" s="2730"/>
      <c r="C53" s="2731"/>
      <c r="D53" s="2727"/>
      <c r="E53" s="2727"/>
      <c r="F53" s="2727"/>
      <c r="G53" s="2727"/>
      <c r="H53" s="2727"/>
      <c r="I53" s="2727"/>
      <c r="J53" s="2727"/>
      <c r="K53" s="2732"/>
      <c r="L53" s="2726"/>
      <c r="M53" s="2727"/>
      <c r="N53" s="2727"/>
      <c r="O53" s="2727"/>
      <c r="P53" s="2756"/>
      <c r="Q53" s="2727"/>
      <c r="R53" s="2727"/>
      <c r="S53" s="2727"/>
      <c r="T53" s="2727"/>
      <c r="U53" s="2727"/>
      <c r="V53" s="2727"/>
      <c r="W53" s="2727"/>
      <c r="X53" s="2727"/>
      <c r="Y53" s="2727"/>
      <c r="Z53" s="2727"/>
      <c r="AA53" s="2727"/>
      <c r="AB53" s="2727"/>
      <c r="AC53" s="2727"/>
    </row>
    <row r="54" spans="1:31">
      <c r="A54" s="2724"/>
      <c r="B54" s="2730"/>
      <c r="C54" s="2731"/>
      <c r="D54" s="2724"/>
      <c r="E54" s="2724"/>
      <c r="F54" s="2724"/>
      <c r="G54" s="2724"/>
      <c r="H54" s="2724"/>
      <c r="I54" s="2724"/>
      <c r="J54" s="2724"/>
      <c r="K54" s="2729"/>
      <c r="L54" s="2725"/>
      <c r="M54" s="2724"/>
      <c r="N54" s="2724"/>
      <c r="O54" s="2724"/>
      <c r="P54" s="2755"/>
      <c r="Q54" s="2724"/>
      <c r="R54" s="2724"/>
      <c r="S54" s="2724"/>
      <c r="T54" s="2724"/>
      <c r="U54" s="2724"/>
      <c r="V54" s="2724"/>
      <c r="W54" s="2724"/>
      <c r="X54" s="2724"/>
      <c r="Y54" s="2724"/>
      <c r="Z54" s="2724"/>
      <c r="AA54" s="2724"/>
      <c r="AB54" s="2724"/>
      <c r="AC54" s="2724"/>
    </row>
    <row r="55" spans="1:31" ht="21.75" thickBot="1">
      <c r="A55" s="694" t="s">
        <v>1798</v>
      </c>
      <c r="B55" s="690"/>
      <c r="C55" s="695"/>
      <c r="D55" s="695"/>
      <c r="E55" s="695"/>
      <c r="F55" s="696"/>
      <c r="G55" s="696"/>
      <c r="H55" s="695"/>
      <c r="I55" s="695"/>
      <c r="J55" s="695"/>
      <c r="K55" s="697"/>
      <c r="L55" s="942"/>
      <c r="M55" s="940"/>
      <c r="N55" s="2768"/>
      <c r="O55" s="2768"/>
      <c r="P55" s="2757"/>
      <c r="Q55" s="2738"/>
      <c r="R55" s="2724"/>
      <c r="S55" s="2724"/>
      <c r="T55" s="2724"/>
      <c r="U55" s="2724"/>
      <c r="V55" s="2724"/>
      <c r="W55" s="2724"/>
      <c r="X55" s="2724"/>
      <c r="Y55" s="2724"/>
      <c r="Z55" s="2724"/>
      <c r="AA55" s="2724"/>
      <c r="AB55" s="2724"/>
      <c r="AC55" s="2724"/>
    </row>
    <row r="56" spans="1:31" s="457" customFormat="1" ht="15">
      <c r="A56" s="454" t="s">
        <v>1679</v>
      </c>
      <c r="B56" s="455"/>
      <c r="C56" s="1184" t="str">
        <f>YEAR(C7)&amp;"-"&amp;MONTH(C7)</f>
        <v>2023-4</v>
      </c>
      <c r="D56" s="1185">
        <f>EDATE(C56,-1)</f>
        <v>44986</v>
      </c>
      <c r="E56" s="1185">
        <f>EDATE(D56,-1)</f>
        <v>44958</v>
      </c>
      <c r="F56" s="1185">
        <f t="shared" ref="F56:O56" si="16">EDATE(E56,-1)</f>
        <v>44927</v>
      </c>
      <c r="G56" s="1185">
        <f t="shared" si="16"/>
        <v>44896</v>
      </c>
      <c r="H56" s="1185">
        <f t="shared" si="16"/>
        <v>44866</v>
      </c>
      <c r="I56" s="1185">
        <f t="shared" si="16"/>
        <v>44835</v>
      </c>
      <c r="J56" s="1185">
        <f t="shared" si="16"/>
        <v>44805</v>
      </c>
      <c r="K56" s="1185">
        <f t="shared" si="16"/>
        <v>44774</v>
      </c>
      <c r="L56" s="1185">
        <f t="shared" si="16"/>
        <v>44743</v>
      </c>
      <c r="M56" s="1185">
        <f t="shared" si="16"/>
        <v>44713</v>
      </c>
      <c r="N56" s="1185">
        <f t="shared" si="16"/>
        <v>44682</v>
      </c>
      <c r="O56" s="1185">
        <f t="shared" si="16"/>
        <v>44652</v>
      </c>
      <c r="P56" s="1185">
        <f t="shared" ref="P56" si="17">EDATE(O56,-1)</f>
        <v>44621</v>
      </c>
      <c r="Q56" s="1185">
        <f t="shared" ref="Q56" si="18">EDATE(P56,-1)</f>
        <v>44593</v>
      </c>
      <c r="R56" s="1185">
        <f t="shared" ref="R56" si="19">EDATE(Q56,-1)</f>
        <v>44562</v>
      </c>
      <c r="S56" s="1185">
        <f t="shared" ref="S56" si="20">EDATE(R56,-1)</f>
        <v>44531</v>
      </c>
      <c r="T56" s="1185">
        <f t="shared" ref="T56" si="21">EDATE(S56,-1)</f>
        <v>44501</v>
      </c>
      <c r="U56" s="1185">
        <f t="shared" ref="U56" si="22">EDATE(T56,-1)</f>
        <v>44470</v>
      </c>
      <c r="V56" s="1185">
        <f t="shared" ref="V56" si="23">EDATE(U56,-1)</f>
        <v>44440</v>
      </c>
      <c r="W56" s="1185">
        <f t="shared" ref="W56" si="24">EDATE(V56,-1)</f>
        <v>44409</v>
      </c>
      <c r="X56" s="1185">
        <f t="shared" ref="X56" si="25">EDATE(W56,-1)</f>
        <v>44378</v>
      </c>
      <c r="Y56" s="1185">
        <f t="shared" ref="Y56" si="26">EDATE(X56,-1)</f>
        <v>44348</v>
      </c>
      <c r="Z56" s="1185">
        <f t="shared" ref="Z56" si="27">EDATE(Y56,-1)</f>
        <v>44317</v>
      </c>
      <c r="AA56" s="1185">
        <f t="shared" ref="AA56" si="28">EDATE(Z56,-1)</f>
        <v>44287</v>
      </c>
      <c r="AB56" s="1185">
        <f t="shared" ref="AB56" si="29">EDATE(AA56,-1)</f>
        <v>44256</v>
      </c>
      <c r="AC56" s="1185">
        <f t="shared" ref="AC56" si="30">EDATE(AB56,-1)</f>
        <v>44228</v>
      </c>
      <c r="AD56" s="1185">
        <f t="shared" ref="AD56" si="31">EDATE(AC56,-1)</f>
        <v>44197</v>
      </c>
      <c r="AE56" s="1185">
        <f t="shared" ref="AE56" si="32">EDATE(AD56,-1)</f>
        <v>44166</v>
      </c>
    </row>
    <row r="57" spans="1:31" s="108" customFormat="1" ht="15">
      <c r="A57" s="458"/>
      <c r="B57" s="459"/>
      <c r="C57" s="1183">
        <v>100</v>
      </c>
      <c r="D57" s="461">
        <v>100</v>
      </c>
      <c r="E57" s="461">
        <v>100</v>
      </c>
      <c r="F57" s="461">
        <v>100</v>
      </c>
      <c r="G57" s="461">
        <v>100</v>
      </c>
      <c r="H57" s="461">
        <v>100</v>
      </c>
      <c r="I57" s="461">
        <v>100</v>
      </c>
      <c r="J57" s="461">
        <v>100</v>
      </c>
      <c r="K57" s="461">
        <v>100</v>
      </c>
      <c r="L57" s="461">
        <v>100</v>
      </c>
      <c r="M57" s="462">
        <v>100</v>
      </c>
      <c r="N57" s="461">
        <v>100</v>
      </c>
      <c r="O57" s="462">
        <v>100</v>
      </c>
      <c r="P57" s="462">
        <v>100</v>
      </c>
      <c r="Q57" s="2660">
        <v>100</v>
      </c>
      <c r="R57" s="2660">
        <v>100</v>
      </c>
      <c r="S57" s="2660">
        <v>100</v>
      </c>
      <c r="T57" s="2660">
        <v>100</v>
      </c>
      <c r="U57" s="2660">
        <v>100</v>
      </c>
      <c r="V57" s="2660">
        <v>100</v>
      </c>
      <c r="W57" s="2660">
        <v>100</v>
      </c>
      <c r="X57" s="2660">
        <v>100</v>
      </c>
      <c r="Y57" s="2660">
        <v>100</v>
      </c>
      <c r="Z57" s="2660">
        <v>100</v>
      </c>
      <c r="AA57" s="2660">
        <v>100</v>
      </c>
      <c r="AB57" s="2660">
        <v>100</v>
      </c>
      <c r="AC57" s="2660">
        <v>100</v>
      </c>
      <c r="AD57" s="108">
        <v>100</v>
      </c>
      <c r="AE57" s="108">
        <v>100</v>
      </c>
    </row>
    <row r="58" spans="1:31" s="108" customFormat="1" ht="15.75" thickBot="1">
      <c r="A58" s="464" t="s">
        <v>1716</v>
      </c>
      <c r="B58" s="465"/>
      <c r="C58" s="466"/>
      <c r="D58" s="467"/>
      <c r="E58" s="467"/>
      <c r="F58" s="467"/>
      <c r="G58" s="467"/>
      <c r="H58" s="467"/>
      <c r="I58" s="467"/>
      <c r="J58" s="467"/>
      <c r="K58" s="467"/>
      <c r="L58" s="467"/>
      <c r="M58" s="468"/>
      <c r="N58" s="467"/>
      <c r="O58" s="468"/>
      <c r="P58" s="2759"/>
      <c r="Q58" s="2738"/>
      <c r="R58" s="2660"/>
      <c r="S58" s="2660"/>
      <c r="T58" s="2660"/>
      <c r="U58" s="2660"/>
      <c r="V58" s="2660"/>
      <c r="W58" s="2660"/>
      <c r="X58" s="2660"/>
      <c r="Y58" s="2660"/>
      <c r="Z58" s="2660"/>
      <c r="AA58" s="2660"/>
      <c r="AB58" s="2660"/>
      <c r="AC58" s="2660"/>
    </row>
    <row r="59" spans="1:31" s="108" customFormat="1" ht="15">
      <c r="A59" s="470" t="s">
        <v>1681</v>
      </c>
      <c r="B59" s="459"/>
      <c r="C59" s="471" t="s">
        <v>1776</v>
      </c>
      <c r="D59" s="472"/>
      <c r="E59" s="472"/>
      <c r="F59" s="472"/>
      <c r="G59" s="472"/>
      <c r="H59" s="472"/>
      <c r="I59" s="472"/>
      <c r="J59" s="472"/>
      <c r="K59" s="472"/>
      <c r="L59" s="473"/>
      <c r="M59" s="474"/>
      <c r="N59" s="2751"/>
      <c r="O59" s="2751"/>
      <c r="P59" s="2760"/>
      <c r="Q59" s="2738"/>
      <c r="R59" s="2660"/>
      <c r="S59" s="2660"/>
      <c r="T59" s="2660"/>
      <c r="U59" s="2660"/>
      <c r="V59" s="2660"/>
      <c r="W59" s="2660"/>
      <c r="X59" s="2660"/>
      <c r="Y59" s="2660"/>
      <c r="Z59" s="2660"/>
      <c r="AA59" s="2660"/>
      <c r="AB59" s="2660"/>
      <c r="AC59" s="2660"/>
    </row>
    <row r="60" spans="1:31" s="108" customFormat="1" ht="15.75" thickBot="1">
      <c r="A60" s="470"/>
      <c r="B60" s="459"/>
      <c r="C60" s="460">
        <v>100</v>
      </c>
      <c r="D60" s="461"/>
      <c r="E60" s="461"/>
      <c r="F60" s="461"/>
      <c r="G60" s="461"/>
      <c r="H60" s="461"/>
      <c r="I60" s="461"/>
      <c r="J60" s="461"/>
      <c r="K60" s="461"/>
      <c r="L60" s="461"/>
      <c r="M60" s="463"/>
      <c r="N60" s="2751"/>
      <c r="O60" s="2751"/>
      <c r="P60" s="2759"/>
      <c r="Q60" s="2738"/>
      <c r="R60" s="2660"/>
      <c r="S60" s="2660"/>
      <c r="T60" s="2660"/>
      <c r="U60" s="2660"/>
      <c r="V60" s="2660"/>
      <c r="W60" s="2660"/>
      <c r="X60" s="2660"/>
      <c r="Y60" s="2660"/>
      <c r="Z60" s="2660"/>
      <c r="AA60" s="2660"/>
      <c r="AB60" s="2660"/>
      <c r="AC60" s="2660"/>
    </row>
    <row r="61" spans="1:31">
      <c r="A61" s="476" t="s">
        <v>1719</v>
      </c>
      <c r="B61" s="477" t="s">
        <v>1685</v>
      </c>
      <c r="C61" s="478" t="str">
        <f>C9</f>
        <v>商业</v>
      </c>
      <c r="D61" s="3485" t="s">
        <v>3570</v>
      </c>
      <c r="E61" s="3485" t="s">
        <v>3571</v>
      </c>
      <c r="F61" s="3485"/>
      <c r="G61" s="479"/>
      <c r="H61" s="479"/>
      <c r="I61" s="479"/>
      <c r="J61" s="479"/>
      <c r="K61" s="480"/>
      <c r="L61" s="481"/>
      <c r="M61" s="482"/>
      <c r="N61" s="2752"/>
      <c r="O61" s="2752"/>
      <c r="P61" s="2761"/>
      <c r="Q61" s="2738"/>
      <c r="R61" s="2724"/>
      <c r="S61" s="2724"/>
      <c r="T61" s="2724"/>
      <c r="U61" s="2724"/>
      <c r="V61" s="2724"/>
      <c r="W61" s="2724"/>
      <c r="X61" s="2724"/>
      <c r="Y61" s="2724"/>
      <c r="Z61" s="2724"/>
      <c r="AA61" s="2724"/>
      <c r="AB61" s="2724"/>
      <c r="AC61" s="2724"/>
    </row>
    <row r="62" spans="1:31" ht="15.75" thickBot="1">
      <c r="A62" s="483"/>
      <c r="B62" s="484"/>
      <c r="C62" s="485">
        <v>100</v>
      </c>
      <c r="D62" s="485">
        <v>104</v>
      </c>
      <c r="E62" s="485">
        <v>102</v>
      </c>
      <c r="F62" s="485"/>
      <c r="G62" s="485"/>
      <c r="H62" s="485"/>
      <c r="I62" s="485"/>
      <c r="J62" s="485"/>
      <c r="K62" s="485"/>
      <c r="L62" s="485"/>
      <c r="M62" s="486"/>
      <c r="N62" s="2753"/>
      <c r="O62" s="2753"/>
      <c r="P62" s="2761"/>
      <c r="Q62" s="2738"/>
      <c r="R62" s="2724"/>
      <c r="S62" s="2724"/>
      <c r="T62" s="2724"/>
      <c r="U62" s="2724"/>
      <c r="V62" s="2724"/>
      <c r="W62" s="2724"/>
      <c r="X62" s="2724"/>
      <c r="Y62" s="2724"/>
      <c r="Z62" s="2724"/>
      <c r="AA62" s="2724"/>
      <c r="AB62" s="2724"/>
      <c r="AC62" s="2724"/>
    </row>
    <row r="63" spans="1:31" ht="27.75" thickTop="1">
      <c r="A63" s="483"/>
      <c r="B63" s="487" t="s">
        <v>1688</v>
      </c>
      <c r="C63" s="532"/>
      <c r="D63" s="532"/>
      <c r="E63" s="532"/>
      <c r="F63" s="532"/>
      <c r="G63" s="532"/>
      <c r="H63" s="532"/>
      <c r="I63" s="532"/>
      <c r="J63" s="532"/>
      <c r="K63" s="533"/>
      <c r="L63" s="534"/>
      <c r="M63" s="535"/>
      <c r="N63" s="2752"/>
      <c r="O63" s="2752"/>
      <c r="P63" s="2761"/>
      <c r="Q63" s="2738"/>
      <c r="R63" s="2724"/>
      <c r="S63" s="2724"/>
      <c r="T63" s="2724"/>
      <c r="U63" s="2724"/>
      <c r="V63" s="2724"/>
      <c r="W63" s="2724"/>
      <c r="X63" s="2724"/>
      <c r="Y63" s="2724"/>
      <c r="Z63" s="2724"/>
      <c r="AA63" s="2724"/>
      <c r="AB63" s="2724"/>
      <c r="AC63" s="2724"/>
    </row>
    <row r="64" spans="1:31" ht="15.75" thickBot="1">
      <c r="A64" s="483"/>
      <c r="B64" s="492"/>
      <c r="C64" s="485"/>
      <c r="D64" s="485"/>
      <c r="E64" s="485"/>
      <c r="F64" s="485"/>
      <c r="G64" s="485"/>
      <c r="H64" s="485"/>
      <c r="I64" s="485"/>
      <c r="J64" s="485"/>
      <c r="K64" s="485"/>
      <c r="L64" s="485"/>
      <c r="M64" s="486"/>
      <c r="N64" s="2753"/>
      <c r="O64" s="2753"/>
      <c r="P64" s="2761"/>
      <c r="Q64" s="2738"/>
      <c r="R64" s="2724"/>
      <c r="S64" s="2724"/>
      <c r="T64" s="2724"/>
      <c r="U64" s="2724"/>
      <c r="V64" s="2724"/>
      <c r="W64" s="2724"/>
      <c r="X64" s="2724"/>
      <c r="Y64" s="2724"/>
      <c r="Z64" s="2724"/>
      <c r="AA64" s="2724"/>
      <c r="AB64" s="2724"/>
      <c r="AC64" s="2724"/>
    </row>
    <row r="65" spans="1:29" ht="15.75" thickTop="1">
      <c r="A65" s="483"/>
      <c r="B65" s="495" t="s">
        <v>1689</v>
      </c>
      <c r="C65" s="496" t="str">
        <f>C66&amp;"（含）"&amp;"-"&amp;D66</f>
        <v>0（含）-3</v>
      </c>
      <c r="D65" s="496" t="str">
        <f t="shared" ref="D65:L65" si="33">D66&amp;"（含）"&amp;"-"&amp;E66</f>
        <v>3（含）-</v>
      </c>
      <c r="E65" s="496" t="str">
        <f t="shared" si="33"/>
        <v>（含）-</v>
      </c>
      <c r="F65" s="496" t="str">
        <f t="shared" si="33"/>
        <v>（含）-</v>
      </c>
      <c r="G65" s="496" t="str">
        <f t="shared" si="33"/>
        <v>（含）-</v>
      </c>
      <c r="H65" s="496" t="str">
        <f t="shared" si="33"/>
        <v>（含）-</v>
      </c>
      <c r="I65" s="496" t="str">
        <f t="shared" si="33"/>
        <v>（含）-</v>
      </c>
      <c r="J65" s="496" t="str">
        <f t="shared" si="33"/>
        <v>（含）-</v>
      </c>
      <c r="K65" s="496" t="str">
        <f t="shared" si="33"/>
        <v>（含）-</v>
      </c>
      <c r="L65" s="496" t="str">
        <f t="shared" si="33"/>
        <v>（含）-</v>
      </c>
      <c r="M65" s="399" t="str">
        <f>M66&amp;"（含）"&amp;"-"&amp;P66</f>
        <v>（含）-</v>
      </c>
      <c r="N65" s="2753"/>
      <c r="O65" s="2753"/>
      <c r="P65" s="2761"/>
      <c r="Q65" s="2738"/>
      <c r="R65" s="2724"/>
      <c r="S65" s="2724"/>
      <c r="T65" s="2724"/>
      <c r="U65" s="2724"/>
      <c r="V65" s="2724"/>
      <c r="W65" s="2724"/>
      <c r="X65" s="2724"/>
      <c r="Y65" s="2724"/>
      <c r="Z65" s="2724"/>
      <c r="AA65" s="2724"/>
      <c r="AB65" s="2724"/>
      <c r="AC65" s="2724"/>
    </row>
    <row r="66" spans="1:29" ht="15">
      <c r="A66" s="483"/>
      <c r="B66" s="497"/>
      <c r="C66" s="498">
        <v>0</v>
      </c>
      <c r="D66" s="498">
        <v>3</v>
      </c>
      <c r="E66" s="498"/>
      <c r="F66" s="498"/>
      <c r="G66" s="498"/>
      <c r="H66" s="498"/>
      <c r="I66" s="498"/>
      <c r="J66" s="498"/>
      <c r="K66" s="499"/>
      <c r="L66" s="500"/>
      <c r="M66" s="501"/>
      <c r="N66" s="2752"/>
      <c r="O66" s="2752"/>
      <c r="P66" s="2761"/>
      <c r="Q66" s="2738"/>
      <c r="R66" s="2724"/>
      <c r="S66" s="2724"/>
      <c r="T66" s="2724"/>
      <c r="U66" s="2724"/>
      <c r="V66" s="2724"/>
      <c r="W66" s="2724"/>
      <c r="X66" s="2724"/>
      <c r="Y66" s="2724"/>
      <c r="Z66" s="2724"/>
      <c r="AA66" s="2724"/>
      <c r="AB66" s="2724"/>
      <c r="AC66" s="2724"/>
    </row>
    <row r="67" spans="1:29" ht="15.75" thickBot="1">
      <c r="A67" s="483"/>
      <c r="B67" s="484"/>
      <c r="C67" s="493">
        <v>100</v>
      </c>
      <c r="D67" s="493">
        <f t="shared" ref="D67:M67" si="34">C67-$K11</f>
        <v>100</v>
      </c>
      <c r="E67" s="493">
        <f t="shared" si="34"/>
        <v>100</v>
      </c>
      <c r="F67" s="493">
        <f t="shared" si="34"/>
        <v>100</v>
      </c>
      <c r="G67" s="493">
        <f t="shared" si="34"/>
        <v>100</v>
      </c>
      <c r="H67" s="493">
        <f t="shared" si="34"/>
        <v>100</v>
      </c>
      <c r="I67" s="493">
        <f t="shared" si="34"/>
        <v>100</v>
      </c>
      <c r="J67" s="493">
        <f t="shared" si="34"/>
        <v>100</v>
      </c>
      <c r="K67" s="493">
        <f t="shared" si="34"/>
        <v>100</v>
      </c>
      <c r="L67" s="493">
        <f t="shared" si="34"/>
        <v>100</v>
      </c>
      <c r="M67" s="494">
        <f t="shared" si="34"/>
        <v>100</v>
      </c>
      <c r="N67" s="2753"/>
      <c r="O67" s="2753"/>
      <c r="P67" s="2761"/>
      <c r="Q67" s="2738"/>
      <c r="R67" s="2724"/>
      <c r="S67" s="2724"/>
      <c r="T67" s="2724"/>
      <c r="U67" s="2724"/>
      <c r="V67" s="2724"/>
      <c r="W67" s="2724"/>
      <c r="X67" s="2724"/>
      <c r="Y67" s="2724"/>
      <c r="Z67" s="2724"/>
      <c r="AA67" s="2724"/>
      <c r="AB67" s="2724"/>
      <c r="AC67" s="2724"/>
    </row>
    <row r="68" spans="1:29" s="422" customFormat="1" ht="15.75" thickTop="1">
      <c r="A68" s="502"/>
      <c r="B68" s="487" t="str">
        <f>B12</f>
        <v>地下占比</v>
      </c>
      <c r="C68" s="3487">
        <f>'数据-汇总表'!G19/'数据-汇总表'!E3</f>
        <v>0.10729708536275583</v>
      </c>
      <c r="D68" s="3487">
        <v>0.23499999999999999</v>
      </c>
      <c r="E68" s="3487">
        <v>0.247</v>
      </c>
      <c r="F68" s="3488">
        <v>0.30299999999999999</v>
      </c>
      <c r="G68" s="503"/>
      <c r="H68" s="504"/>
      <c r="I68" s="504"/>
      <c r="J68" s="504"/>
      <c r="K68" s="504"/>
      <c r="L68" s="505"/>
      <c r="M68" s="506"/>
      <c r="N68" s="2754"/>
      <c r="O68" s="2754"/>
      <c r="P68" s="2762"/>
      <c r="Q68" s="2745"/>
      <c r="R68" s="2746"/>
      <c r="S68" s="2746"/>
      <c r="T68" s="2746"/>
      <c r="U68" s="2746"/>
      <c r="V68" s="2746"/>
      <c r="W68" s="2746"/>
      <c r="X68" s="2746"/>
      <c r="Y68" s="2746"/>
      <c r="Z68" s="2746"/>
      <c r="AA68" s="2746"/>
      <c r="AB68" s="2746"/>
      <c r="AC68" s="2746"/>
    </row>
    <row r="69" spans="1:29" s="422" customFormat="1" ht="15.75" thickBot="1">
      <c r="A69" s="502"/>
      <c r="B69" s="492"/>
      <c r="C69" s="509">
        <v>100</v>
      </c>
      <c r="D69" s="485">
        <v>95</v>
      </c>
      <c r="E69" s="485">
        <v>95</v>
      </c>
      <c r="F69" s="485">
        <v>95</v>
      </c>
      <c r="G69" s="485"/>
      <c r="H69" s="485"/>
      <c r="I69" s="485"/>
      <c r="J69" s="485"/>
      <c r="K69" s="485"/>
      <c r="L69" s="485"/>
      <c r="M69" s="486"/>
      <c r="N69" s="2753"/>
      <c r="O69" s="2753"/>
      <c r="P69" s="2762"/>
      <c r="Q69" s="2745"/>
      <c r="R69" s="2746"/>
      <c r="S69" s="2746"/>
      <c r="T69" s="2746"/>
      <c r="U69" s="2746"/>
      <c r="V69" s="2746"/>
      <c r="W69" s="2746"/>
      <c r="X69" s="2746"/>
      <c r="Y69" s="2746"/>
      <c r="Z69" s="2746"/>
      <c r="AA69" s="2746"/>
      <c r="AB69" s="2746"/>
      <c r="AC69" s="2746"/>
    </row>
    <row r="70" spans="1:29" s="422" customFormat="1" ht="15.75" thickTop="1">
      <c r="A70" s="502"/>
      <c r="B70" s="487">
        <f>B13</f>
        <v>0</v>
      </c>
      <c r="C70" s="503"/>
      <c r="D70" s="503"/>
      <c r="E70" s="503"/>
      <c r="F70" s="503"/>
      <c r="G70" s="503"/>
      <c r="H70" s="504"/>
      <c r="I70" s="504"/>
      <c r="J70" s="504"/>
      <c r="K70" s="504"/>
      <c r="L70" s="505"/>
      <c r="M70" s="506"/>
      <c r="N70" s="2754"/>
      <c r="O70" s="2754"/>
      <c r="P70" s="2763"/>
      <c r="Q70" s="2748"/>
      <c r="R70" s="2746"/>
      <c r="S70" s="2746"/>
      <c r="T70" s="2746"/>
      <c r="U70" s="2746"/>
      <c r="V70" s="2746"/>
      <c r="W70" s="2746"/>
      <c r="X70" s="2746"/>
      <c r="Y70" s="2746"/>
      <c r="Z70" s="2746"/>
      <c r="AA70" s="2746"/>
      <c r="AB70" s="2746"/>
      <c r="AC70" s="2746"/>
    </row>
    <row r="71" spans="1:29" s="422" customFormat="1" ht="15.75" thickBot="1">
      <c r="A71" s="502"/>
      <c r="B71" s="492"/>
      <c r="C71" s="509"/>
      <c r="D71" s="509"/>
      <c r="E71" s="509"/>
      <c r="F71" s="509"/>
      <c r="G71" s="509"/>
      <c r="H71" s="511"/>
      <c r="I71" s="511"/>
      <c r="J71" s="511"/>
      <c r="K71" s="511"/>
      <c r="L71" s="511"/>
      <c r="M71" s="512"/>
      <c r="N71" s="2754"/>
      <c r="O71" s="2754"/>
      <c r="P71" s="2762"/>
      <c r="Q71" s="2745"/>
      <c r="R71" s="2746"/>
      <c r="S71" s="2746"/>
      <c r="T71" s="2746"/>
      <c r="U71" s="2746"/>
      <c r="V71" s="2746"/>
      <c r="W71" s="2746"/>
      <c r="X71" s="2746"/>
      <c r="Y71" s="2746"/>
      <c r="Z71" s="2746"/>
      <c r="AA71" s="2746"/>
      <c r="AB71" s="2746"/>
      <c r="AC71" s="2746"/>
    </row>
    <row r="72" spans="1:29" s="422" customFormat="1" ht="15.75" thickTop="1">
      <c r="A72" s="502"/>
      <c r="B72" s="495">
        <f>B14</f>
        <v>0</v>
      </c>
      <c r="C72" s="472"/>
      <c r="D72" s="472"/>
      <c r="E72" s="472"/>
      <c r="F72" s="472"/>
      <c r="G72" s="472"/>
      <c r="H72" s="513"/>
      <c r="I72" s="513"/>
      <c r="J72" s="513"/>
      <c r="K72" s="513"/>
      <c r="L72" s="514"/>
      <c r="M72" s="515"/>
      <c r="N72" s="2754"/>
      <c r="O72" s="2754"/>
      <c r="P72" s="2764"/>
      <c r="Q72" s="2745"/>
      <c r="R72" s="2746"/>
      <c r="S72" s="2746"/>
      <c r="T72" s="2746"/>
      <c r="U72" s="2746"/>
      <c r="V72" s="2746"/>
      <c r="W72" s="2746"/>
      <c r="X72" s="2746"/>
      <c r="Y72" s="2746"/>
      <c r="Z72" s="2746"/>
      <c r="AA72" s="2746"/>
      <c r="AB72" s="2746"/>
      <c r="AC72" s="2746"/>
    </row>
    <row r="73" spans="1:29" s="422" customFormat="1" ht="15.75" thickBot="1">
      <c r="A73" s="517"/>
      <c r="B73" s="518"/>
      <c r="C73" s="519"/>
      <c r="D73" s="519"/>
      <c r="E73" s="519"/>
      <c r="F73" s="519"/>
      <c r="G73" s="519"/>
      <c r="H73" s="520"/>
      <c r="I73" s="520"/>
      <c r="J73" s="520"/>
      <c r="K73" s="520"/>
      <c r="L73" s="520"/>
      <c r="M73" s="521"/>
      <c r="N73" s="2754"/>
      <c r="O73" s="2754"/>
      <c r="P73" s="2762"/>
      <c r="Q73" s="2745"/>
      <c r="R73" s="2746"/>
      <c r="S73" s="2746"/>
      <c r="T73" s="2746"/>
      <c r="U73" s="2746"/>
      <c r="V73" s="2746"/>
      <c r="W73" s="2746"/>
      <c r="X73" s="2746"/>
      <c r="Y73" s="2746"/>
      <c r="Z73" s="2746"/>
      <c r="AA73" s="2746"/>
      <c r="AB73" s="2746"/>
      <c r="AC73" s="2746"/>
    </row>
    <row r="74" spans="1:29">
      <c r="A74" s="476" t="s">
        <v>1690</v>
      </c>
      <c r="B74" s="477" t="s">
        <v>1820</v>
      </c>
      <c r="C74" s="522" t="s">
        <v>1721</v>
      </c>
      <c r="D74" s="522" t="s">
        <v>1722</v>
      </c>
      <c r="E74" s="522" t="s">
        <v>1723</v>
      </c>
      <c r="F74" s="522" t="s">
        <v>1724</v>
      </c>
      <c r="G74" s="522" t="s">
        <v>1725</v>
      </c>
      <c r="H74" s="478"/>
      <c r="I74" s="478"/>
      <c r="J74" s="478"/>
      <c r="K74" s="523"/>
      <c r="L74" s="524"/>
      <c r="M74" s="525"/>
      <c r="N74" s="2752"/>
      <c r="O74" s="2752"/>
      <c r="P74" s="2765"/>
      <c r="Q74" s="2738"/>
      <c r="R74" s="2724"/>
      <c r="S74" s="2724"/>
      <c r="T74" s="2724"/>
      <c r="U74" s="2724"/>
      <c r="V74" s="2724"/>
      <c r="W74" s="2724"/>
      <c r="X74" s="2724"/>
      <c r="Y74" s="2724"/>
      <c r="Z74" s="2724"/>
      <c r="AA74" s="2724"/>
      <c r="AB74" s="2724"/>
      <c r="AC74" s="2724"/>
    </row>
    <row r="75" spans="1:29" ht="15.75" thickBot="1">
      <c r="A75" s="483"/>
      <c r="B75" s="492"/>
      <c r="C75" s="493">
        <v>100</v>
      </c>
      <c r="D75" s="493">
        <f>C75-$K15</f>
        <v>97</v>
      </c>
      <c r="E75" s="493">
        <f>D75-$K15</f>
        <v>94</v>
      </c>
      <c r="F75" s="493">
        <f>E75-$K15</f>
        <v>91</v>
      </c>
      <c r="G75" s="493">
        <f>F75-$K15</f>
        <v>88</v>
      </c>
      <c r="H75" s="493"/>
      <c r="I75" s="493"/>
      <c r="J75" s="493"/>
      <c r="K75" s="493"/>
      <c r="L75" s="493"/>
      <c r="M75" s="494"/>
      <c r="N75" s="2753"/>
      <c r="O75" s="2753"/>
      <c r="P75" s="2761"/>
      <c r="Q75" s="2738"/>
      <c r="R75" s="2724"/>
      <c r="S75" s="2724"/>
      <c r="T75" s="2724"/>
      <c r="U75" s="2724"/>
      <c r="V75" s="2724"/>
      <c r="W75" s="2724"/>
      <c r="X75" s="2724"/>
      <c r="Y75" s="2724"/>
      <c r="Z75" s="2724"/>
      <c r="AA75" s="2724"/>
      <c r="AB75" s="2724"/>
      <c r="AC75" s="2724"/>
    </row>
    <row r="76" spans="1:29" ht="15.75" thickTop="1">
      <c r="A76" s="483"/>
      <c r="B76" s="487" t="s">
        <v>1726</v>
      </c>
      <c r="C76" s="527" t="s">
        <v>1721</v>
      </c>
      <c r="D76" s="527" t="s">
        <v>1722</v>
      </c>
      <c r="E76" s="527" t="s">
        <v>1723</v>
      </c>
      <c r="F76" s="527" t="s">
        <v>1724</v>
      </c>
      <c r="G76" s="527" t="s">
        <v>1725</v>
      </c>
      <c r="H76" s="488"/>
      <c r="I76" s="488"/>
      <c r="J76" s="488"/>
      <c r="K76" s="489"/>
      <c r="L76" s="490"/>
      <c r="M76" s="491"/>
      <c r="N76" s="2752"/>
      <c r="O76" s="2752"/>
      <c r="P76" s="2761"/>
      <c r="Q76" s="2738"/>
      <c r="R76" s="2724"/>
      <c r="S76" s="2724"/>
      <c r="T76" s="2724"/>
      <c r="U76" s="2724"/>
      <c r="V76" s="2724"/>
      <c r="W76" s="2724"/>
      <c r="X76" s="2724"/>
      <c r="Y76" s="2724"/>
      <c r="Z76" s="2724"/>
      <c r="AA76" s="2724"/>
      <c r="AB76" s="2724"/>
      <c r="AC76" s="2724"/>
    </row>
    <row r="77" spans="1:29" ht="15.75" thickBot="1">
      <c r="A77" s="483"/>
      <c r="B77" s="492"/>
      <c r="C77" s="493">
        <v>100</v>
      </c>
      <c r="D77" s="493">
        <f>C77-$K17</f>
        <v>97</v>
      </c>
      <c r="E77" s="493">
        <f>D77-$K17</f>
        <v>94</v>
      </c>
      <c r="F77" s="493">
        <f>E77-$K17</f>
        <v>91</v>
      </c>
      <c r="G77" s="493">
        <f>F77-$K17</f>
        <v>88</v>
      </c>
      <c r="H77" s="493"/>
      <c r="I77" s="493"/>
      <c r="J77" s="493"/>
      <c r="K77" s="493"/>
      <c r="L77" s="493"/>
      <c r="M77" s="494"/>
      <c r="N77" s="2753"/>
      <c r="O77" s="2753"/>
      <c r="P77" s="2761"/>
      <c r="Q77" s="2738"/>
      <c r="R77" s="2724"/>
      <c r="S77" s="2724"/>
      <c r="T77" s="2724"/>
      <c r="U77" s="2724"/>
      <c r="V77" s="2724"/>
      <c r="W77" s="2724"/>
      <c r="X77" s="2724"/>
      <c r="Y77" s="2724"/>
      <c r="Z77" s="2724"/>
      <c r="AA77" s="2724"/>
      <c r="AB77" s="2724"/>
      <c r="AC77" s="2724"/>
    </row>
    <row r="78" spans="1:29" ht="15.75" thickTop="1">
      <c r="A78" s="483"/>
      <c r="B78" s="487" t="s">
        <v>1727</v>
      </c>
      <c r="C78" s="527" t="s">
        <v>1721</v>
      </c>
      <c r="D78" s="527" t="s">
        <v>1722</v>
      </c>
      <c r="E78" s="527" t="s">
        <v>1723</v>
      </c>
      <c r="F78" s="527" t="s">
        <v>1724</v>
      </c>
      <c r="G78" s="527" t="s">
        <v>1725</v>
      </c>
      <c r="H78" s="488"/>
      <c r="I78" s="488"/>
      <c r="J78" s="488"/>
      <c r="K78" s="489"/>
      <c r="L78" s="490"/>
      <c r="M78" s="491"/>
      <c r="N78" s="2752"/>
      <c r="O78" s="2752"/>
      <c r="P78" s="2761"/>
      <c r="Q78" s="2738"/>
      <c r="R78" s="2724"/>
      <c r="S78" s="2724"/>
      <c r="T78" s="2724"/>
      <c r="U78" s="2724"/>
      <c r="V78" s="2724"/>
      <c r="W78" s="2724"/>
      <c r="X78" s="2724"/>
      <c r="Y78" s="2724"/>
      <c r="Z78" s="2724"/>
      <c r="AA78" s="2724"/>
      <c r="AB78" s="2724"/>
      <c r="AC78" s="2724"/>
    </row>
    <row r="79" spans="1:29" ht="15.75" thickBot="1">
      <c r="A79" s="483"/>
      <c r="B79" s="492"/>
      <c r="C79" s="493">
        <v>100</v>
      </c>
      <c r="D79" s="493">
        <f>C79-$K19</f>
        <v>97</v>
      </c>
      <c r="E79" s="493">
        <f>D79-$K19</f>
        <v>94</v>
      </c>
      <c r="F79" s="493">
        <f>E79-$K19</f>
        <v>91</v>
      </c>
      <c r="G79" s="493">
        <f>F79-$K19</f>
        <v>88</v>
      </c>
      <c r="H79" s="493"/>
      <c r="I79" s="493"/>
      <c r="J79" s="493"/>
      <c r="K79" s="493"/>
      <c r="L79" s="493"/>
      <c r="M79" s="494"/>
      <c r="N79" s="2753"/>
      <c r="O79" s="2753"/>
      <c r="P79" s="2761"/>
      <c r="Q79" s="2738"/>
      <c r="R79" s="2724"/>
      <c r="S79" s="2724"/>
      <c r="T79" s="2724"/>
      <c r="U79" s="2724"/>
      <c r="V79" s="2724"/>
      <c r="W79" s="2724"/>
      <c r="X79" s="2724"/>
      <c r="Y79" s="2724"/>
      <c r="Z79" s="2724"/>
      <c r="AA79" s="2724"/>
      <c r="AB79" s="2724"/>
      <c r="AC79" s="2724"/>
    </row>
    <row r="80" spans="1:29" ht="15.75" thickTop="1">
      <c r="A80" s="483"/>
      <c r="B80" s="495" t="s">
        <v>1813</v>
      </c>
      <c r="C80" s="608" t="s">
        <v>1799</v>
      </c>
      <c r="D80" s="608" t="s">
        <v>1800</v>
      </c>
      <c r="E80" s="608" t="s">
        <v>1801</v>
      </c>
      <c r="F80" s="608" t="s">
        <v>1802</v>
      </c>
      <c r="G80" s="608" t="s">
        <v>1803</v>
      </c>
      <c r="H80" s="488"/>
      <c r="I80" s="488"/>
      <c r="J80" s="488"/>
      <c r="K80" s="488"/>
      <c r="L80" s="488"/>
      <c r="M80" s="1129"/>
      <c r="N80" s="2753"/>
      <c r="O80" s="2753"/>
      <c r="P80" s="2761"/>
      <c r="Q80" s="2738"/>
      <c r="R80" s="2724"/>
      <c r="S80" s="2724"/>
      <c r="T80" s="2724"/>
      <c r="U80" s="2724"/>
      <c r="V80" s="2724"/>
      <c r="W80" s="2724"/>
      <c r="X80" s="2724"/>
      <c r="Y80" s="2724"/>
      <c r="Z80" s="2724"/>
      <c r="AA80" s="2724"/>
      <c r="AB80" s="2724"/>
      <c r="AC80" s="2724"/>
    </row>
    <row r="81" spans="1:29" ht="15.75" thickBot="1">
      <c r="A81" s="483"/>
      <c r="B81" s="495"/>
      <c r="C81" s="493">
        <v>100</v>
      </c>
      <c r="D81" s="493">
        <f>C81-$K21</f>
        <v>99</v>
      </c>
      <c r="E81" s="493">
        <f>D81-$K21</f>
        <v>98</v>
      </c>
      <c r="F81" s="493">
        <f>E81-$K21</f>
        <v>97</v>
      </c>
      <c r="G81" s="493">
        <f>F81-$K21</f>
        <v>96</v>
      </c>
      <c r="H81" s="608"/>
      <c r="I81" s="608"/>
      <c r="J81" s="608"/>
      <c r="K81" s="608"/>
      <c r="L81" s="608"/>
      <c r="M81" s="401"/>
      <c r="N81" s="2753"/>
      <c r="O81" s="2753"/>
      <c r="P81" s="2761"/>
      <c r="Q81" s="2738"/>
      <c r="R81" s="2724"/>
      <c r="S81" s="2724"/>
      <c r="T81" s="2724"/>
      <c r="U81" s="2724"/>
      <c r="V81" s="2724"/>
      <c r="W81" s="2724"/>
      <c r="X81" s="2724"/>
      <c r="Y81" s="2724"/>
      <c r="Z81" s="2724"/>
      <c r="AA81" s="2724"/>
      <c r="AB81" s="2724"/>
      <c r="AC81" s="2724"/>
    </row>
    <row r="82" spans="1:29" ht="15.75" thickTop="1">
      <c r="A82" s="483"/>
      <c r="B82" s="487" t="s">
        <v>1821</v>
      </c>
      <c r="C82" s="527" t="s">
        <v>1721</v>
      </c>
      <c r="D82" s="527" t="s">
        <v>1722</v>
      </c>
      <c r="E82" s="527" t="s">
        <v>1723</v>
      </c>
      <c r="F82" s="527" t="s">
        <v>1724</v>
      </c>
      <c r="G82" s="527" t="s">
        <v>1725</v>
      </c>
      <c r="H82" s="488"/>
      <c r="I82" s="488"/>
      <c r="J82" s="488"/>
      <c r="K82" s="489"/>
      <c r="L82" s="490"/>
      <c r="M82" s="491"/>
      <c r="N82" s="2752"/>
      <c r="O82" s="2752"/>
      <c r="P82" s="2761"/>
      <c r="Q82" s="2738"/>
      <c r="R82" s="2724"/>
      <c r="S82" s="2724"/>
      <c r="T82" s="2724"/>
      <c r="U82" s="2724"/>
      <c r="V82" s="2724"/>
      <c r="W82" s="2724"/>
      <c r="X82" s="2724"/>
      <c r="Y82" s="2724"/>
      <c r="Z82" s="2724"/>
      <c r="AA82" s="2724"/>
      <c r="AB82" s="2724"/>
      <c r="AC82" s="2724"/>
    </row>
    <row r="83" spans="1:29" ht="15.75" thickBot="1">
      <c r="A83" s="483"/>
      <c r="B83" s="492"/>
      <c r="C83" s="493">
        <v>100</v>
      </c>
      <c r="D83" s="493">
        <f>C83-$K23</f>
        <v>99</v>
      </c>
      <c r="E83" s="493">
        <f>D83-$K23</f>
        <v>98</v>
      </c>
      <c r="F83" s="493">
        <f>E83-$K23</f>
        <v>97</v>
      </c>
      <c r="G83" s="493">
        <f>F83-$K23</f>
        <v>96</v>
      </c>
      <c r="H83" s="493"/>
      <c r="I83" s="493"/>
      <c r="J83" s="493"/>
      <c r="K83" s="493"/>
      <c r="L83" s="493"/>
      <c r="M83" s="494"/>
      <c r="N83" s="2753"/>
      <c r="O83" s="2753"/>
      <c r="P83" s="2761"/>
      <c r="Q83" s="2738"/>
      <c r="R83" s="2724"/>
      <c r="S83" s="2724"/>
      <c r="T83" s="2724"/>
      <c r="U83" s="2724"/>
      <c r="V83" s="2724"/>
      <c r="W83" s="2724"/>
      <c r="X83" s="2724"/>
      <c r="Y83" s="2724"/>
      <c r="Z83" s="2724"/>
      <c r="AA83" s="2724"/>
      <c r="AB83" s="2724"/>
      <c r="AC83" s="2724"/>
    </row>
    <row r="84" spans="1:29" s="108" customFormat="1" ht="27.75" thickTop="1">
      <c r="A84" s="528"/>
      <c r="B84" s="487" t="s">
        <v>1822</v>
      </c>
      <c r="C84" s="3491" t="s">
        <v>3575</v>
      </c>
      <c r="D84" s="3491" t="s">
        <v>3576</v>
      </c>
      <c r="E84" s="3491" t="s">
        <v>3577</v>
      </c>
      <c r="F84" s="3491" t="s">
        <v>3578</v>
      </c>
      <c r="G84" s="503"/>
      <c r="H84" s="503"/>
      <c r="I84" s="503"/>
      <c r="J84" s="503"/>
      <c r="K84" s="503"/>
      <c r="L84" s="529"/>
      <c r="M84" s="530"/>
      <c r="N84" s="2751"/>
      <c r="O84" s="2751"/>
      <c r="P84" s="2761"/>
      <c r="Q84" s="2738"/>
      <c r="R84" s="2660"/>
      <c r="S84" s="2660"/>
      <c r="T84" s="2660"/>
      <c r="U84" s="2660"/>
      <c r="V84" s="2660"/>
      <c r="W84" s="2660"/>
      <c r="X84" s="2660"/>
      <c r="Y84" s="2660"/>
      <c r="Z84" s="2660"/>
      <c r="AA84" s="2660"/>
      <c r="AB84" s="2660"/>
      <c r="AC84" s="2660"/>
    </row>
    <row r="85" spans="1:29" s="108" customFormat="1" ht="15.75" thickBot="1">
      <c r="A85" s="528"/>
      <c r="B85" s="492"/>
      <c r="C85" s="531">
        <v>100</v>
      </c>
      <c r="D85" s="493">
        <f t="shared" ref="D85:M85" si="35">C85-$K25</f>
        <v>99</v>
      </c>
      <c r="E85" s="493">
        <f t="shared" si="35"/>
        <v>98</v>
      </c>
      <c r="F85" s="493">
        <f t="shared" si="35"/>
        <v>97</v>
      </c>
      <c r="G85" s="493">
        <f t="shared" si="35"/>
        <v>96</v>
      </c>
      <c r="H85" s="493">
        <f t="shared" si="35"/>
        <v>95</v>
      </c>
      <c r="I85" s="493">
        <f t="shared" si="35"/>
        <v>94</v>
      </c>
      <c r="J85" s="493">
        <f t="shared" si="35"/>
        <v>93</v>
      </c>
      <c r="K85" s="493">
        <f t="shared" si="35"/>
        <v>92</v>
      </c>
      <c r="L85" s="493">
        <f t="shared" si="35"/>
        <v>91</v>
      </c>
      <c r="M85" s="493">
        <f t="shared" si="35"/>
        <v>90</v>
      </c>
      <c r="N85" s="2753"/>
      <c r="O85" s="2753"/>
      <c r="P85" s="2761"/>
      <c r="Q85" s="2738"/>
      <c r="R85" s="2660"/>
      <c r="S85" s="2660"/>
      <c r="T85" s="2660"/>
      <c r="U85" s="2660"/>
      <c r="V85" s="2660"/>
      <c r="W85" s="2660"/>
      <c r="X85" s="2660"/>
      <c r="Y85" s="2660"/>
      <c r="Z85" s="2660"/>
      <c r="AA85" s="2660"/>
      <c r="AB85" s="2660"/>
      <c r="AC85" s="2660"/>
    </row>
    <row r="86" spans="1:29" s="108" customFormat="1" ht="15.75" thickTop="1">
      <c r="A86" s="528"/>
      <c r="B86" s="487" t="e">
        <f>#REF!</f>
        <v>#REF!</v>
      </c>
      <c r="C86" s="503"/>
      <c r="D86" s="503"/>
      <c r="E86" s="503"/>
      <c r="F86" s="1927"/>
      <c r="G86" s="503"/>
      <c r="H86" s="503"/>
      <c r="I86" s="503"/>
      <c r="J86" s="503"/>
      <c r="K86" s="503"/>
      <c r="L86" s="503"/>
      <c r="M86" s="530"/>
      <c r="N86" s="2751"/>
      <c r="O86" s="2751"/>
      <c r="P86" s="2761"/>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t="e">
        <f>C87-#REF!</f>
        <v>#REF!</v>
      </c>
      <c r="E87" s="493" t="e">
        <f>D87-#REF!</f>
        <v>#REF!</v>
      </c>
      <c r="F87" s="493" t="e">
        <f>E87-#REF!</f>
        <v>#REF!</v>
      </c>
      <c r="G87" s="493" t="e">
        <f>F87-#REF!</f>
        <v>#REF!</v>
      </c>
      <c r="H87" s="493" t="e">
        <f>G87-#REF!</f>
        <v>#REF!</v>
      </c>
      <c r="I87" s="493" t="e">
        <f>H87-#REF!</f>
        <v>#REF!</v>
      </c>
      <c r="J87" s="493" t="e">
        <f>I87-#REF!</f>
        <v>#REF!</v>
      </c>
      <c r="K87" s="493" t="e">
        <f>J87-#REF!</f>
        <v>#REF!</v>
      </c>
      <c r="L87" s="493" t="e">
        <f>K87-#REF!</f>
        <v>#REF!</v>
      </c>
      <c r="M87" s="493" t="e">
        <f>L87-#REF!</f>
        <v>#REF!</v>
      </c>
      <c r="N87" s="2753"/>
      <c r="O87" s="2753"/>
      <c r="P87" s="2761"/>
      <c r="Q87" s="2738"/>
      <c r="R87" s="2660"/>
      <c r="S87" s="2660"/>
      <c r="T87" s="2660"/>
      <c r="U87" s="2660"/>
      <c r="V87" s="2660"/>
      <c r="W87" s="2660"/>
      <c r="X87" s="2660"/>
      <c r="Y87" s="2660"/>
      <c r="Z87" s="2660"/>
      <c r="AA87" s="2660"/>
      <c r="AB87" s="2660"/>
      <c r="AC87" s="2660"/>
    </row>
    <row r="88" spans="1:29" s="422" customFormat="1" ht="15.75" thickTop="1">
      <c r="A88" s="502"/>
      <c r="B88" s="487" t="e">
        <f>#REF!</f>
        <v>#REF!</v>
      </c>
      <c r="C88" s="503"/>
      <c r="D88" s="503"/>
      <c r="E88" s="503"/>
      <c r="F88" s="503"/>
      <c r="G88" s="503"/>
      <c r="H88" s="504"/>
      <c r="I88" s="504"/>
      <c r="J88" s="504"/>
      <c r="K88" s="504"/>
      <c r="L88" s="505"/>
      <c r="M88" s="506"/>
      <c r="N88" s="2754"/>
      <c r="O88" s="2754"/>
      <c r="P88" s="2762"/>
      <c r="Q88" s="2745"/>
      <c r="R88" s="2746"/>
      <c r="S88" s="2746"/>
      <c r="T88" s="2746"/>
      <c r="U88" s="2746"/>
      <c r="V88" s="2746"/>
      <c r="W88" s="2746"/>
      <c r="X88" s="2746"/>
      <c r="Y88" s="2746"/>
      <c r="Z88" s="2746"/>
      <c r="AA88" s="2746"/>
      <c r="AB88" s="2746"/>
      <c r="AC88" s="2746"/>
    </row>
    <row r="89" spans="1:29" s="422" customFormat="1" ht="15.75" thickBot="1">
      <c r="A89" s="502"/>
      <c r="B89" s="492"/>
      <c r="C89" s="531">
        <v>100</v>
      </c>
      <c r="D89" s="493" t="e">
        <f>C89-#REF!</f>
        <v>#REF!</v>
      </c>
      <c r="E89" s="493" t="e">
        <f>D89-#REF!</f>
        <v>#REF!</v>
      </c>
      <c r="F89" s="493" t="e">
        <f>E89-#REF!</f>
        <v>#REF!</v>
      </c>
      <c r="G89" s="493" t="e">
        <f>F89-#REF!</f>
        <v>#REF!</v>
      </c>
      <c r="H89" s="493" t="e">
        <f>G89-#REF!</f>
        <v>#REF!</v>
      </c>
      <c r="I89" s="493" t="e">
        <f>H89-#REF!</f>
        <v>#REF!</v>
      </c>
      <c r="J89" s="493" t="e">
        <f>I89-#REF!</f>
        <v>#REF!</v>
      </c>
      <c r="K89" s="493" t="e">
        <f>J89-#REF!</f>
        <v>#REF!</v>
      </c>
      <c r="L89" s="493" t="e">
        <f>K89-#REF!</f>
        <v>#REF!</v>
      </c>
      <c r="M89" s="493" t="e">
        <f>L89-#REF!</f>
        <v>#REF!</v>
      </c>
      <c r="N89" s="2754"/>
      <c r="O89" s="2754"/>
      <c r="P89" s="2762"/>
      <c r="Q89" s="2745"/>
      <c r="R89" s="2746"/>
      <c r="S89" s="2746"/>
      <c r="T89" s="2746"/>
      <c r="U89" s="2746"/>
      <c r="V89" s="2746"/>
      <c r="W89" s="2746"/>
      <c r="X89" s="2746"/>
      <c r="Y89" s="2746"/>
      <c r="Z89" s="2746"/>
      <c r="AA89" s="2746"/>
      <c r="AB89" s="2746"/>
      <c r="AC89" s="2746"/>
    </row>
    <row r="90" spans="1:29" ht="15.75" thickTop="1">
      <c r="A90" s="483"/>
      <c r="B90" s="487" t="e">
        <f>#REF!</f>
        <v>#REF!</v>
      </c>
      <c r="C90" s="503"/>
      <c r="D90" s="503"/>
      <c r="E90" s="503"/>
      <c r="F90" s="503"/>
      <c r="G90" s="503"/>
      <c r="H90" s="503"/>
      <c r="I90" s="503"/>
      <c r="J90" s="503"/>
      <c r="K90" s="503"/>
      <c r="L90" s="529"/>
      <c r="M90" s="530"/>
      <c r="N90" s="2752"/>
      <c r="O90" s="2752"/>
      <c r="P90" s="2761"/>
      <c r="Q90" s="2738"/>
      <c r="R90" s="2724"/>
      <c r="S90" s="2724"/>
      <c r="T90" s="2724"/>
      <c r="U90" s="2724"/>
      <c r="V90" s="2724"/>
      <c r="W90" s="2724"/>
      <c r="X90" s="2724"/>
      <c r="Y90" s="2724"/>
      <c r="Z90" s="2724"/>
      <c r="AA90" s="2724"/>
      <c r="AB90" s="2724"/>
      <c r="AC90" s="2724"/>
    </row>
    <row r="91" spans="1:29" ht="15.75" thickBot="1">
      <c r="A91" s="483"/>
      <c r="B91" s="492"/>
      <c r="C91" s="509"/>
      <c r="D91" s="485"/>
      <c r="E91" s="485"/>
      <c r="F91" s="485"/>
      <c r="G91" s="485"/>
      <c r="H91" s="485"/>
      <c r="I91" s="485"/>
      <c r="J91" s="485"/>
      <c r="K91" s="485"/>
      <c r="L91" s="485"/>
      <c r="M91" s="486"/>
      <c r="N91" s="2753"/>
      <c r="O91" s="2753"/>
      <c r="P91" s="2761"/>
      <c r="Q91" s="2738"/>
      <c r="R91" s="2724"/>
      <c r="S91" s="2724"/>
      <c r="T91" s="2724"/>
      <c r="U91" s="2724"/>
      <c r="V91" s="2724"/>
      <c r="W91" s="2724"/>
      <c r="X91" s="2724"/>
      <c r="Y91" s="2724"/>
      <c r="Z91" s="2724"/>
      <c r="AA91" s="2724"/>
      <c r="AB91" s="2724"/>
      <c r="AC91" s="2724"/>
    </row>
    <row r="92" spans="1:29" ht="15.75" thickTop="1">
      <c r="A92" s="483"/>
      <c r="B92" s="487" t="str">
        <f>B27</f>
        <v>土地级别</v>
      </c>
      <c r="C92" s="503"/>
      <c r="D92" s="503"/>
      <c r="E92" s="503"/>
      <c r="F92" s="503"/>
      <c r="G92" s="532"/>
      <c r="H92" s="532"/>
      <c r="I92" s="532"/>
      <c r="J92" s="532"/>
      <c r="K92" s="533"/>
      <c r="L92" s="534"/>
      <c r="M92" s="535"/>
      <c r="N92" s="2752"/>
      <c r="O92" s="2752"/>
      <c r="P92" s="2761"/>
      <c r="Q92" s="2738"/>
      <c r="R92" s="2724"/>
      <c r="S92" s="2724"/>
      <c r="T92" s="2724"/>
      <c r="U92" s="2724"/>
      <c r="V92" s="2724"/>
      <c r="W92" s="2724"/>
      <c r="X92" s="2724"/>
      <c r="Y92" s="2724"/>
      <c r="Z92" s="2724"/>
      <c r="AA92" s="2724"/>
      <c r="AB92" s="2724"/>
      <c r="AC92" s="2724"/>
    </row>
    <row r="93" spans="1:29" ht="15.75" thickBot="1">
      <c r="A93" s="483"/>
      <c r="B93" s="492"/>
      <c r="C93" s="509"/>
      <c r="D93" s="509"/>
      <c r="E93" s="509"/>
      <c r="F93" s="509"/>
      <c r="G93" s="485"/>
      <c r="H93" s="485"/>
      <c r="I93" s="485"/>
      <c r="J93" s="485"/>
      <c r="K93" s="485"/>
      <c r="L93" s="485"/>
      <c r="M93" s="486"/>
      <c r="N93" s="2753"/>
      <c r="O93" s="2753"/>
      <c r="P93" s="2761"/>
      <c r="Q93" s="2738"/>
      <c r="R93" s="2724"/>
      <c r="S93" s="2724"/>
      <c r="T93" s="2724"/>
      <c r="U93" s="2724"/>
      <c r="V93" s="2724"/>
      <c r="W93" s="2724"/>
      <c r="X93" s="2724"/>
      <c r="Y93" s="2724"/>
      <c r="Z93" s="2724"/>
      <c r="AA93" s="2724"/>
      <c r="AB93" s="2724"/>
      <c r="AC93" s="2724"/>
    </row>
    <row r="94" spans="1:29" ht="15.75" thickTop="1">
      <c r="A94" s="483"/>
      <c r="B94" s="487">
        <f>B28</f>
        <v>111</v>
      </c>
      <c r="C94" s="503"/>
      <c r="D94" s="503"/>
      <c r="E94" s="503"/>
      <c r="F94" s="503"/>
      <c r="G94" s="532"/>
      <c r="H94" s="532"/>
      <c r="I94" s="532"/>
      <c r="J94" s="532"/>
      <c r="K94" s="533"/>
      <c r="L94" s="534"/>
      <c r="M94" s="535"/>
      <c r="N94" s="2752"/>
      <c r="O94" s="2752"/>
      <c r="P94" s="2761"/>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61"/>
      <c r="Q95" s="2738"/>
      <c r="R95" s="2724"/>
      <c r="S95" s="2724"/>
      <c r="T95" s="2724"/>
      <c r="U95" s="2724"/>
      <c r="V95" s="2724"/>
      <c r="W95" s="2724"/>
      <c r="X95" s="2724"/>
      <c r="Y95" s="2724"/>
      <c r="Z95" s="2724"/>
      <c r="AA95" s="2724"/>
      <c r="AB95" s="2724"/>
      <c r="AC95" s="2724"/>
    </row>
    <row r="96" spans="1:29" ht="15.75" thickTop="1">
      <c r="A96" s="483"/>
      <c r="B96" s="495">
        <f>B29</f>
        <v>111</v>
      </c>
      <c r="C96" s="472"/>
      <c r="D96" s="472"/>
      <c r="E96" s="472"/>
      <c r="F96" s="472"/>
      <c r="G96" s="536"/>
      <c r="H96" s="536"/>
      <c r="I96" s="536"/>
      <c r="J96" s="536"/>
      <c r="K96" s="537"/>
      <c r="L96" s="538"/>
      <c r="M96" s="539"/>
      <c r="N96" s="2752"/>
      <c r="O96" s="2752"/>
      <c r="P96" s="2761"/>
      <c r="Q96" s="2738"/>
      <c r="R96" s="2724"/>
      <c r="S96" s="2724"/>
      <c r="T96" s="2724"/>
      <c r="U96" s="2724"/>
      <c r="V96" s="2724"/>
      <c r="W96" s="2724"/>
      <c r="X96" s="2724"/>
      <c r="Y96" s="2724"/>
      <c r="Z96" s="2724"/>
      <c r="AA96" s="2724"/>
      <c r="AB96" s="2724"/>
      <c r="AC96" s="2724"/>
    </row>
    <row r="97" spans="1:29" ht="15.75" thickBot="1">
      <c r="A97" s="1928"/>
      <c r="B97" s="518"/>
      <c r="C97" s="519"/>
      <c r="D97" s="519"/>
      <c r="E97" s="519"/>
      <c r="F97" s="519"/>
      <c r="G97" s="540"/>
      <c r="H97" s="540"/>
      <c r="I97" s="540"/>
      <c r="J97" s="540"/>
      <c r="K97" s="540"/>
      <c r="L97" s="540"/>
      <c r="M97" s="541"/>
      <c r="N97" s="2753"/>
      <c r="O97" s="2753"/>
      <c r="P97" s="2761"/>
      <c r="Q97" s="2738"/>
      <c r="R97" s="2724"/>
      <c r="S97" s="2724"/>
      <c r="T97" s="2724"/>
      <c r="U97" s="2724"/>
      <c r="V97" s="2724"/>
      <c r="W97" s="2724"/>
      <c r="X97" s="2724"/>
      <c r="Y97" s="2724"/>
      <c r="Z97" s="2724"/>
      <c r="AA97" s="2724"/>
      <c r="AB97" s="2724"/>
      <c r="AC97" s="2724"/>
    </row>
    <row r="98" spans="1:29">
      <c r="A98" s="476" t="s">
        <v>1694</v>
      </c>
      <c r="B98" s="477" t="s">
        <v>1736</v>
      </c>
      <c r="C98" s="3485" t="s">
        <v>3579</v>
      </c>
      <c r="D98" s="3485" t="s">
        <v>3580</v>
      </c>
      <c r="E98" s="3485" t="s">
        <v>3581</v>
      </c>
      <c r="F98" s="479"/>
      <c r="G98" s="479"/>
      <c r="H98" s="479"/>
      <c r="I98" s="479"/>
      <c r="J98" s="479"/>
      <c r="K98" s="480"/>
      <c r="L98" s="481"/>
      <c r="M98" s="482"/>
      <c r="N98" s="2752"/>
      <c r="O98" s="2752"/>
      <c r="P98" s="2761"/>
      <c r="Q98" s="2738"/>
      <c r="R98" s="2724"/>
      <c r="S98" s="2724"/>
      <c r="T98" s="2724"/>
      <c r="U98" s="2724"/>
      <c r="V98" s="2724"/>
      <c r="W98" s="2724"/>
      <c r="X98" s="2724"/>
      <c r="Y98" s="2724"/>
      <c r="Z98" s="2724"/>
      <c r="AA98" s="2724"/>
      <c r="AB98" s="2724"/>
      <c r="AC98" s="2724"/>
    </row>
    <row r="99" spans="1:29" ht="15.75" thickBot="1">
      <c r="A99" s="483"/>
      <c r="B99" s="492"/>
      <c r="C99" s="493">
        <v>100</v>
      </c>
      <c r="D99" s="493">
        <f t="shared" ref="D99:M99" si="36">C99-$K30</f>
        <v>98</v>
      </c>
      <c r="E99" s="493">
        <f t="shared" si="36"/>
        <v>96</v>
      </c>
      <c r="F99" s="493">
        <f t="shared" si="36"/>
        <v>94</v>
      </c>
      <c r="G99" s="493">
        <f t="shared" si="36"/>
        <v>92</v>
      </c>
      <c r="H99" s="493">
        <f t="shared" si="36"/>
        <v>90</v>
      </c>
      <c r="I99" s="493">
        <f t="shared" si="36"/>
        <v>88</v>
      </c>
      <c r="J99" s="493">
        <f t="shared" si="36"/>
        <v>86</v>
      </c>
      <c r="K99" s="493">
        <f t="shared" si="36"/>
        <v>84</v>
      </c>
      <c r="L99" s="493">
        <f t="shared" si="36"/>
        <v>82</v>
      </c>
      <c r="M99" s="494">
        <f t="shared" si="36"/>
        <v>80</v>
      </c>
      <c r="N99" s="2753"/>
      <c r="O99" s="2753"/>
      <c r="P99" s="2761"/>
      <c r="Q99" s="2738"/>
      <c r="R99" s="2724"/>
      <c r="S99" s="2724"/>
      <c r="T99" s="2724"/>
      <c r="U99" s="2724"/>
      <c r="V99" s="2724"/>
      <c r="W99" s="2724"/>
      <c r="X99" s="2724"/>
      <c r="Y99" s="2724"/>
      <c r="Z99" s="2724"/>
      <c r="AA99" s="2724"/>
      <c r="AB99" s="2724"/>
      <c r="AC99" s="2724"/>
    </row>
    <row r="100" spans="1:29" ht="29.25" thickTop="1">
      <c r="A100" s="483"/>
      <c r="B100" s="487" t="s">
        <v>1737</v>
      </c>
      <c r="C100" s="527" t="str">
        <f>C101&amp;"(含)"&amp;"-"&amp;D101</f>
        <v>0(含)-20000</v>
      </c>
      <c r="D100" s="527" t="str">
        <f t="shared" ref="D100:L100" si="37">D101&amp;"(含)"&amp;"-"&amp;E101</f>
        <v>20000(含)-40000</v>
      </c>
      <c r="E100" s="527" t="str">
        <f t="shared" si="37"/>
        <v>40000(含)-60000</v>
      </c>
      <c r="F100" s="527" t="str">
        <f t="shared" si="37"/>
        <v>60000(含)-80000</v>
      </c>
      <c r="G100" s="527" t="str">
        <f t="shared" si="37"/>
        <v>80000(含)-100000</v>
      </c>
      <c r="H100" s="527" t="str">
        <f t="shared" si="37"/>
        <v>100000(含)-150000</v>
      </c>
      <c r="I100" s="527" t="str">
        <f t="shared" si="37"/>
        <v>150000(含)-</v>
      </c>
      <c r="J100" s="527" t="str">
        <f t="shared" si="37"/>
        <v>(含)-</v>
      </c>
      <c r="K100" s="527" t="str">
        <f t="shared" si="37"/>
        <v>(含)-</v>
      </c>
      <c r="L100" s="527" t="str">
        <f t="shared" si="37"/>
        <v>(含)-</v>
      </c>
      <c r="M100" s="570" t="str">
        <f>M101&amp;"(含)"&amp;"-"&amp;P101</f>
        <v>(含)-</v>
      </c>
      <c r="N100" s="2751"/>
      <c r="O100" s="2751"/>
      <c r="P100" s="2761"/>
      <c r="Q100" s="2738"/>
      <c r="R100" s="2724"/>
      <c r="S100" s="2724"/>
      <c r="T100" s="2724"/>
      <c r="U100" s="2724"/>
      <c r="V100" s="2724"/>
      <c r="W100" s="2724"/>
      <c r="X100" s="2724"/>
      <c r="Y100" s="2724"/>
      <c r="Z100" s="2724"/>
      <c r="AA100" s="2724"/>
      <c r="AB100" s="2724"/>
      <c r="AC100" s="2724"/>
    </row>
    <row r="101" spans="1:29" s="422" customFormat="1">
      <c r="A101" s="542"/>
      <c r="B101" s="543"/>
      <c r="C101" s="544">
        <v>0</v>
      </c>
      <c r="D101" s="544">
        <v>20000</v>
      </c>
      <c r="E101" s="544">
        <v>40000</v>
      </c>
      <c r="F101" s="544">
        <v>60000</v>
      </c>
      <c r="G101" s="544">
        <v>80000</v>
      </c>
      <c r="H101" s="544">
        <v>100000</v>
      </c>
      <c r="I101" s="544">
        <v>150000</v>
      </c>
      <c r="J101" s="545"/>
      <c r="K101" s="545"/>
      <c r="L101" s="546"/>
      <c r="M101" s="547"/>
      <c r="N101" s="2754"/>
      <c r="O101" s="2754"/>
      <c r="P101" s="2762"/>
      <c r="Q101" s="2745"/>
      <c r="R101" s="2746"/>
      <c r="S101" s="2746"/>
      <c r="T101" s="2746"/>
      <c r="U101" s="2746"/>
      <c r="V101" s="2746"/>
      <c r="W101" s="2746"/>
      <c r="X101" s="2746"/>
      <c r="Y101" s="2746"/>
      <c r="Z101" s="2746"/>
      <c r="AA101" s="2746"/>
      <c r="AB101" s="2746"/>
      <c r="AC101" s="2746"/>
    </row>
    <row r="102" spans="1:29" s="422" customFormat="1" ht="15.75" thickBot="1">
      <c r="A102" s="502"/>
      <c r="B102" s="492"/>
      <c r="C102" s="509">
        <v>100</v>
      </c>
      <c r="D102" s="485">
        <v>99</v>
      </c>
      <c r="E102" s="485">
        <v>98</v>
      </c>
      <c r="F102" s="485">
        <v>97</v>
      </c>
      <c r="G102" s="485">
        <v>96</v>
      </c>
      <c r="H102" s="485">
        <v>95</v>
      </c>
      <c r="I102" s="485">
        <v>94</v>
      </c>
      <c r="J102" s="485"/>
      <c r="K102" s="485"/>
      <c r="L102" s="485"/>
      <c r="M102" s="486"/>
      <c r="N102" s="2753"/>
      <c r="O102" s="2753"/>
      <c r="P102" s="2762"/>
      <c r="Q102" s="2745"/>
      <c r="R102" s="2746"/>
      <c r="S102" s="2746"/>
      <c r="T102" s="2746"/>
      <c r="U102" s="2746"/>
      <c r="V102" s="2746"/>
      <c r="W102" s="2746"/>
      <c r="X102" s="2746"/>
      <c r="Y102" s="2746"/>
      <c r="Z102" s="2746"/>
      <c r="AA102" s="2746"/>
      <c r="AB102" s="2746"/>
      <c r="AC102" s="2746"/>
    </row>
    <row r="103" spans="1:29" ht="15" thickTop="1">
      <c r="A103" s="548"/>
      <c r="B103" s="487" t="s">
        <v>1738</v>
      </c>
      <c r="C103" s="3491" t="s">
        <v>3582</v>
      </c>
      <c r="D103" s="503"/>
      <c r="E103" s="532"/>
      <c r="F103" s="532"/>
      <c r="G103" s="532"/>
      <c r="H103" s="532"/>
      <c r="I103" s="532"/>
      <c r="J103" s="532"/>
      <c r="K103" s="533"/>
      <c r="L103" s="534"/>
      <c r="M103" s="535"/>
      <c r="N103" s="2752"/>
      <c r="O103" s="2752"/>
      <c r="P103" s="2761"/>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38">C104-$K32</f>
        <v>99</v>
      </c>
      <c r="E104" s="493">
        <f t="shared" si="38"/>
        <v>98</v>
      </c>
      <c r="F104" s="493">
        <f t="shared" si="38"/>
        <v>97</v>
      </c>
      <c r="G104" s="493">
        <f t="shared" si="38"/>
        <v>96</v>
      </c>
      <c r="H104" s="493">
        <f t="shared" si="38"/>
        <v>95</v>
      </c>
      <c r="I104" s="493">
        <f t="shared" si="38"/>
        <v>94</v>
      </c>
      <c r="J104" s="493">
        <f t="shared" si="38"/>
        <v>93</v>
      </c>
      <c r="K104" s="493">
        <f t="shared" si="38"/>
        <v>92</v>
      </c>
      <c r="L104" s="493">
        <f t="shared" si="38"/>
        <v>91</v>
      </c>
      <c r="M104" s="494">
        <f t="shared" si="38"/>
        <v>90</v>
      </c>
      <c r="N104" s="2753"/>
      <c r="O104" s="2753"/>
      <c r="P104" s="2761"/>
      <c r="Q104" s="2738"/>
      <c r="R104" s="2724"/>
      <c r="S104" s="2724"/>
      <c r="T104" s="2724"/>
      <c r="U104" s="2724"/>
      <c r="V104" s="2724"/>
      <c r="W104" s="2724"/>
      <c r="X104" s="2724"/>
      <c r="Y104" s="2724"/>
      <c r="Z104" s="2724"/>
      <c r="AA104" s="2724"/>
      <c r="AB104" s="2724"/>
      <c r="AC104" s="2724"/>
    </row>
    <row r="105" spans="1:29" ht="15" thickTop="1">
      <c r="A105" s="548"/>
      <c r="B105" s="487" t="s">
        <v>1740</v>
      </c>
      <c r="C105" s="3491" t="s">
        <v>3583</v>
      </c>
      <c r="D105" s="3491" t="s">
        <v>3592</v>
      </c>
      <c r="E105" s="503"/>
      <c r="F105" s="532"/>
      <c r="G105" s="532"/>
      <c r="H105" s="532"/>
      <c r="I105" s="532"/>
      <c r="J105" s="532"/>
      <c r="K105" s="533"/>
      <c r="L105" s="534"/>
      <c r="M105" s="535"/>
      <c r="N105" s="2752"/>
      <c r="O105" s="2752"/>
      <c r="P105" s="2761"/>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39">C106-$K33</f>
        <v>98</v>
      </c>
      <c r="E106" s="493">
        <f t="shared" si="39"/>
        <v>96</v>
      </c>
      <c r="F106" s="493">
        <f t="shared" si="39"/>
        <v>94</v>
      </c>
      <c r="G106" s="493">
        <f t="shared" si="39"/>
        <v>92</v>
      </c>
      <c r="H106" s="493">
        <f t="shared" si="39"/>
        <v>90</v>
      </c>
      <c r="I106" s="493">
        <f t="shared" si="39"/>
        <v>88</v>
      </c>
      <c r="J106" s="493">
        <f t="shared" si="39"/>
        <v>86</v>
      </c>
      <c r="K106" s="493">
        <f t="shared" si="39"/>
        <v>84</v>
      </c>
      <c r="L106" s="493">
        <f t="shared" si="39"/>
        <v>82</v>
      </c>
      <c r="M106" s="494">
        <f t="shared" si="39"/>
        <v>80</v>
      </c>
      <c r="N106" s="2753"/>
      <c r="O106" s="2753"/>
      <c r="P106" s="2761"/>
      <c r="Q106" s="2738"/>
      <c r="R106" s="2724"/>
      <c r="S106" s="2724"/>
      <c r="T106" s="2724"/>
      <c r="U106" s="2724"/>
      <c r="V106" s="2724"/>
      <c r="W106" s="2724"/>
      <c r="X106" s="2724"/>
      <c r="Y106" s="2724"/>
      <c r="Z106" s="2724"/>
      <c r="AA106" s="2724"/>
      <c r="AB106" s="2724"/>
      <c r="AC106" s="2724"/>
    </row>
    <row r="107" spans="1:29" ht="15" thickTop="1">
      <c r="A107" s="548"/>
      <c r="B107" s="487" t="s">
        <v>1190</v>
      </c>
      <c r="C107" s="527" t="str">
        <f>C108&amp;"(含)"&amp;"-"&amp;D108</f>
        <v>0.5(含)-0.6</v>
      </c>
      <c r="D107" s="527" t="str">
        <f>D108&amp;"(含)"&amp;"-"&amp;E108</f>
        <v>0.6(含)-0.7</v>
      </c>
      <c r="E107" s="527" t="str">
        <f>E108&amp;"(含)"&amp;"-"&amp;F108</f>
        <v>0.7(含)-0.8</v>
      </c>
      <c r="F107" s="527" t="str">
        <f>F108&amp;"(含)"&amp;"-"&amp;G108</f>
        <v>0.8(含)-0.9</v>
      </c>
      <c r="G107" s="527" t="str">
        <f>G108&amp;"(含)"&amp;"-"&amp;ROUND(H108,0)&amp;"(含)"</f>
        <v>0.9(含)-1(含)</v>
      </c>
      <c r="H107" s="527"/>
      <c r="I107" s="532"/>
      <c r="J107" s="532"/>
      <c r="K107" s="533"/>
      <c r="L107" s="534"/>
      <c r="M107" s="535"/>
      <c r="N107" s="2752"/>
      <c r="O107" s="2752"/>
      <c r="P107" s="2761"/>
      <c r="Q107" s="2738"/>
      <c r="R107" s="2724"/>
      <c r="S107" s="2724"/>
      <c r="T107" s="2724"/>
      <c r="U107" s="2724"/>
      <c r="V107" s="2724"/>
      <c r="W107" s="2724"/>
      <c r="X107" s="2724"/>
      <c r="Y107" s="2724"/>
      <c r="Z107" s="2724"/>
      <c r="AA107" s="2724"/>
      <c r="AB107" s="2724"/>
      <c r="AC107" s="2724"/>
    </row>
    <row r="108" spans="1:29">
      <c r="A108" s="548"/>
      <c r="B108" s="495"/>
      <c r="C108" s="552">
        <v>0.5</v>
      </c>
      <c r="D108" s="552">
        <v>0.6</v>
      </c>
      <c r="E108" s="552">
        <v>0.7</v>
      </c>
      <c r="F108" s="552">
        <v>0.8</v>
      </c>
      <c r="G108" s="552">
        <v>0.9</v>
      </c>
      <c r="H108" s="552">
        <v>1.0001</v>
      </c>
      <c r="I108" s="571"/>
      <c r="J108" s="571"/>
      <c r="K108" s="572"/>
      <c r="L108" s="573"/>
      <c r="M108" s="574"/>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531">
        <v>100</v>
      </c>
      <c r="D109" s="493">
        <f t="shared" ref="D109:M109" si="40">C109+$K34</f>
        <v>105</v>
      </c>
      <c r="E109" s="493">
        <f t="shared" si="40"/>
        <v>110</v>
      </c>
      <c r="F109" s="493">
        <f t="shared" si="40"/>
        <v>115</v>
      </c>
      <c r="G109" s="493">
        <f t="shared" si="40"/>
        <v>120</v>
      </c>
      <c r="H109" s="493">
        <f t="shared" si="40"/>
        <v>125</v>
      </c>
      <c r="I109" s="493">
        <f t="shared" si="40"/>
        <v>130</v>
      </c>
      <c r="J109" s="493">
        <f t="shared" si="40"/>
        <v>135</v>
      </c>
      <c r="K109" s="493">
        <f t="shared" si="40"/>
        <v>140</v>
      </c>
      <c r="L109" s="493">
        <f t="shared" si="40"/>
        <v>145</v>
      </c>
      <c r="M109" s="493">
        <f t="shared" si="40"/>
        <v>150</v>
      </c>
      <c r="N109" s="2753"/>
      <c r="O109" s="2753"/>
      <c r="P109" s="2761"/>
      <c r="Q109" s="2738"/>
      <c r="R109" s="2724"/>
      <c r="S109" s="2724"/>
      <c r="T109" s="2724"/>
      <c r="U109" s="2724"/>
      <c r="V109" s="2724"/>
      <c r="W109" s="2724"/>
      <c r="X109" s="2724"/>
      <c r="Y109" s="2724"/>
      <c r="Z109" s="2724"/>
      <c r="AA109" s="2724"/>
      <c r="AB109" s="2724"/>
      <c r="AC109" s="2724"/>
    </row>
    <row r="110" spans="1:29" s="422" customFormat="1" ht="15" thickTop="1">
      <c r="A110" s="542"/>
      <c r="B110" s="487" t="s">
        <v>1823</v>
      </c>
      <c r="C110" s="503"/>
      <c r="D110" s="503"/>
      <c r="E110" s="503"/>
      <c r="F110" s="503"/>
      <c r="G110" s="503"/>
      <c r="H110" s="532"/>
      <c r="I110" s="532"/>
      <c r="J110" s="532"/>
      <c r="K110" s="533"/>
      <c r="L110" s="534"/>
      <c r="M110" s="535"/>
      <c r="N110" s="2754"/>
      <c r="O110" s="2754"/>
      <c r="P110" s="2762"/>
      <c r="Q110" s="2745"/>
      <c r="R110" s="2746"/>
      <c r="S110" s="2746"/>
      <c r="T110" s="2746"/>
      <c r="U110" s="2746"/>
      <c r="V110" s="2746"/>
      <c r="W110" s="2746"/>
      <c r="X110" s="2746"/>
      <c r="Y110" s="2746"/>
      <c r="Z110" s="2746"/>
      <c r="AA110" s="2746"/>
      <c r="AB110" s="2746"/>
      <c r="AC110" s="2746"/>
    </row>
    <row r="111" spans="1:29" s="422" customFormat="1" ht="15.75" thickBot="1">
      <c r="A111" s="502"/>
      <c r="B111" s="492"/>
      <c r="C111" s="493">
        <v>100</v>
      </c>
      <c r="D111" s="493">
        <f t="shared" ref="D111:M111" si="41">C111-$K35</f>
        <v>100</v>
      </c>
      <c r="E111" s="493">
        <f t="shared" si="41"/>
        <v>100</v>
      </c>
      <c r="F111" s="493">
        <f t="shared" si="41"/>
        <v>100</v>
      </c>
      <c r="G111" s="493">
        <f t="shared" si="41"/>
        <v>100</v>
      </c>
      <c r="H111" s="493">
        <f t="shared" si="41"/>
        <v>100</v>
      </c>
      <c r="I111" s="493">
        <f t="shared" si="41"/>
        <v>100</v>
      </c>
      <c r="J111" s="493">
        <f t="shared" si="41"/>
        <v>100</v>
      </c>
      <c r="K111" s="493">
        <f t="shared" si="41"/>
        <v>100</v>
      </c>
      <c r="L111" s="493">
        <f t="shared" si="41"/>
        <v>100</v>
      </c>
      <c r="M111" s="493">
        <f t="shared" si="41"/>
        <v>100</v>
      </c>
      <c r="N111" s="2754"/>
      <c r="O111" s="2754"/>
      <c r="P111" s="2762"/>
      <c r="Q111" s="2745"/>
      <c r="R111" s="2746"/>
      <c r="S111" s="2746"/>
      <c r="T111" s="2746"/>
      <c r="U111" s="2746"/>
      <c r="V111" s="2746"/>
      <c r="W111" s="2746"/>
      <c r="X111" s="2746"/>
      <c r="Y111" s="2746"/>
      <c r="Z111" s="2746"/>
      <c r="AA111" s="2746"/>
      <c r="AB111" s="2746"/>
      <c r="AC111" s="2746"/>
    </row>
    <row r="112" spans="1:29" ht="15" thickTop="1">
      <c r="A112" s="548"/>
      <c r="B112" s="487" t="s">
        <v>1741</v>
      </c>
      <c r="C112" s="503"/>
      <c r="D112" s="503"/>
      <c r="E112" s="532"/>
      <c r="F112" s="532"/>
      <c r="G112" s="532"/>
      <c r="H112" s="532"/>
      <c r="I112" s="532"/>
      <c r="J112" s="532"/>
      <c r="K112" s="533"/>
      <c r="L112" s="534"/>
      <c r="M112" s="535"/>
      <c r="N112" s="2752"/>
      <c r="O112" s="2752"/>
      <c r="P112" s="2761"/>
      <c r="Q112" s="2738"/>
      <c r="R112" s="2724"/>
      <c r="S112" s="2724"/>
      <c r="T112" s="2724"/>
      <c r="U112" s="2724"/>
      <c r="V112" s="2724"/>
      <c r="W112" s="2724"/>
      <c r="X112" s="2724"/>
      <c r="Y112" s="2724"/>
      <c r="Z112" s="2724"/>
      <c r="AA112" s="2724"/>
      <c r="AB112" s="2724"/>
      <c r="AC112" s="2724"/>
    </row>
    <row r="113" spans="1:29" ht="15.75" thickBot="1">
      <c r="A113" s="483"/>
      <c r="B113" s="492"/>
      <c r="C113" s="493">
        <v>100</v>
      </c>
      <c r="D113" s="493">
        <f t="shared" ref="D113:M113" si="42">C113-$K36</f>
        <v>100</v>
      </c>
      <c r="E113" s="493">
        <f t="shared" si="42"/>
        <v>100</v>
      </c>
      <c r="F113" s="493">
        <f t="shared" si="42"/>
        <v>100</v>
      </c>
      <c r="G113" s="493">
        <f t="shared" si="42"/>
        <v>100</v>
      </c>
      <c r="H113" s="493">
        <f t="shared" si="42"/>
        <v>100</v>
      </c>
      <c r="I113" s="493">
        <f t="shared" si="42"/>
        <v>100</v>
      </c>
      <c r="J113" s="493">
        <f t="shared" si="42"/>
        <v>100</v>
      </c>
      <c r="K113" s="493">
        <f t="shared" si="42"/>
        <v>100</v>
      </c>
      <c r="L113" s="493">
        <f t="shared" si="42"/>
        <v>100</v>
      </c>
      <c r="M113" s="494">
        <f t="shared" si="42"/>
        <v>100</v>
      </c>
      <c r="N113" s="2753"/>
      <c r="O113" s="2753"/>
      <c r="P113" s="2761"/>
      <c r="Q113" s="2738"/>
      <c r="R113" s="2724"/>
      <c r="S113" s="2724"/>
      <c r="T113" s="2724"/>
      <c r="U113" s="2724"/>
      <c r="V113" s="2724"/>
      <c r="W113" s="2724"/>
      <c r="X113" s="2724"/>
      <c r="Y113" s="2724"/>
      <c r="Z113" s="2724"/>
      <c r="AA113" s="2724"/>
      <c r="AB113" s="2724"/>
      <c r="AC113" s="2724"/>
    </row>
    <row r="114" spans="1:29" ht="15" thickTop="1">
      <c r="A114" s="548"/>
      <c r="B114" s="487" t="s">
        <v>1742</v>
      </c>
      <c r="C114" s="3491" t="s">
        <v>3594</v>
      </c>
      <c r="D114" s="503"/>
      <c r="E114" s="503"/>
      <c r="F114" s="503"/>
      <c r="G114" s="503"/>
      <c r="H114" s="532"/>
      <c r="I114" s="532"/>
      <c r="J114" s="532"/>
      <c r="K114" s="533"/>
      <c r="L114" s="534"/>
      <c r="M114" s="535"/>
      <c r="N114" s="2752"/>
      <c r="O114" s="2752"/>
      <c r="P114" s="2761"/>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C115-$K37</f>
        <v>99</v>
      </c>
      <c r="E115" s="493">
        <f>D115-$K37</f>
        <v>98</v>
      </c>
      <c r="F115" s="493">
        <f>E115-$K37</f>
        <v>97</v>
      </c>
      <c r="G115" s="493">
        <f>F115-$K37</f>
        <v>96</v>
      </c>
      <c r="H115" s="493"/>
      <c r="I115" s="493"/>
      <c r="J115" s="493"/>
      <c r="K115" s="493"/>
      <c r="L115" s="493"/>
      <c r="M115" s="494"/>
      <c r="N115" s="2753"/>
      <c r="O115" s="2753"/>
      <c r="P115" s="2761"/>
      <c r="Q115" s="2738"/>
      <c r="R115" s="2724"/>
      <c r="S115" s="2724"/>
      <c r="T115" s="2724"/>
      <c r="U115" s="2724"/>
      <c r="V115" s="2724"/>
      <c r="W115" s="2724"/>
      <c r="X115" s="2724"/>
      <c r="Y115" s="2724"/>
      <c r="Z115" s="2724"/>
      <c r="AA115" s="2724"/>
      <c r="AB115" s="2724"/>
      <c r="AC115" s="2724"/>
    </row>
    <row r="116" spans="1:29" ht="15" thickTop="1">
      <c r="A116" s="548"/>
      <c r="B116" s="584" t="s">
        <v>1824</v>
      </c>
      <c r="C116" s="532"/>
      <c r="D116" s="532"/>
      <c r="E116" s="532"/>
      <c r="F116" s="532"/>
      <c r="G116" s="532"/>
      <c r="H116" s="532"/>
      <c r="I116" s="532"/>
      <c r="J116" s="532"/>
      <c r="K116" s="532"/>
      <c r="L116" s="1967"/>
      <c r="M116" s="1968"/>
      <c r="N116" s="2753"/>
      <c r="O116" s="2753"/>
      <c r="P116" s="2766"/>
      <c r="Q116" s="2767"/>
      <c r="R116" s="2724"/>
      <c r="S116" s="2724"/>
      <c r="T116" s="2724"/>
      <c r="U116" s="2724"/>
      <c r="V116" s="2724"/>
      <c r="W116" s="2724"/>
      <c r="X116" s="2724"/>
      <c r="Y116" s="2724"/>
      <c r="Z116" s="2724"/>
      <c r="AA116" s="2724"/>
      <c r="AB116" s="2724"/>
      <c r="AC116" s="2724"/>
    </row>
    <row r="117" spans="1:29" ht="15.75" thickBot="1">
      <c r="A117" s="483"/>
      <c r="B117" s="492"/>
      <c r="C117" s="531">
        <v>100</v>
      </c>
      <c r="D117" s="493">
        <f t="shared" ref="D117:M117" si="43">C117-$K38</f>
        <v>100</v>
      </c>
      <c r="E117" s="493">
        <f t="shared" si="43"/>
        <v>100</v>
      </c>
      <c r="F117" s="493">
        <f t="shared" si="43"/>
        <v>100</v>
      </c>
      <c r="G117" s="493">
        <f t="shared" si="43"/>
        <v>100</v>
      </c>
      <c r="H117" s="493">
        <f t="shared" si="43"/>
        <v>100</v>
      </c>
      <c r="I117" s="493">
        <f t="shared" si="43"/>
        <v>100</v>
      </c>
      <c r="J117" s="493">
        <f t="shared" si="43"/>
        <v>100</v>
      </c>
      <c r="K117" s="493">
        <f t="shared" si="43"/>
        <v>100</v>
      </c>
      <c r="L117" s="493">
        <f t="shared" si="43"/>
        <v>100</v>
      </c>
      <c r="M117" s="493">
        <f t="shared" si="43"/>
        <v>100</v>
      </c>
      <c r="N117" s="2753"/>
      <c r="O117" s="2753"/>
      <c r="P117" s="2761"/>
      <c r="Q117" s="2738"/>
      <c r="R117" s="2724"/>
      <c r="S117" s="2724"/>
      <c r="T117" s="2724"/>
      <c r="U117" s="2724"/>
      <c r="V117" s="2724"/>
      <c r="W117" s="2724"/>
      <c r="X117" s="2724"/>
      <c r="Y117" s="2724"/>
      <c r="Z117" s="2724"/>
      <c r="AA117" s="2724"/>
      <c r="AB117" s="2724"/>
      <c r="AC117" s="2724"/>
    </row>
    <row r="118" spans="1:29" s="422" customFormat="1" ht="15" thickTop="1">
      <c r="A118" s="542"/>
      <c r="B118" s="487" t="s">
        <v>1808</v>
      </c>
      <c r="C118" s="503"/>
      <c r="D118" s="503"/>
      <c r="E118" s="503"/>
      <c r="F118" s="532"/>
      <c r="G118" s="504"/>
      <c r="H118" s="504"/>
      <c r="I118" s="504"/>
      <c r="J118" s="504"/>
      <c r="K118" s="504"/>
      <c r="L118" s="505"/>
      <c r="M118" s="506"/>
      <c r="N118" s="2754"/>
      <c r="O118" s="2754"/>
      <c r="P118" s="2762"/>
      <c r="Q118" s="2745"/>
      <c r="R118" s="2746"/>
      <c r="S118" s="2746"/>
      <c r="T118" s="2746"/>
      <c r="U118" s="2746"/>
      <c r="V118" s="2746"/>
      <c r="W118" s="2746"/>
      <c r="X118" s="2746"/>
      <c r="Y118" s="2746"/>
      <c r="Z118" s="2746"/>
      <c r="AA118" s="2746"/>
      <c r="AB118" s="2746"/>
      <c r="AC118" s="2746"/>
    </row>
    <row r="119" spans="1:29" s="422" customFormat="1" ht="15.75" thickBot="1">
      <c r="A119" s="502"/>
      <c r="B119" s="484"/>
      <c r="C119" s="509"/>
      <c r="D119" s="509"/>
      <c r="E119" s="509"/>
      <c r="F119" s="509"/>
      <c r="G119" s="509"/>
      <c r="H119" s="509"/>
      <c r="I119" s="509"/>
      <c r="J119" s="509"/>
      <c r="K119" s="509"/>
      <c r="L119" s="509"/>
      <c r="M119" s="509"/>
      <c r="N119" s="2754"/>
      <c r="O119" s="2754"/>
      <c r="P119" s="2762"/>
      <c r="Q119" s="2745"/>
      <c r="R119" s="2746"/>
      <c r="S119" s="2746"/>
      <c r="T119" s="2746"/>
      <c r="U119" s="2746"/>
      <c r="V119" s="2746"/>
      <c r="W119" s="2746"/>
      <c r="X119" s="2746"/>
      <c r="Y119" s="2746"/>
      <c r="Z119" s="2746"/>
      <c r="AA119" s="2746"/>
      <c r="AB119" s="2746"/>
      <c r="AC119" s="2746"/>
    </row>
    <row r="120" spans="1:29" ht="15" thickTop="1">
      <c r="A120" s="548"/>
      <c r="B120" s="487" t="s">
        <v>1744</v>
      </c>
      <c r="C120" s="3491" t="s">
        <v>3584</v>
      </c>
      <c r="D120" s="503"/>
      <c r="E120" s="503"/>
      <c r="F120" s="532"/>
      <c r="G120" s="532"/>
      <c r="H120" s="532"/>
      <c r="I120" s="532"/>
      <c r="J120" s="532"/>
      <c r="K120" s="533"/>
      <c r="L120" s="534"/>
      <c r="M120" s="535"/>
      <c r="N120" s="2752"/>
      <c r="O120" s="2752"/>
      <c r="P120" s="2761"/>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44">C121-$K40</f>
        <v>98</v>
      </c>
      <c r="E121" s="493">
        <f t="shared" si="44"/>
        <v>96</v>
      </c>
      <c r="F121" s="493">
        <f t="shared" si="44"/>
        <v>94</v>
      </c>
      <c r="G121" s="493">
        <f t="shared" si="44"/>
        <v>92</v>
      </c>
      <c r="H121" s="493">
        <f t="shared" si="44"/>
        <v>90</v>
      </c>
      <c r="I121" s="493">
        <f t="shared" si="44"/>
        <v>88</v>
      </c>
      <c r="J121" s="493">
        <f t="shared" si="44"/>
        <v>86</v>
      </c>
      <c r="K121" s="493">
        <f t="shared" si="44"/>
        <v>84</v>
      </c>
      <c r="L121" s="493">
        <f t="shared" si="44"/>
        <v>82</v>
      </c>
      <c r="M121" s="494">
        <f t="shared" si="44"/>
        <v>80</v>
      </c>
      <c r="N121" s="2753"/>
      <c r="O121" s="2753"/>
      <c r="P121" s="2761"/>
      <c r="Q121" s="2738"/>
      <c r="R121" s="2724"/>
      <c r="S121" s="2724"/>
      <c r="T121" s="2724"/>
      <c r="U121" s="2724"/>
      <c r="V121" s="2724"/>
      <c r="W121" s="2724"/>
      <c r="X121" s="2724"/>
      <c r="Y121" s="2724"/>
      <c r="Z121" s="2724"/>
      <c r="AA121" s="2724"/>
      <c r="AB121" s="2724"/>
      <c r="AC121" s="2724"/>
    </row>
    <row r="122" spans="1:29" ht="15" thickTop="1">
      <c r="A122" s="548"/>
      <c r="B122" s="487" t="s">
        <v>1745</v>
      </c>
      <c r="C122" s="527" t="s">
        <v>1721</v>
      </c>
      <c r="D122" s="527" t="s">
        <v>1722</v>
      </c>
      <c r="E122" s="527" t="s">
        <v>1723</v>
      </c>
      <c r="F122" s="527" t="s">
        <v>1724</v>
      </c>
      <c r="G122" s="527" t="s">
        <v>1725</v>
      </c>
      <c r="H122" s="488"/>
      <c r="I122" s="488"/>
      <c r="J122" s="488"/>
      <c r="K122" s="489"/>
      <c r="L122" s="490"/>
      <c r="M122" s="491"/>
      <c r="N122" s="2752"/>
      <c r="O122" s="2752"/>
      <c r="P122" s="2762"/>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C123-$K41</f>
        <v>99</v>
      </c>
      <c r="E123" s="493">
        <f>D123-$K41</f>
        <v>98</v>
      </c>
      <c r="F123" s="493">
        <f>E123-$K41</f>
        <v>97</v>
      </c>
      <c r="G123" s="493">
        <f>F123-$K41</f>
        <v>96</v>
      </c>
      <c r="H123" s="493"/>
      <c r="I123" s="493"/>
      <c r="J123" s="493"/>
      <c r="K123" s="493"/>
      <c r="L123" s="493"/>
      <c r="M123" s="494"/>
      <c r="N123" s="2753"/>
      <c r="O123" s="2753"/>
      <c r="P123" s="2761"/>
      <c r="Q123" s="2738"/>
      <c r="R123" s="2724"/>
      <c r="S123" s="2724"/>
      <c r="T123" s="2724"/>
      <c r="U123" s="2724"/>
      <c r="V123" s="2724"/>
      <c r="W123" s="2724"/>
      <c r="X123" s="2724"/>
      <c r="Y123" s="2724"/>
      <c r="Z123" s="2724"/>
      <c r="AA123" s="2724"/>
      <c r="AB123" s="2724"/>
      <c r="AC123" s="2724"/>
    </row>
    <row r="124" spans="1:29" s="422" customFormat="1" ht="15" thickTop="1">
      <c r="A124" s="542"/>
      <c r="B124" s="487">
        <f>B42</f>
        <v>0</v>
      </c>
      <c r="C124" s="503"/>
      <c r="D124" s="503"/>
      <c r="E124" s="503"/>
      <c r="F124" s="503"/>
      <c r="G124" s="503"/>
      <c r="H124" s="504"/>
      <c r="I124" s="504"/>
      <c r="J124" s="504"/>
      <c r="K124" s="504"/>
      <c r="L124" s="505"/>
      <c r="M124" s="506"/>
      <c r="N124" s="2754"/>
      <c r="O124" s="2754"/>
      <c r="P124" s="2762"/>
      <c r="Q124" s="2745"/>
      <c r="R124" s="2746"/>
      <c r="S124" s="2746"/>
      <c r="T124" s="2746"/>
      <c r="U124" s="2746"/>
      <c r="V124" s="2746"/>
      <c r="W124" s="2746"/>
      <c r="X124" s="2746"/>
      <c r="Y124" s="2746"/>
      <c r="Z124" s="2746"/>
      <c r="AA124" s="2746"/>
      <c r="AB124" s="2746"/>
      <c r="AC124" s="2746"/>
    </row>
    <row r="125" spans="1:29" s="422" customFormat="1" ht="15.75" thickBot="1">
      <c r="A125" s="502"/>
      <c r="B125" s="492"/>
      <c r="C125" s="509"/>
      <c r="D125" s="485"/>
      <c r="E125" s="485"/>
      <c r="F125" s="485"/>
      <c r="G125" s="509"/>
      <c r="H125" s="511"/>
      <c r="I125" s="511"/>
      <c r="J125" s="511"/>
      <c r="K125" s="511"/>
      <c r="L125" s="511"/>
      <c r="M125" s="512"/>
      <c r="N125" s="2754"/>
      <c r="O125" s="2754"/>
      <c r="P125" s="2762"/>
      <c r="Q125" s="2745"/>
      <c r="R125" s="2746"/>
      <c r="S125" s="2746"/>
      <c r="T125" s="2746"/>
      <c r="U125" s="2746"/>
      <c r="V125" s="2746"/>
      <c r="W125" s="2746"/>
      <c r="X125" s="2746"/>
      <c r="Y125" s="2746"/>
      <c r="Z125" s="2746"/>
      <c r="AA125" s="2746"/>
      <c r="AB125" s="2746"/>
      <c r="AC125" s="2746"/>
    </row>
    <row r="126" spans="1:29" ht="15" thickTop="1">
      <c r="A126" s="548"/>
      <c r="B126" s="487">
        <f>B43</f>
        <v>0</v>
      </c>
      <c r="C126" s="503"/>
      <c r="D126" s="503"/>
      <c r="E126" s="503"/>
      <c r="F126" s="503"/>
      <c r="G126" s="532"/>
      <c r="H126" s="532"/>
      <c r="I126" s="532"/>
      <c r="J126" s="532"/>
      <c r="K126" s="533"/>
      <c r="L126" s="534"/>
      <c r="M126" s="535"/>
      <c r="N126" s="2752"/>
      <c r="O126" s="2752"/>
      <c r="P126" s="2761"/>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61"/>
      <c r="Q127" s="2738"/>
      <c r="R127" s="2724"/>
      <c r="S127" s="2724"/>
      <c r="T127" s="2724"/>
      <c r="U127" s="2724"/>
      <c r="V127" s="2724"/>
      <c r="W127" s="2724"/>
      <c r="X127" s="2724"/>
      <c r="Y127" s="2724"/>
      <c r="Z127" s="2724"/>
      <c r="AA127" s="2724"/>
      <c r="AB127" s="2724"/>
      <c r="AC127" s="2724"/>
    </row>
    <row r="128" spans="1:29" ht="15" thickTop="1">
      <c r="A128" s="548"/>
      <c r="B128" s="495">
        <f>B44</f>
        <v>111</v>
      </c>
      <c r="C128" s="472"/>
      <c r="D128" s="472"/>
      <c r="E128" s="472"/>
      <c r="F128" s="472"/>
      <c r="G128" s="536"/>
      <c r="H128" s="536"/>
      <c r="I128" s="536"/>
      <c r="J128" s="536"/>
      <c r="K128" s="472"/>
      <c r="L128" s="473"/>
      <c r="M128" s="539"/>
      <c r="N128" s="2752"/>
      <c r="O128" s="2752"/>
      <c r="P128" s="2761"/>
      <c r="Q128" s="2738"/>
      <c r="R128" s="2724"/>
      <c r="S128" s="2724"/>
      <c r="T128" s="2724"/>
      <c r="U128" s="2724"/>
      <c r="V128" s="2724"/>
      <c r="W128" s="2724"/>
      <c r="X128" s="2724"/>
      <c r="Y128" s="2724"/>
      <c r="Z128" s="2724"/>
      <c r="AA128" s="2724"/>
      <c r="AB128" s="2724"/>
      <c r="AC128" s="2724"/>
    </row>
    <row r="129" spans="1:29" ht="15.75" thickBot="1">
      <c r="A129" s="1928"/>
      <c r="B129" s="518"/>
      <c r="C129" s="519"/>
      <c r="D129" s="519"/>
      <c r="E129" s="519"/>
      <c r="F129" s="519"/>
      <c r="G129" s="540"/>
      <c r="H129" s="540"/>
      <c r="I129" s="540"/>
      <c r="J129" s="540"/>
      <c r="K129" s="540"/>
      <c r="L129" s="540"/>
      <c r="M129" s="541"/>
      <c r="N129" s="2753"/>
      <c r="O129" s="2753"/>
      <c r="P129" s="2761"/>
      <c r="Q129" s="2738"/>
      <c r="R129" s="2724"/>
      <c r="S129" s="2724"/>
      <c r="T129" s="2724"/>
      <c r="U129" s="2724"/>
      <c r="V129" s="2724"/>
      <c r="W129" s="2724"/>
      <c r="X129" s="2724"/>
      <c r="Y129" s="2724"/>
      <c r="Z129" s="2724"/>
      <c r="AA129" s="2724"/>
      <c r="AB129" s="2724"/>
      <c r="AC129" s="272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31" type="noConversion"/>
  <conditionalFormatting sqref="F50 H50">
    <cfRule type="containsText" dxfId="118" priority="20" stopIfTrue="1" operator="containsText" text="超过">
      <formula>NOT(ISERROR(SEARCH("超过",F50)))</formula>
    </cfRule>
  </conditionalFormatting>
  <conditionalFormatting sqref="H52">
    <cfRule type="containsText" dxfId="117" priority="19" stopIfTrue="1" operator="containsText" text="超过">
      <formula>NOT(ISERROR(SEARCH("超过",H52)))</formula>
    </cfRule>
  </conditionalFormatting>
  <conditionalFormatting sqref="F52">
    <cfRule type="containsText" dxfId="116" priority="18" stopIfTrue="1" operator="containsText" text="超过">
      <formula>NOT(ISERROR(SEARCH("超过",F52)))</formula>
    </cfRule>
  </conditionalFormatting>
  <conditionalFormatting sqref="F51 H51">
    <cfRule type="containsText" dxfId="115" priority="17" stopIfTrue="1" operator="containsText" text="超过">
      <formula>NOT(ISERROR(SEARCH("超过",F51)))</formula>
    </cfRule>
  </conditionalFormatting>
  <conditionalFormatting sqref="E50">
    <cfRule type="expression" dxfId="114" priority="16" stopIfTrue="1">
      <formula>$F$50="超过30%"</formula>
    </cfRule>
  </conditionalFormatting>
  <conditionalFormatting sqref="E51">
    <cfRule type="expression" dxfId="113" priority="15" stopIfTrue="1">
      <formula>$F$51="超过20%"</formula>
    </cfRule>
  </conditionalFormatting>
  <conditionalFormatting sqref="E52">
    <cfRule type="expression" dxfId="112" priority="14" stopIfTrue="1">
      <formula>$F$52="超过30%"</formula>
    </cfRule>
  </conditionalFormatting>
  <conditionalFormatting sqref="G52">
    <cfRule type="expression" dxfId="111" priority="13" stopIfTrue="1">
      <formula>$H$52="超过30%"</formula>
    </cfRule>
  </conditionalFormatting>
  <conditionalFormatting sqref="G50">
    <cfRule type="expression" dxfId="110" priority="12" stopIfTrue="1">
      <formula>$H$50="超过30%"</formula>
    </cfRule>
  </conditionalFormatting>
  <conditionalFormatting sqref="G51">
    <cfRule type="expression" dxfId="109" priority="11" stopIfTrue="1">
      <formula>$H$51="超过20%"</formula>
    </cfRule>
  </conditionalFormatting>
  <conditionalFormatting sqref="J50">
    <cfRule type="containsText" dxfId="108" priority="10" stopIfTrue="1" operator="containsText" text="超过">
      <formula>NOT(ISERROR(SEARCH("超过",J50)))</formula>
    </cfRule>
  </conditionalFormatting>
  <conditionalFormatting sqref="J52">
    <cfRule type="containsText" dxfId="107" priority="9" stopIfTrue="1" operator="containsText" text="超过">
      <formula>NOT(ISERROR(SEARCH("超过",J52)))</formula>
    </cfRule>
  </conditionalFormatting>
  <conditionalFormatting sqref="J51">
    <cfRule type="containsText" dxfId="106" priority="8" stopIfTrue="1" operator="containsText" text="超过">
      <formula>NOT(ISERROR(SEARCH("超过",J51)))</formula>
    </cfRule>
  </conditionalFormatting>
  <conditionalFormatting sqref="I50">
    <cfRule type="expression" dxfId="105" priority="7" stopIfTrue="1">
      <formula>$J$50="超过30%"</formula>
    </cfRule>
  </conditionalFormatting>
  <conditionalFormatting sqref="I51">
    <cfRule type="expression" dxfId="104" priority="6" stopIfTrue="1">
      <formula>$J$50+$J$51="超过20%"</formula>
    </cfRule>
  </conditionalFormatting>
  <conditionalFormatting sqref="I52">
    <cfRule type="expression" dxfId="103" priority="5" stopIfTrue="1">
      <formula>$J$52="超过30%"</formula>
    </cfRule>
  </conditionalFormatting>
  <conditionalFormatting sqref="F46">
    <cfRule type="expression" dxfId="102" priority="4">
      <formula>$D$46="简单平均"</formula>
    </cfRule>
  </conditionalFormatting>
  <conditionalFormatting sqref="H46">
    <cfRule type="expression" dxfId="101" priority="3">
      <formula>$D$46="简单平均"</formula>
    </cfRule>
  </conditionalFormatting>
  <conditionalFormatting sqref="J46">
    <cfRule type="expression" dxfId="100" priority="2">
      <formula>$D$46="简单平均"</formula>
    </cfRule>
  </conditionalFormatting>
  <conditionalFormatting sqref="F7:F44 H7:H44 J7:J44">
    <cfRule type="cellIs" dxfId="99" priority="1" operator="notEqual">
      <formula>100</formula>
    </cfRule>
  </conditionalFormatting>
  <dataValidations count="23">
    <dataValidation type="list" allowBlank="1" showInputMessage="1" showErrorMessage="1" sqref="C32 G32 E32 I32">
      <formula1>办公建筑结构</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G20 E20 I20">
      <formula1>公共配套设施</formula1>
    </dataValidation>
    <dataValidation type="list" allowBlank="1" showInputMessage="1" showErrorMessage="1" sqref="C41 E41 G41 I41">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G16 E16 I16">
      <formula1>办公集聚程度</formula1>
    </dataValidation>
    <dataValidation type="list" allowBlank="1" showInputMessage="1" showErrorMessage="1" sqref="G26 C26 E26 I26">
      <formula1>办公道路级别</formula1>
    </dataValidation>
    <dataValidation type="list" allowBlank="1" showInputMessage="1" showErrorMessage="1" sqref="C30 I30 G30 E30">
      <formula1>办公建筑类型</formula1>
    </dataValidation>
    <dataValidation type="list" allowBlank="1" showInputMessage="1" showErrorMessage="1" sqref="C33 G33 E33 I33">
      <formula1>办公公共部分装修</formula1>
    </dataValidation>
    <dataValidation type="list" allowBlank="1" showInputMessage="1" showErrorMessage="1" sqref="C35 E35 G35 I35">
      <formula1>写字楼等级</formula1>
    </dataValidation>
    <dataValidation type="list" allowBlank="1" showInputMessage="1" showErrorMessage="1" sqref="C36 E36 G36 I36">
      <formula1>办公物业管理</formula1>
    </dataValidation>
    <dataValidation type="list" allowBlank="1" showInputMessage="1" showErrorMessage="1" sqref="C37 G37 E37 I37">
      <formula1>办公基础设施水平</formula1>
    </dataValidation>
    <dataValidation type="list" allowBlank="1" showInputMessage="1" showErrorMessage="1" sqref="C38 G38 E38 I38">
      <formula1>办公层高</formula1>
    </dataValidation>
    <dataValidation type="list" allowBlank="1" showInputMessage="1" showErrorMessage="1" sqref="C40 G40 E40 I40">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27162.899999999998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3"/>
      <c r="M5" s="914"/>
      <c r="N5" s="914"/>
      <c r="O5" s="914"/>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3"/>
      <c r="M6" s="914"/>
      <c r="N6" s="914"/>
      <c r="O6" s="914"/>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45022</v>
      </c>
      <c r="D7" s="365">
        <v>100</v>
      </c>
      <c r="E7" s="366"/>
      <c r="F7" s="367">
        <f>SUMIF(52:52,YEAR(E7)&amp;"-"&amp;MONTH(E7),53:53)</f>
        <v>0</v>
      </c>
      <c r="G7" s="366"/>
      <c r="H7" s="365">
        <f>SUMIF(52:52,YEAR(G7)&amp;"-"&amp;MONTH(G7),53:53)</f>
        <v>0</v>
      </c>
      <c r="I7" s="366"/>
      <c r="J7" s="365">
        <f>SUMIF(52:52,YEAR(I7)&amp;"-"&amp;MONTH(I7),53:53)</f>
        <v>0</v>
      </c>
      <c r="K7" s="560"/>
      <c r="L7" s="915"/>
      <c r="M7" s="916"/>
      <c r="N7" s="916"/>
      <c r="O7" s="9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6" t="s">
        <v>1683</v>
      </c>
      <c r="Q8" s="3747"/>
      <c r="R8" s="701" t="s">
        <v>14</v>
      </c>
      <c r="S8" s="702">
        <f t="shared" si="0"/>
        <v>100</v>
      </c>
      <c r="T8" s="701" t="s">
        <v>14</v>
      </c>
      <c r="U8" s="702">
        <f t="shared" si="1"/>
        <v>100</v>
      </c>
      <c r="V8" s="701" t="s">
        <v>14</v>
      </c>
      <c r="W8" s="702">
        <f t="shared" si="2"/>
        <v>100</v>
      </c>
      <c r="X8" s="703"/>
      <c r="Y8" s="3746" t="s">
        <v>1683</v>
      </c>
      <c r="Z8" s="37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0"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估价对象为北京市房地产,属开发建设的，该项目尚在开发建设中。根据《国有土地使用证》[]，估价对象（分摊）出让国有建设用地使用权面积为8298.76平方米，规划建筑面积为27162.9平方米。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4"/>
      <c r="M5" s="2715"/>
      <c r="N5" s="2715"/>
      <c r="O5" s="2715"/>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4"/>
      <c r="M6" s="2715"/>
      <c r="N6" s="2715"/>
      <c r="O6" s="2715"/>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45022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3"/>
      <c r="Q17" s="1352"/>
      <c r="R17" s="705"/>
      <c r="S17" s="706"/>
      <c r="T17" s="705"/>
      <c r="U17" s="706"/>
      <c r="V17" s="705"/>
      <c r="W17" s="706"/>
      <c r="X17" s="1355"/>
      <c r="Y17" s="371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3"/>
      <c r="Q19" s="1352"/>
      <c r="R19" s="705"/>
      <c r="S19" s="706"/>
      <c r="T19" s="705"/>
      <c r="U19" s="706"/>
      <c r="V19" s="705"/>
      <c r="W19" s="706"/>
      <c r="X19" s="1355"/>
      <c r="Y19" s="3713"/>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3"/>
      <c r="Q21" s="1352"/>
      <c r="R21" s="705"/>
      <c r="S21" s="706"/>
      <c r="T21" s="705"/>
      <c r="U21" s="706"/>
      <c r="V21" s="705"/>
      <c r="W21" s="706"/>
      <c r="X21" s="1355"/>
      <c r="Y21" s="371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1843</v>
      </c>
      <c r="B37" s="1972" t="s">
        <v>3360</v>
      </c>
      <c r="C37" s="1154" t="s">
        <v>0</v>
      </c>
      <c r="D37" s="1155"/>
      <c r="E37" s="1156"/>
      <c r="F37" s="1157"/>
      <c r="G37" s="1158"/>
      <c r="H37" s="1159"/>
      <c r="I37" s="1156"/>
      <c r="J37" s="1159"/>
      <c r="K37" s="568"/>
      <c r="L37" s="2723"/>
      <c r="M37" s="2724"/>
      <c r="N37" s="2715"/>
      <c r="O37" s="2724"/>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7" t="str">
        <f>A39</f>
        <v>估价对象XX用房的比较价值（楼面单价，元/平方米）</v>
      </c>
      <c r="Q39" s="3708"/>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4"/>
      <c r="M5" s="2715"/>
      <c r="N5" s="2715"/>
      <c r="O5" s="2715"/>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4"/>
      <c r="M6" s="2715"/>
      <c r="N6" s="2715"/>
      <c r="O6" s="2715"/>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45022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3"/>
      <c r="Q17" s="1352"/>
      <c r="R17" s="705"/>
      <c r="S17" s="706"/>
      <c r="T17" s="705"/>
      <c r="U17" s="706"/>
      <c r="V17" s="705"/>
      <c r="W17" s="706"/>
      <c r="X17" s="1355"/>
      <c r="Y17" s="371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3"/>
      <c r="Q19" s="1352"/>
      <c r="R19" s="705"/>
      <c r="S19" s="706"/>
      <c r="T19" s="705"/>
      <c r="U19" s="706"/>
      <c r="V19" s="705"/>
      <c r="W19" s="706"/>
      <c r="X19" s="1355"/>
      <c r="Y19" s="3713"/>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3"/>
      <c r="Q21" s="1352"/>
      <c r="R21" s="705"/>
      <c r="S21" s="706"/>
      <c r="T21" s="705"/>
      <c r="U21" s="706"/>
      <c r="V21" s="705"/>
      <c r="W21" s="706"/>
      <c r="X21" s="1355"/>
      <c r="Y21" s="371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7" t="str">
        <f>A37</f>
        <v>估价对象XX用房的比较价值（楼面单价，元/平方米）</v>
      </c>
      <c r="Q37" s="3708"/>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4"/>
      <c r="M5" s="2715"/>
      <c r="N5" s="2715"/>
      <c r="O5" s="2715"/>
      <c r="P5" s="3731"/>
      <c r="Q5" s="3732"/>
      <c r="R5" s="3737"/>
      <c r="S5" s="3738"/>
      <c r="T5" s="3737"/>
      <c r="U5" s="3738"/>
      <c r="V5" s="3741"/>
      <c r="W5" s="3741"/>
      <c r="X5" s="1355"/>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4"/>
      <c r="M6" s="2715"/>
      <c r="N6" s="2715"/>
      <c r="O6" s="2715"/>
      <c r="P6" s="3733"/>
      <c r="Q6" s="3734"/>
      <c r="R6" s="3737"/>
      <c r="S6" s="3738"/>
      <c r="T6" s="3739"/>
      <c r="U6" s="3740"/>
      <c r="V6" s="3741"/>
      <c r="W6" s="3741"/>
      <c r="X6" s="1355"/>
      <c r="Y6" s="3739"/>
      <c r="Z6" s="3740"/>
      <c r="AA6" s="3724"/>
      <c r="AB6" s="3724"/>
      <c r="AC6" s="3724"/>
    </row>
    <row r="7" spans="1:30" s="108" customFormat="1" ht="15.75" thickBot="1">
      <c r="A7" s="362" t="s">
        <v>1679</v>
      </c>
      <c r="B7" s="363"/>
      <c r="C7" s="364">
        <f>'数据-取费表'!B2</f>
        <v>45022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8"/>
      <c r="M10" s="2719"/>
      <c r="N10" s="2719"/>
      <c r="O10" s="2772"/>
      <c r="P10" s="3710"/>
      <c r="Q10" s="1343" t="str">
        <f t="shared" si="6"/>
        <v>土地使用年限（年）</v>
      </c>
      <c r="R10" s="701" t="s">
        <v>14</v>
      </c>
      <c r="S10" s="702">
        <f t="shared" si="0"/>
        <v>132</v>
      </c>
      <c r="T10" s="701" t="s">
        <v>14</v>
      </c>
      <c r="U10" s="702">
        <f t="shared" si="1"/>
        <v>132</v>
      </c>
      <c r="V10" s="701" t="s">
        <v>14</v>
      </c>
      <c r="W10" s="702">
        <f t="shared" si="2"/>
        <v>132</v>
      </c>
      <c r="X10" s="703"/>
      <c r="Y10" s="3585"/>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0"/>
      <c r="Q12" s="1343" t="str">
        <f t="shared" si="6"/>
        <v>配建</v>
      </c>
      <c r="R12" s="701" t="s">
        <v>14</v>
      </c>
      <c r="S12" s="702">
        <f t="shared" si="0"/>
        <v>100</v>
      </c>
      <c r="T12" s="701" t="s">
        <v>14</v>
      </c>
      <c r="U12" s="702">
        <f t="shared" si="1"/>
        <v>100</v>
      </c>
      <c r="V12" s="701" t="s">
        <v>14</v>
      </c>
      <c r="W12" s="702">
        <f t="shared" si="2"/>
        <v>100</v>
      </c>
      <c r="X12" s="703"/>
      <c r="Y12" s="35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3"/>
      <c r="Q20" s="1352"/>
      <c r="R20" s="705"/>
      <c r="S20" s="706"/>
      <c r="T20" s="705"/>
      <c r="U20" s="706"/>
      <c r="V20" s="705"/>
      <c r="W20" s="706"/>
      <c r="X20" s="1355"/>
      <c r="Y20" s="3713"/>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3"/>
      <c r="Q24" s="1352"/>
      <c r="R24" s="705"/>
      <c r="S24" s="706"/>
      <c r="T24" s="705"/>
      <c r="U24" s="706"/>
      <c r="V24" s="705"/>
      <c r="W24" s="706"/>
      <c r="X24" s="1355"/>
      <c r="Y24" s="3713"/>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13"/>
      <c r="Q28" s="1343"/>
      <c r="R28" s="701"/>
      <c r="S28" s="702"/>
      <c r="T28" s="701"/>
      <c r="U28" s="702"/>
      <c r="V28" s="701"/>
      <c r="W28" s="702"/>
      <c r="X28" s="703"/>
      <c r="Y28" s="371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3"/>
      <c r="Q33" s="1352"/>
      <c r="R33" s="705"/>
      <c r="S33" s="706"/>
      <c r="T33" s="705"/>
      <c r="U33" s="706"/>
      <c r="V33" s="705"/>
      <c r="W33" s="706"/>
      <c r="X33" s="1355"/>
      <c r="Y33" s="371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0"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3"/>
      <c r="M46" s="2724"/>
      <c r="N46" s="2715"/>
      <c r="O46" s="2724"/>
      <c r="P46" s="3710" t="str">
        <f>A46</f>
        <v>成交单价</v>
      </c>
      <c r="Q46" s="3710"/>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0" t="str">
        <f>A47</f>
        <v>比较价值（元/平方米）</v>
      </c>
      <c r="Q47" s="3710"/>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07" t="str">
        <f>A48</f>
        <v>估价对象XX用房的比较价值（楼面单价，元/平方米）</v>
      </c>
      <c r="Q48" s="3708"/>
      <c r="R48" s="3773" t="e">
        <f>ROUND(IF(D47="简单平均",AVERAGE(R47:W47),R47*F47+T47*H47+V47*J47),0)</f>
        <v>#DIV/0!</v>
      </c>
      <c r="S48" s="3773"/>
      <c r="T48" s="3773"/>
      <c r="U48" s="3773"/>
      <c r="V48" s="3773"/>
      <c r="W48" s="377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5" t="s">
        <v>1886</v>
      </c>
      <c r="H55" s="3774"/>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23525.599999999999</v>
      </c>
      <c r="F56" s="886" t="e">
        <f t="shared" ref="F56:F64" si="15">ROUND(B56*E56/10000,0)</f>
        <v>#DIV/0!</v>
      </c>
      <c r="G56" s="3721"/>
      <c r="H56" s="371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0.7</v>
      </c>
      <c r="D57" s="945">
        <v>0.25</v>
      </c>
      <c r="E57" s="642"/>
      <c r="F57" s="886" t="e">
        <f t="shared" si="15"/>
        <v>#DIV/0!</v>
      </c>
      <c r="G57" s="3005" t="s">
        <v>1891</v>
      </c>
      <c r="H57" s="887" t="str">
        <f>项目基本情况!B37</f>
        <v>二级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0.4</v>
      </c>
      <c r="D58" s="945">
        <v>0.25</v>
      </c>
      <c r="E58" s="642"/>
      <c r="F58" s="886" t="e">
        <f t="shared" si="15"/>
        <v>#DIV/0!</v>
      </c>
      <c r="G58" s="3006"/>
      <c r="H58" s="887" t="str">
        <f>项目基本情况!B37</f>
        <v>二级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0.3</v>
      </c>
      <c r="D59" s="945">
        <v>0.25</v>
      </c>
      <c r="E59" s="642"/>
      <c r="F59" s="886" t="e">
        <f t="shared" si="15"/>
        <v>#DIV/0!</v>
      </c>
      <c r="G59" s="3006"/>
      <c r="H59" s="887" t="str">
        <f>项目基本情况!B37</f>
        <v>二级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0.2</v>
      </c>
      <c r="D63" s="945">
        <v>0.25</v>
      </c>
      <c r="E63" s="217">
        <f>'数据-汇总表'!E14</f>
        <v>0</v>
      </c>
      <c r="F63" s="886" t="e">
        <f t="shared" si="15"/>
        <v>#DIV/0!</v>
      </c>
      <c r="G63" s="1986" t="s">
        <v>1891</v>
      </c>
      <c r="H63" s="887" t="str">
        <f>项目基本情况!B37</f>
        <v>二级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23525.599999999999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4"/>
      <c r="M5" s="2715"/>
      <c r="N5" s="2715"/>
      <c r="O5" s="2715"/>
      <c r="P5" s="3731"/>
      <c r="Q5" s="3732"/>
      <c r="R5" s="3737"/>
      <c r="S5" s="3738"/>
      <c r="T5" s="3737"/>
      <c r="U5" s="3738"/>
      <c r="V5" s="3741"/>
      <c r="W5" s="3741"/>
      <c r="X5" s="1355"/>
      <c r="Y5" s="3737"/>
      <c r="Z5" s="3738"/>
      <c r="AA5" s="3723"/>
      <c r="AB5" s="3723"/>
      <c r="AC5" s="3723"/>
    </row>
    <row r="6" spans="1:29" ht="15.75" thickBot="1">
      <c r="A6" s="360"/>
      <c r="B6" s="361"/>
      <c r="C6" s="3775" t="s">
        <v>1918</v>
      </c>
      <c r="D6" s="3776"/>
      <c r="E6" s="3777" t="s">
        <v>1918</v>
      </c>
      <c r="F6" s="3778"/>
      <c r="G6" s="3775" t="s">
        <v>1918</v>
      </c>
      <c r="H6" s="3776"/>
      <c r="I6" s="3775" t="s">
        <v>1918</v>
      </c>
      <c r="J6" s="3776"/>
      <c r="K6" s="559" t="s">
        <v>1678</v>
      </c>
      <c r="L6" s="2714"/>
      <c r="M6" s="2715"/>
      <c r="N6" s="2715"/>
      <c r="O6" s="2715"/>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45022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8"/>
      <c r="M10" s="2719"/>
      <c r="N10" s="2719"/>
      <c r="O10" s="2772"/>
      <c r="P10" s="3710"/>
      <c r="Q10" s="1343" t="str">
        <f t="shared" si="6"/>
        <v>土地使用年限（年）</v>
      </c>
      <c r="R10" s="701" t="s">
        <v>14</v>
      </c>
      <c r="S10" s="702">
        <f t="shared" si="0"/>
        <v>132</v>
      </c>
      <c r="T10" s="701" t="s">
        <v>14</v>
      </c>
      <c r="U10" s="702">
        <f t="shared" si="1"/>
        <v>132</v>
      </c>
      <c r="V10" s="701" t="s">
        <v>14</v>
      </c>
      <c r="W10" s="702">
        <f t="shared" si="2"/>
        <v>132</v>
      </c>
      <c r="X10" s="703"/>
      <c r="Y10" s="3585"/>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3"/>
      <c r="Q20" s="1352"/>
      <c r="R20" s="705"/>
      <c r="S20" s="706"/>
      <c r="T20" s="705"/>
      <c r="U20" s="706"/>
      <c r="V20" s="705"/>
      <c r="W20" s="706"/>
      <c r="X20" s="1355"/>
      <c r="Y20" s="371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3"/>
      <c r="Q29" s="1352"/>
      <c r="R29" s="705"/>
      <c r="S29" s="706"/>
      <c r="T29" s="705"/>
      <c r="U29" s="706"/>
      <c r="V29" s="705"/>
      <c r="W29" s="706"/>
      <c r="X29" s="1355"/>
      <c r="Y29" s="371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0"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3"/>
      <c r="M41" s="2715"/>
      <c r="N41" s="2715"/>
      <c r="O41" s="2724"/>
      <c r="P41" s="3710" t="str">
        <f>A41</f>
        <v>成交单价</v>
      </c>
      <c r="Q41" s="3710"/>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0" t="str">
        <f>A42</f>
        <v>比较价值（元/平方米）</v>
      </c>
      <c r="Q42" s="3710"/>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73" t="e">
        <f>ROUND(IF(D42="简单平均",AVERAGE(R42:W42),R42*F42+T42*H42+V42*J42),0)</f>
        <v>#DIV/0!</v>
      </c>
      <c r="S43" s="3773"/>
      <c r="T43" s="3773"/>
      <c r="U43" s="3773"/>
      <c r="V43" s="3773"/>
      <c r="W43" s="377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5" t="s">
        <v>1886</v>
      </c>
      <c r="H50" s="3774"/>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23525.599999999999</v>
      </c>
      <c r="F51" s="639" t="e">
        <f t="shared" ref="F51:F60" si="15">ROUND(B51*E51/10000,0)</f>
        <v>#DIV/0!</v>
      </c>
      <c r="G51" s="3721"/>
      <c r="H51" s="371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0.7</v>
      </c>
      <c r="D52" s="945">
        <v>0.25</v>
      </c>
      <c r="E52" s="642"/>
      <c r="F52" s="639" t="e">
        <f t="shared" si="15"/>
        <v>#DIV/0!</v>
      </c>
      <c r="G52" s="3005" t="s">
        <v>1891</v>
      </c>
      <c r="H52" s="887" t="str">
        <f>项目基本情况!B37</f>
        <v>二级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0.4</v>
      </c>
      <c r="D53" s="945">
        <v>0.25</v>
      </c>
      <c r="E53" s="642"/>
      <c r="F53" s="639" t="e">
        <f t="shared" si="15"/>
        <v>#DIV/0!</v>
      </c>
      <c r="G53" s="3006"/>
      <c r="H53" s="887" t="str">
        <f>项目基本情况!B37</f>
        <v>二级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0.3</v>
      </c>
      <c r="D54" s="945">
        <v>0.25</v>
      </c>
      <c r="E54" s="642"/>
      <c r="F54" s="639" t="e">
        <f t="shared" si="15"/>
        <v>#DIV/0!</v>
      </c>
      <c r="G54" s="3006"/>
      <c r="H54" s="887" t="str">
        <f>项目基本情况!B37</f>
        <v>二级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0.2</v>
      </c>
      <c r="D59" s="945">
        <v>0.25</v>
      </c>
      <c r="E59" s="217">
        <f>'数据-汇总表'!E14</f>
        <v>0</v>
      </c>
      <c r="F59" s="639" t="e">
        <f t="shared" si="15"/>
        <v>#DIV/0!</v>
      </c>
      <c r="G59" s="1986" t="s">
        <v>1891</v>
      </c>
      <c r="H59" s="887" t="str">
        <f>项目基本情况!B37</f>
        <v>二级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8298.76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2" t="s">
        <v>2083</v>
      </c>
      <c r="D1" s="3783"/>
      <c r="E1" s="3783"/>
      <c r="F1" s="3783"/>
      <c r="G1" s="3783"/>
      <c r="H1" s="3783"/>
      <c r="I1" s="3783"/>
      <c r="J1" s="3783"/>
      <c r="K1" s="3783"/>
      <c r="L1" s="3783"/>
      <c r="M1" s="3783"/>
      <c r="N1" s="3783"/>
      <c r="O1" s="3783"/>
      <c r="P1" s="3783"/>
      <c r="Q1" s="3783"/>
      <c r="R1" s="3783"/>
      <c r="S1" s="378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65734</v>
      </c>
      <c r="C2" s="2144" t="s">
        <v>2073</v>
      </c>
      <c r="D2" s="2144" t="s">
        <v>2074</v>
      </c>
      <c r="E2" s="2611">
        <f ca="1">SUMIF(E6:E13,"&lt;&gt;#ref!",E6:E13)</f>
        <v>26440.1</v>
      </c>
      <c r="F2" s="2792"/>
      <c r="G2" s="2792"/>
      <c r="H2" s="2792"/>
      <c r="I2" s="2792"/>
      <c r="J2" s="2792"/>
      <c r="K2" s="2792"/>
      <c r="L2" s="2792"/>
      <c r="M2" s="2792"/>
      <c r="N2" s="2792"/>
      <c r="O2" s="2792"/>
      <c r="P2" s="2792"/>
    </row>
    <row r="3" spans="1:16" ht="15.75">
      <c r="A3" s="2144" t="s">
        <v>2075</v>
      </c>
      <c r="B3" s="2601">
        <f ca="1">ROUND(B2*10000/E2,0)</f>
        <v>24861</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65734</v>
      </c>
      <c r="C6" s="2144" t="s">
        <v>2073</v>
      </c>
      <c r="D6" s="2792"/>
      <c r="E6" s="2611">
        <f ca="1">SUMIF(INDIRECT("'"&amp;A6&amp;"'"&amp;"!C:C"),"建筑面积",INDIRECT("'"&amp;A6&amp;"'"&amp;"!D:D"))</f>
        <v>26440.1</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29" sqref="D2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26440.1</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65734</v>
      </c>
      <c r="C2" s="1998" t="s">
        <v>1934</v>
      </c>
      <c r="D2" s="1999" t="s">
        <v>1935</v>
      </c>
      <c r="E2" s="3421" t="s">
        <v>673</v>
      </c>
      <c r="F2" s="1999" t="s">
        <v>1936</v>
      </c>
      <c r="G2" s="2000" t="str">
        <f>IF(E2="商业",项目基本情况!B37,IF(E2="办公",项目基本情况!C37,IF(E2="住宅",项目基本情况!D37,IF(E2="工业",项目基本情况!E37,项目基本情况!F37))))</f>
        <v>二级</v>
      </c>
      <c r="H2" s="1999" t="s">
        <v>1937</v>
      </c>
      <c r="I2" s="2000" t="str">
        <f>IF(E2="商业",项目基本情况!B38,IF(E2="办公",项目基本情况!C38,IF(E2="住宅",项目基本情况!D38,IF(E2="工业",项目基本情况!E38,项目基本情况!F38))))</f>
        <v>Ⅱ—04</v>
      </c>
      <c r="J2" s="2001"/>
      <c r="K2" s="1119"/>
      <c r="L2" s="2002" t="s">
        <v>1938</v>
      </c>
      <c r="M2" s="864">
        <f>SUMPRODUCT((区片价!B10:B29=I2)*(区片价!C3:G3=E2)*(区片价!C10:G29))</f>
        <v>29680</v>
      </c>
      <c r="N2" s="866">
        <f>SUMPRODUCT((因素修正幅度!B10:B29=I2)*(因素修正幅度!C3:G3=E2)*(因素修正幅度!C10:G29))</f>
        <v>9.7000000000000003E-2</v>
      </c>
      <c r="O2" s="1119"/>
      <c r="P2" s="1119"/>
      <c r="Q2" s="1119"/>
      <c r="R2" s="1212">
        <v>1</v>
      </c>
      <c r="S2" s="3360">
        <f>ROUND(SUMPRODUCT((B106:B110=R2)*(C105:N105=G2)*(C106:N110)),4)</f>
        <v>1.5206</v>
      </c>
      <c r="T2" s="3360">
        <f t="shared" ref="T2:T16" si="0">ROUND($C$5*$C$22*$C$23*$C$24*S2*$C$28,0)</f>
        <v>38300</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24861</v>
      </c>
      <c r="C3" s="1998" t="s">
        <v>1940</v>
      </c>
      <c r="D3" s="1999" t="s">
        <v>1941</v>
      </c>
      <c r="E3" s="3419" t="s">
        <v>2441</v>
      </c>
      <c r="F3" s="2003" t="s">
        <v>3387</v>
      </c>
      <c r="G3" s="752">
        <f>IF(F3="宗地容积率",'数据-汇总表'!I4,IF(F3="估价对象容积率",'数据-汇总表'!I6,'数据-汇总表'!I7))</f>
        <v>2.92</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30406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92"/>
      <c r="B4" s="3793"/>
      <c r="C4" s="3793"/>
      <c r="D4" s="3794"/>
      <c r="E4" s="3794"/>
      <c r="F4" s="3794"/>
      <c r="G4" s="3794"/>
      <c r="H4" s="3794"/>
      <c r="I4" s="3794"/>
      <c r="J4" s="3795"/>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26273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29663</v>
      </c>
      <c r="D5" s="1339">
        <f>ROUND(C6*C17+C20,0)</f>
        <v>29663</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23775</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29680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22659</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二级</v>
      </c>
      <c r="Y7" s="1214" t="s">
        <v>1955</v>
      </c>
      <c r="Z7" s="1215">
        <f>G3</f>
        <v>2.92</v>
      </c>
      <c r="AA7" s="1216"/>
      <c r="AB7" s="1216"/>
      <c r="AC7" s="1217"/>
      <c r="AD7" s="1218"/>
      <c r="AE7" s="1218"/>
      <c r="AF7" s="1218"/>
      <c r="AG7" s="1218"/>
      <c r="AH7" s="1218"/>
      <c r="AI7" s="1218"/>
      <c r="AJ7" s="1219"/>
    </row>
    <row r="8" spans="1:36" ht="25.5">
      <c r="A8" s="3298"/>
      <c r="B8" s="170" t="s">
        <v>1956</v>
      </c>
      <c r="C8" s="2025" t="s">
        <v>3388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9" t="s">
        <v>1959</v>
      </c>
      <c r="X8" s="379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91"/>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9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1984</v>
      </c>
      <c r="C14" s="2040" t="s">
        <v>1985</v>
      </c>
      <c r="D14" s="1350" t="s">
        <v>1986</v>
      </c>
      <c r="E14" s="27" t="s">
        <v>1987</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6" t="s">
        <v>3260</v>
      </c>
      <c r="B20" s="167" t="s">
        <v>1993</v>
      </c>
      <c r="C20" s="3324">
        <f>ROUND(IF(F21="与级别开发程度一致",0,(G21-E21)/C21),0)</f>
        <v>-17</v>
      </c>
      <c r="D20" s="3340" t="s">
        <v>1997</v>
      </c>
      <c r="E20" s="3341"/>
      <c r="F20" s="3802" t="s">
        <v>1994</v>
      </c>
      <c r="G20" s="3803"/>
      <c r="H20" s="3325" t="s">
        <v>3390</v>
      </c>
      <c r="I20" s="3325" t="s">
        <v>3391</v>
      </c>
      <c r="J20" s="3326" t="s">
        <v>3392</v>
      </c>
      <c r="K20" s="2046" t="s">
        <v>3393</v>
      </c>
      <c r="L20" s="2046" t="s">
        <v>3394</v>
      </c>
      <c r="M20" s="2046" t="s">
        <v>3395</v>
      </c>
      <c r="N20" s="2046" t="s">
        <v>3396</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7"/>
      <c r="B21" s="2163" t="s">
        <v>1996</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3389</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2001</v>
      </c>
      <c r="E23" s="761">
        <v>44197</v>
      </c>
      <c r="F23" s="2053" t="s">
        <v>2002</v>
      </c>
      <c r="G23" s="762">
        <f>'数据-取费表'!B2</f>
        <v>45022</v>
      </c>
      <c r="H23" s="3342" t="s">
        <v>3262</v>
      </c>
      <c r="I23" s="3343" t="str">
        <f>IF(H23="季度增幅（自定义）",SUMIF(N25:N28,E2,O25:O28),"")</f>
        <v/>
      </c>
      <c r="J23" s="3445" t="s">
        <v>3261</v>
      </c>
      <c r="K23" s="1125"/>
      <c r="L23" s="2054" t="s">
        <v>2003</v>
      </c>
      <c r="M23" s="1328">
        <f>ROUND(SUMIF(地价!B2:G2,E2,地价!B16:G16),0)</f>
        <v>350</v>
      </c>
      <c r="N23" s="2055" t="s">
        <v>2004</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0.77610000000000001</v>
      </c>
      <c r="D24" s="2059" t="s">
        <v>2006</v>
      </c>
      <c r="E24" s="1335">
        <f>存贷款利率!E22/100</f>
        <v>4.3499999999999997E-2</v>
      </c>
      <c r="F24" s="2059" t="s">
        <v>1998</v>
      </c>
      <c r="G24" s="768">
        <f>SUMIF(M30:Q30,E2,M33:Q33)</f>
        <v>5.5E-2</v>
      </c>
      <c r="H24" s="2059" t="s">
        <v>2007</v>
      </c>
      <c r="I24" s="769">
        <f>SUMIF('数据-取费表'!C6:C15,E2,'数据-取费表'!F6:F15)/COUNTIF('数据-取费表'!C6:C15,E2)</f>
        <v>21.57</v>
      </c>
      <c r="J24" s="770">
        <f>IF(E2="住宅",70,IF(E2="商业",40,50))</f>
        <v>40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1.0226</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4" t="s">
        <v>3263</v>
      </c>
      <c r="D26" s="1352">
        <f>IF(E26=G26,F26,IF(G3&lt;10,ROUND(F26+(H26-F26)*(G3-E26)/(G26-E26),4),"——"))</f>
        <v>1.0226</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1.0235000000000001</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1.0190999999999999</v>
      </c>
      <c r="I26" s="3344" t="s">
        <v>3264</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1.0672999999999999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65734</v>
      </c>
      <c r="D30" s="2082"/>
      <c r="E30" s="2045"/>
      <c r="F30" s="2083"/>
      <c r="G30" s="2045"/>
      <c r="H30" s="2045"/>
      <c r="I30" s="2045"/>
      <c r="J30" s="2084"/>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1285</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25757</v>
      </c>
      <c r="D33" s="2097">
        <f>'数据-基础表'!I13</f>
        <v>23525.599999999999</v>
      </c>
      <c r="E33" s="773">
        <f>ROUND(C33*D33/10000,0)</f>
        <v>60595</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6439</v>
      </c>
      <c r="D34" s="2102"/>
      <c r="E34" s="773">
        <f>ROUND(IF(B25="楼层修正",SUM(V2:V16)*M40,C34*D34/10000),0)</f>
        <v>0</v>
      </c>
      <c r="F34" s="2103" t="s">
        <v>2031</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0"/>
      <c r="B37" s="2112" t="s">
        <v>2035</v>
      </c>
      <c r="C37" s="175">
        <f>ROUND(D5*C22*C23*C24*C28*F37,0)</f>
        <v>17631</v>
      </c>
      <c r="D37" s="2097">
        <f>'数据-基础表'!K13</f>
        <v>2914.5</v>
      </c>
      <c r="E37" s="171">
        <f>ROUND(C37*D37/10000,0)</f>
        <v>5139</v>
      </c>
      <c r="F37" s="171">
        <f>SUMIF(修正!A57:A68,G2,修正!B57:B68)</f>
        <v>0.7</v>
      </c>
      <c r="G37" s="171">
        <f>ROUND(IF(E2="工业",C37*$M$42,C37*$M$41),0)</f>
        <v>4408</v>
      </c>
      <c r="H37" s="171">
        <f>D37</f>
        <v>2914.5</v>
      </c>
      <c r="I37" s="171">
        <f>ROUND(G37*H37/10000,0)</f>
        <v>1285</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1"/>
      <c r="B38" s="2040" t="s">
        <v>2036</v>
      </c>
      <c r="C38" s="175">
        <f>ROUND(D5*C22*C23*C24*C28*F38,0)</f>
        <v>10075</v>
      </c>
      <c r="D38" s="2097"/>
      <c r="E38" s="171">
        <f t="shared" ref="E38:E42" si="4">ROUND(C38*D38/10000,0)</f>
        <v>0</v>
      </c>
      <c r="F38" s="171">
        <f>SUMIF(修正!A57:A68,G2,修正!C57:C68)</f>
        <v>0.4</v>
      </c>
      <c r="G38" s="171">
        <f>ROUND(IF(E2="工业",C38*$M$42,C38*$M$41),0)</f>
        <v>2519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1"/>
      <c r="B39" s="2040" t="s">
        <v>3265</v>
      </c>
      <c r="C39" s="175">
        <f>ROUND(D5*C22*C23*C24*C28*F39,0)</f>
        <v>7556</v>
      </c>
      <c r="D39" s="2097"/>
      <c r="E39" s="171">
        <f t="shared" si="4"/>
        <v>0</v>
      </c>
      <c r="F39" s="171">
        <f>SUMIF(修正!A57:A68,G2,修正!D57:D68)</f>
        <v>0.3</v>
      </c>
      <c r="G39" s="171">
        <f>ROUND(IF(E2="工业",C39*$M$42,C39*$M$41),0)</f>
        <v>1889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7556</v>
      </c>
      <c r="D40" s="2097"/>
      <c r="E40" s="171">
        <f t="shared" si="4"/>
        <v>0</v>
      </c>
      <c r="F40" s="175">
        <f>SUMIF(修正!A57:A68,G2,修正!E57:E68)</f>
        <v>0.3</v>
      </c>
      <c r="G40" s="171">
        <f>ROUND(IF(E2="工业",C40*$M$42,C40*$M$41),0)</f>
        <v>1889</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7161</v>
      </c>
      <c r="D41" s="2097"/>
      <c r="E41" s="171">
        <f t="shared" si="4"/>
        <v>0</v>
      </c>
      <c r="F41" s="175">
        <f>SUMIF(修正!A57:A68,G2,修正!F57:F68)</f>
        <v>0.3</v>
      </c>
      <c r="G41" s="171">
        <f>ROUND(IF(E2="工业",C41*$M$42,C41*$M$41),0)</f>
        <v>1790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4774</v>
      </c>
      <c r="D42" s="2102"/>
      <c r="E42" s="187">
        <f t="shared" si="4"/>
        <v>0</v>
      </c>
      <c r="F42" s="767">
        <f>SUMIF(修正!A57:A68,G2,修正!G57:G68)</f>
        <v>0.2</v>
      </c>
      <c r="G42" s="187">
        <f>ROUND(IF(E2="工业",C42*$M$42,C42*$M$41),0)</f>
        <v>1194</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0.73550000000000004</v>
      </c>
      <c r="D44" s="171" t="s">
        <v>1998</v>
      </c>
      <c r="E44" s="2152">
        <f>G24</f>
        <v>5.5E-2</v>
      </c>
      <c r="F44" s="171" t="s">
        <v>2007</v>
      </c>
      <c r="G44" s="183">
        <f>I24</f>
        <v>21.57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1.0672999999999999</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t="s">
        <v>3405</v>
      </c>
      <c r="D50" s="1065">
        <f t="shared" ref="D50:D58" si="7">SUMIF($J$49:$N$49,C50,J50:N50)</f>
        <v>1.4500000000000001E-2</v>
      </c>
      <c r="E50" s="744">
        <f>ROUND(SUM(D50:D58),4)</f>
        <v>6.7299999999999999E-2</v>
      </c>
      <c r="F50" s="1814">
        <f>IF(E2="商业",SUMIF(L1:L12,G2,N1:N12),"——")</f>
        <v>9.7000000000000003E-2</v>
      </c>
      <c r="G50" s="1063">
        <v>1.4500000000000001E-2</v>
      </c>
      <c r="H50" s="1066">
        <f t="shared" ref="H50:H58" si="8">IFERROR(ROUNDDOWN($F$50*I50/2,4),"——")</f>
        <v>1.4500000000000001E-2</v>
      </c>
      <c r="I50" s="3366">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t="s">
        <v>3406</v>
      </c>
      <c r="D51" s="1065">
        <f t="shared" si="7"/>
        <v>2.12E-2</v>
      </c>
      <c r="E51" s="745"/>
      <c r="F51" s="1814"/>
      <c r="G51" s="1063">
        <v>1.06E-2</v>
      </c>
      <c r="H51" s="1066">
        <f t="shared" si="8"/>
        <v>1.06E-2</v>
      </c>
      <c r="I51" s="3366">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t="s">
        <v>3405</v>
      </c>
      <c r="D52" s="1065">
        <f t="shared" si="7"/>
        <v>5.7999999999999996E-3</v>
      </c>
      <c r="E52" s="745"/>
      <c r="F52" s="1814"/>
      <c r="G52" s="1063">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3405</v>
      </c>
      <c r="D53" s="1065">
        <f t="shared" si="7"/>
        <v>2.3999999999999998E-3</v>
      </c>
      <c r="E53" s="745"/>
      <c r="F53" s="1814"/>
      <c r="G53" s="1063">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3405</v>
      </c>
      <c r="D54" s="1065">
        <f t="shared" si="7"/>
        <v>3.8E-3</v>
      </c>
      <c r="E54" s="745"/>
      <c r="F54" s="1814"/>
      <c r="G54" s="1063">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29" t="s">
        <v>2056</v>
      </c>
      <c r="B55" s="2135" t="s">
        <v>2057</v>
      </c>
      <c r="C55" s="2043" t="s">
        <v>3405</v>
      </c>
      <c r="D55" s="1065">
        <f t="shared" si="7"/>
        <v>2.3999999999999998E-3</v>
      </c>
      <c r="E55" s="745"/>
      <c r="F55" s="1814"/>
      <c r="G55" s="1063">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t="s">
        <v>3406</v>
      </c>
      <c r="D56" s="1065">
        <f t="shared" si="7"/>
        <v>4.7999999999999996E-3</v>
      </c>
      <c r="E56" s="745"/>
      <c r="F56" s="1814"/>
      <c r="G56" s="1063">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t="s">
        <v>3406</v>
      </c>
      <c r="D57" s="1065">
        <f t="shared" si="7"/>
        <v>7.6E-3</v>
      </c>
      <c r="E57" s="745"/>
      <c r="F57" s="1814"/>
      <c r="G57" s="1063">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t="s">
        <v>3406</v>
      </c>
      <c r="D58" s="1065">
        <f t="shared" si="7"/>
        <v>4.7999999999999996E-3</v>
      </c>
      <c r="E58" s="746"/>
      <c r="F58" s="1814"/>
      <c r="G58" s="1063">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8" t="s">
        <v>3300</v>
      </c>
      <c r="B103" s="3798"/>
      <c r="C103" s="3798"/>
      <c r="D103" s="3798"/>
      <c r="E103" s="3798"/>
      <c r="F103" s="3798"/>
      <c r="G103" s="3798"/>
      <c r="H103" s="3798"/>
      <c r="I103" s="3798"/>
      <c r="J103" s="3798"/>
      <c r="K103" s="3389"/>
      <c r="L103" s="3389"/>
      <c r="M103" s="3389"/>
      <c r="N103" s="3389"/>
    </row>
    <row r="104" spans="1:14">
      <c r="A104" s="3799" t="s">
        <v>3301</v>
      </c>
      <c r="B104" s="3799" t="s">
        <v>3302</v>
      </c>
      <c r="C104" s="3390" t="s">
        <v>3303</v>
      </c>
      <c r="D104" s="3391"/>
      <c r="E104" s="3391"/>
      <c r="F104" s="3391"/>
      <c r="G104" s="3391"/>
      <c r="H104" s="3391"/>
      <c r="I104" s="3391"/>
      <c r="J104" s="3392"/>
      <c r="K104" s="3393"/>
      <c r="L104" s="3393"/>
      <c r="M104" s="3393"/>
      <c r="N104" s="3393"/>
    </row>
    <row r="105" spans="1:14">
      <c r="A105" s="3799"/>
      <c r="B105" s="3799"/>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85"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6"/>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8" t="s">
        <v>3317</v>
      </c>
      <c r="B113" s="3788"/>
      <c r="C113" s="3788"/>
      <c r="D113" s="3788"/>
      <c r="E113" s="3788"/>
      <c r="F113" s="3788"/>
      <c r="G113" s="3788"/>
      <c r="H113" s="3788"/>
      <c r="I113" s="3788"/>
      <c r="J113" s="378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2.92</v>
      </c>
      <c r="C116" s="3399" t="s">
        <v>3319</v>
      </c>
      <c r="D116" s="3400">
        <f>SUMPRODUCT((A118:A122=F116)*(B117:M117=H116)*B118:M122)</f>
        <v>0.9647</v>
      </c>
      <c r="E116" s="1999" t="s">
        <v>3320</v>
      </c>
      <c r="F116" s="3401" t="str">
        <f>E2</f>
        <v>商业</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0.9647</v>
      </c>
      <c r="C118" s="3387">
        <f>B118</f>
        <v>0.9647</v>
      </c>
      <c r="D118" s="3387">
        <f>ROUND(0.949-0.014*B116,4)</f>
        <v>0.90810000000000002</v>
      </c>
      <c r="E118" s="3387">
        <f>D118</f>
        <v>0.90810000000000002</v>
      </c>
      <c r="F118" s="3387">
        <f>E118</f>
        <v>0.90810000000000002</v>
      </c>
      <c r="G118" s="3387">
        <f>F118</f>
        <v>0.90810000000000002</v>
      </c>
      <c r="H118" s="3387">
        <f>G118</f>
        <v>0.90810000000000002</v>
      </c>
      <c r="I118" s="3387">
        <f>ROUND(0.8486-0.018*B116,4)</f>
        <v>0.79600000000000004</v>
      </c>
      <c r="J118" s="3387">
        <f t="shared" ref="J118:M122" si="35">I118</f>
        <v>0.79600000000000004</v>
      </c>
      <c r="K118" s="3387">
        <f t="shared" si="35"/>
        <v>0.79600000000000004</v>
      </c>
      <c r="L118" s="3387">
        <f t="shared" si="35"/>
        <v>0.79600000000000004</v>
      </c>
      <c r="M118" s="3410">
        <f t="shared" si="35"/>
        <v>0.79600000000000004</v>
      </c>
      <c r="N118" s="3397"/>
    </row>
    <row r="119" spans="1:14">
      <c r="A119" s="3409" t="s">
        <v>3335</v>
      </c>
      <c r="B119" s="3387">
        <f>ROUND(0.993-0.0112*B116,4)</f>
        <v>0.96030000000000004</v>
      </c>
      <c r="C119" s="3387">
        <f>B119</f>
        <v>0.96030000000000004</v>
      </c>
      <c r="D119" s="3387">
        <f>ROUND(0.9415-0.0142*B116,4)</f>
        <v>0.9</v>
      </c>
      <c r="E119" s="3387">
        <f t="shared" ref="E119:H120" si="36">D119</f>
        <v>0.9</v>
      </c>
      <c r="F119" s="3387">
        <f t="shared" si="36"/>
        <v>0.9</v>
      </c>
      <c r="G119" s="3387">
        <f t="shared" si="36"/>
        <v>0.9</v>
      </c>
      <c r="H119" s="3387">
        <f t="shared" si="36"/>
        <v>0.9</v>
      </c>
      <c r="I119" s="3387">
        <f>ROUND(0.838-0.0182*B116,4)</f>
        <v>0.78490000000000004</v>
      </c>
      <c r="J119" s="3387">
        <f t="shared" si="35"/>
        <v>0.78490000000000004</v>
      </c>
      <c r="K119" s="3387">
        <f t="shared" si="35"/>
        <v>0.78490000000000004</v>
      </c>
      <c r="L119" s="3387">
        <f t="shared" si="35"/>
        <v>0.78490000000000004</v>
      </c>
      <c r="M119" s="3410">
        <f t="shared" si="35"/>
        <v>0.78490000000000004</v>
      </c>
      <c r="N119" s="3397"/>
    </row>
    <row r="120" spans="1:14">
      <c r="A120" s="3409" t="s">
        <v>3336</v>
      </c>
      <c r="B120" s="3387">
        <f>ROUND(0.9448-0.0115*B116,4)</f>
        <v>0.91120000000000001</v>
      </c>
      <c r="C120" s="3387">
        <f>B120</f>
        <v>0.91120000000000001</v>
      </c>
      <c r="D120" s="3387">
        <f>ROUND(0.937-0.0145*B116,4)</f>
        <v>0.89470000000000005</v>
      </c>
      <c r="E120" s="3387">
        <f t="shared" si="36"/>
        <v>0.89470000000000005</v>
      </c>
      <c r="F120" s="3387">
        <f t="shared" si="36"/>
        <v>0.89470000000000005</v>
      </c>
      <c r="G120" s="3387">
        <f t="shared" si="36"/>
        <v>0.89470000000000005</v>
      </c>
      <c r="H120" s="3387">
        <f t="shared" si="36"/>
        <v>0.89470000000000005</v>
      </c>
      <c r="I120" s="3387">
        <f>ROUND(0.7965-0.0185*B116,4)</f>
        <v>0.74250000000000005</v>
      </c>
      <c r="J120" s="3387">
        <f t="shared" si="35"/>
        <v>0.74250000000000005</v>
      </c>
      <c r="K120" s="3387">
        <f t="shared" si="35"/>
        <v>0.74250000000000005</v>
      </c>
      <c r="L120" s="3387">
        <f t="shared" si="35"/>
        <v>0.74250000000000005</v>
      </c>
      <c r="M120" s="3410">
        <f t="shared" si="35"/>
        <v>0.74250000000000005</v>
      </c>
      <c r="N120" s="3397"/>
    </row>
    <row r="121" spans="1:14" ht="13.5" thickBot="1">
      <c r="A121" s="3411" t="s">
        <v>3337</v>
      </c>
      <c r="B121" s="3412">
        <f>ROUND(0.7836-0.012*B116,4)</f>
        <v>0.74860000000000004</v>
      </c>
      <c r="C121" s="3412">
        <f>B121</f>
        <v>0.74860000000000004</v>
      </c>
      <c r="D121" s="3412">
        <f>ROUND(0.753-0.015*B116,4)</f>
        <v>0.70920000000000005</v>
      </c>
      <c r="E121" s="3412">
        <f>D121</f>
        <v>0.70920000000000005</v>
      </c>
      <c r="F121" s="3412">
        <f>E121</f>
        <v>0.70920000000000005</v>
      </c>
      <c r="G121" s="3412">
        <f>ROUND(0.6612-0.018*B116,4)</f>
        <v>0.60860000000000003</v>
      </c>
      <c r="H121" s="3412">
        <f>G121</f>
        <v>0.60860000000000003</v>
      </c>
      <c r="I121" s="3412">
        <f>ROUND(0.5905-0.019*B116,4)</f>
        <v>0.53500000000000003</v>
      </c>
      <c r="J121" s="3412">
        <f t="shared" si="35"/>
        <v>0.53500000000000003</v>
      </c>
      <c r="K121" s="3412">
        <f t="shared" si="35"/>
        <v>0.53500000000000003</v>
      </c>
      <c r="L121" s="3412">
        <f t="shared" si="35"/>
        <v>0.53500000000000003</v>
      </c>
      <c r="M121" s="3413">
        <f t="shared" si="35"/>
        <v>0.53500000000000003</v>
      </c>
      <c r="N121" s="3397"/>
    </row>
    <row r="122" spans="1:14">
      <c r="A122" s="3414" t="s">
        <v>2614</v>
      </c>
      <c r="B122" s="3387">
        <f>ROUND(0.9404-0.0106*B116,4)</f>
        <v>0.90939999999999999</v>
      </c>
      <c r="C122" s="3387">
        <f>B122</f>
        <v>0.90939999999999999</v>
      </c>
      <c r="D122" s="3387">
        <f>ROUND(0.8955-0.0135*B116,4)</f>
        <v>0.85609999999999997</v>
      </c>
      <c r="E122" s="3387">
        <f t="shared" ref="E122:H122" si="37">D122</f>
        <v>0.85609999999999997</v>
      </c>
      <c r="F122" s="3387">
        <f t="shared" si="37"/>
        <v>0.85609999999999997</v>
      </c>
      <c r="G122" s="3387">
        <f t="shared" si="37"/>
        <v>0.85609999999999997</v>
      </c>
      <c r="H122" s="3387">
        <f t="shared" si="37"/>
        <v>0.85609999999999997</v>
      </c>
      <c r="I122" s="3387">
        <f>ROUND(0.7632-0.0166*B116,4)</f>
        <v>0.7147</v>
      </c>
      <c r="J122" s="3387">
        <f t="shared" si="35"/>
        <v>0.7147</v>
      </c>
      <c r="K122" s="3387">
        <f t="shared" si="35"/>
        <v>0.7147</v>
      </c>
      <c r="L122" s="3387">
        <f t="shared" si="35"/>
        <v>0.7147</v>
      </c>
      <c r="M122" s="3410">
        <f t="shared" si="35"/>
        <v>0.7147</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813" t="s">
        <v>2609</v>
      </c>
      <c r="B20" s="3808" t="s">
        <v>2630</v>
      </c>
      <c r="C20" s="3102" t="s">
        <v>2441</v>
      </c>
      <c r="D20" s="3103"/>
      <c r="E20" s="3104">
        <v>1</v>
      </c>
      <c r="F20" s="3105" t="s">
        <v>2442</v>
      </c>
      <c r="G20" s="3105"/>
    </row>
    <row r="21" spans="1:13" ht="19.5" customHeight="1">
      <c r="A21" s="3814"/>
      <c r="B21" s="3807"/>
      <c r="C21" s="3106" t="s">
        <v>2443</v>
      </c>
      <c r="D21" s="3107"/>
      <c r="E21" s="3108">
        <v>1</v>
      </c>
      <c r="F21" s="3105" t="s">
        <v>2444</v>
      </c>
      <c r="G21" s="3105"/>
    </row>
    <row r="22" spans="1:13" ht="19.5" customHeight="1">
      <c r="A22" s="3814"/>
      <c r="B22" s="3807"/>
      <c r="C22" s="3106" t="s">
        <v>2445</v>
      </c>
      <c r="D22" s="3107"/>
      <c r="E22" s="3108">
        <v>0.9</v>
      </c>
      <c r="F22" s="3105" t="s">
        <v>2446</v>
      </c>
      <c r="G22" s="3105"/>
    </row>
    <row r="23" spans="1:13" ht="19.5" customHeight="1">
      <c r="A23" s="3814"/>
      <c r="B23" s="3807"/>
      <c r="C23" s="3106" t="s">
        <v>2447</v>
      </c>
      <c r="D23" s="3107"/>
      <c r="E23" s="3108">
        <v>0.9</v>
      </c>
      <c r="F23" s="3105" t="s">
        <v>2448</v>
      </c>
      <c r="G23" s="3105"/>
    </row>
    <row r="24" spans="1:13" ht="19.5" customHeight="1">
      <c r="A24" s="3814"/>
      <c r="B24" s="3807"/>
      <c r="C24" s="3106" t="s">
        <v>2449</v>
      </c>
      <c r="D24" s="3107"/>
      <c r="E24" s="3108">
        <v>0.8</v>
      </c>
      <c r="F24" s="3105" t="s">
        <v>2450</v>
      </c>
      <c r="G24" s="3105"/>
    </row>
    <row r="25" spans="1:13" ht="19.5" customHeight="1" thickBot="1">
      <c r="A25" s="3815"/>
      <c r="B25" s="3809"/>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810" t="s">
        <v>2633</v>
      </c>
      <c r="B27" s="3808" t="s">
        <v>2614</v>
      </c>
      <c r="C27" s="3102" t="s">
        <v>2454</v>
      </c>
      <c r="D27" s="3103"/>
      <c r="E27" s="3104">
        <v>1</v>
      </c>
      <c r="F27" s="3105" t="s">
        <v>2455</v>
      </c>
      <c r="G27" s="3105"/>
    </row>
    <row r="28" spans="1:13" ht="19.5" customHeight="1">
      <c r="A28" s="3811"/>
      <c r="B28" s="3807"/>
      <c r="C28" s="3106" t="s">
        <v>2456</v>
      </c>
      <c r="D28" s="3107"/>
      <c r="E28" s="3108">
        <v>1</v>
      </c>
      <c r="F28" s="3105" t="s">
        <v>2457</v>
      </c>
      <c r="G28" s="3105"/>
    </row>
    <row r="29" spans="1:13" ht="19.5" customHeight="1">
      <c r="A29" s="3811"/>
      <c r="B29" s="3807"/>
      <c r="C29" s="3106" t="s">
        <v>2458</v>
      </c>
      <c r="D29" s="3107"/>
      <c r="E29" s="3108">
        <v>0.8</v>
      </c>
      <c r="F29" s="3105" t="s">
        <v>2459</v>
      </c>
      <c r="G29" s="3105"/>
    </row>
    <row r="30" spans="1:13" ht="19.5" customHeight="1">
      <c r="A30" s="3811"/>
      <c r="B30" s="3807"/>
      <c r="C30" s="3106" t="s">
        <v>2460</v>
      </c>
      <c r="D30" s="3107"/>
      <c r="E30" s="3108">
        <v>0.8</v>
      </c>
      <c r="F30" s="3105" t="s">
        <v>2461</v>
      </c>
      <c r="G30" s="3105"/>
    </row>
    <row r="31" spans="1:13" ht="19.5" customHeight="1">
      <c r="A31" s="3811"/>
      <c r="B31" s="3807"/>
      <c r="C31" s="3106" t="s">
        <v>2462</v>
      </c>
      <c r="D31" s="3107"/>
      <c r="E31" s="3108">
        <v>0.8</v>
      </c>
      <c r="F31" s="3105" t="s">
        <v>2463</v>
      </c>
      <c r="G31" s="3105"/>
    </row>
    <row r="32" spans="1:13" ht="19.5" customHeight="1">
      <c r="A32" s="3811"/>
      <c r="B32" s="3807"/>
      <c r="C32" s="3106" t="s">
        <v>2464</v>
      </c>
      <c r="D32" s="3107"/>
      <c r="E32" s="3108">
        <v>0.7</v>
      </c>
      <c r="F32" s="3105" t="s">
        <v>2465</v>
      </c>
      <c r="G32" s="3105"/>
    </row>
    <row r="33" spans="1:7" ht="19.5" customHeight="1">
      <c r="A33" s="3811"/>
      <c r="B33" s="3807"/>
      <c r="C33" s="3106" t="s">
        <v>2466</v>
      </c>
      <c r="D33" s="3107"/>
      <c r="E33" s="3108">
        <v>0.8</v>
      </c>
      <c r="F33" s="3105" t="s">
        <v>2467</v>
      </c>
      <c r="G33" s="3105"/>
    </row>
    <row r="34" spans="1:7" ht="19.5" customHeight="1">
      <c r="A34" s="3811"/>
      <c r="B34" s="3807"/>
      <c r="C34" s="3106" t="s">
        <v>2468</v>
      </c>
      <c r="D34" s="3107"/>
      <c r="E34" s="3108">
        <v>0.6</v>
      </c>
      <c r="F34" s="3105" t="s">
        <v>2469</v>
      </c>
      <c r="G34" s="3105"/>
    </row>
    <row r="35" spans="1:7" ht="19.5" customHeight="1">
      <c r="A35" s="3811"/>
      <c r="B35" s="3807"/>
      <c r="C35" s="3106" t="s">
        <v>2470</v>
      </c>
      <c r="D35" s="3107"/>
      <c r="E35" s="3108">
        <v>0.2</v>
      </c>
      <c r="F35" s="3105" t="s">
        <v>2471</v>
      </c>
      <c r="G35" s="3105"/>
    </row>
    <row r="36" spans="1:7" ht="19.5" customHeight="1">
      <c r="A36" s="3811"/>
      <c r="B36" s="3807"/>
      <c r="C36" s="3106" t="s">
        <v>2472</v>
      </c>
      <c r="D36" s="3107"/>
      <c r="E36" s="3108">
        <v>0.2</v>
      </c>
      <c r="F36" s="3105" t="s">
        <v>2473</v>
      </c>
      <c r="G36" s="3105"/>
    </row>
    <row r="37" spans="1:7" ht="19.5" customHeight="1">
      <c r="A37" s="3811"/>
      <c r="B37" s="3805" t="s">
        <v>2634</v>
      </c>
      <c r="C37" s="3106" t="s">
        <v>2474</v>
      </c>
      <c r="D37" s="3107"/>
      <c r="E37" s="3108">
        <v>0.6</v>
      </c>
      <c r="F37" s="3105" t="s">
        <v>2475</v>
      </c>
      <c r="G37" s="3105"/>
    </row>
    <row r="38" spans="1:7" ht="19.5" customHeight="1">
      <c r="A38" s="3811"/>
      <c r="B38" s="3807"/>
      <c r="C38" s="3106" t="s">
        <v>2476</v>
      </c>
      <c r="D38" s="3107"/>
      <c r="E38" s="3108">
        <v>0.6</v>
      </c>
      <c r="F38" s="3105" t="s">
        <v>2477</v>
      </c>
      <c r="G38" s="3105"/>
    </row>
    <row r="39" spans="1:7" ht="19.5" customHeight="1" thickBot="1">
      <c r="A39" s="3812"/>
      <c r="B39" s="3809"/>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813" t="s">
        <v>2612</v>
      </c>
      <c r="B41" s="3808" t="s">
        <v>2636</v>
      </c>
      <c r="C41" s="3102" t="s">
        <v>2481</v>
      </c>
      <c r="D41" s="3103"/>
      <c r="E41" s="3104">
        <v>1</v>
      </c>
      <c r="F41" s="3105" t="s">
        <v>2482</v>
      </c>
      <c r="G41" s="3105"/>
    </row>
    <row r="42" spans="1:7" ht="19.5" customHeight="1">
      <c r="A42" s="3814"/>
      <c r="B42" s="3807"/>
      <c r="C42" s="3106" t="s">
        <v>2483</v>
      </c>
      <c r="D42" s="3107"/>
      <c r="E42" s="3108">
        <v>1</v>
      </c>
      <c r="F42" s="3105" t="s">
        <v>2484</v>
      </c>
      <c r="G42" s="3105"/>
    </row>
    <row r="43" spans="1:7" ht="19.5" customHeight="1">
      <c r="A43" s="3814"/>
      <c r="B43" s="3806"/>
      <c r="C43" s="3106" t="s">
        <v>2485</v>
      </c>
      <c r="D43" s="3107"/>
      <c r="E43" s="3108">
        <v>1.5</v>
      </c>
      <c r="F43" s="3105" t="s">
        <v>2486</v>
      </c>
      <c r="G43" s="3105"/>
    </row>
    <row r="44" spans="1:7" ht="19.5" customHeight="1">
      <c r="A44" s="3814"/>
      <c r="B44" s="3117" t="s">
        <v>2637</v>
      </c>
      <c r="C44" s="3106" t="s">
        <v>2638</v>
      </c>
      <c r="D44" s="3107"/>
      <c r="E44" s="3108">
        <v>2</v>
      </c>
      <c r="F44" s="3105" t="s">
        <v>2487</v>
      </c>
      <c r="G44" s="3105"/>
    </row>
    <row r="45" spans="1:7" ht="19.5" customHeight="1">
      <c r="A45" s="3814"/>
      <c r="B45" s="3805" t="s">
        <v>2639</v>
      </c>
      <c r="C45" s="3106" t="s">
        <v>2488</v>
      </c>
      <c r="D45" s="3107"/>
      <c r="E45" s="3108">
        <v>1</v>
      </c>
      <c r="F45" s="3105" t="s">
        <v>2489</v>
      </c>
      <c r="G45" s="3105"/>
    </row>
    <row r="46" spans="1:7" ht="19.5" customHeight="1">
      <c r="A46" s="3814"/>
      <c r="B46" s="3807"/>
      <c r="C46" s="3106" t="s">
        <v>2490</v>
      </c>
      <c r="D46" s="3107"/>
      <c r="E46" s="3108">
        <v>1</v>
      </c>
      <c r="F46" s="3105" t="s">
        <v>2491</v>
      </c>
      <c r="G46" s="3105"/>
    </row>
    <row r="47" spans="1:7" ht="19.5" customHeight="1">
      <c r="A47" s="3814"/>
      <c r="B47" s="3807"/>
      <c r="C47" s="3106" t="s">
        <v>2492</v>
      </c>
      <c r="D47" s="3107"/>
      <c r="E47" s="3108">
        <v>1</v>
      </c>
      <c r="F47" s="3105" t="s">
        <v>2493</v>
      </c>
      <c r="G47" s="3105"/>
    </row>
    <row r="48" spans="1:7" ht="19.5" customHeight="1">
      <c r="A48" s="3814"/>
      <c r="B48" s="3807"/>
      <c r="C48" s="3106" t="s">
        <v>2494</v>
      </c>
      <c r="D48" s="3107"/>
      <c r="E48" s="3108">
        <v>1</v>
      </c>
      <c r="F48" s="3105" t="s">
        <v>2495</v>
      </c>
      <c r="G48" s="3105"/>
    </row>
    <row r="49" spans="1:7" ht="19.5" customHeight="1">
      <c r="A49" s="3814"/>
      <c r="B49" s="3807"/>
      <c r="C49" s="3106" t="s">
        <v>2496</v>
      </c>
      <c r="D49" s="3107"/>
      <c r="E49" s="3108">
        <v>1</v>
      </c>
      <c r="F49" s="3105" t="s">
        <v>2497</v>
      </c>
      <c r="G49" s="3105"/>
    </row>
    <row r="50" spans="1:7" ht="19.5" customHeight="1">
      <c r="A50" s="3814"/>
      <c r="B50" s="3807"/>
      <c r="C50" s="3106" t="s">
        <v>2498</v>
      </c>
      <c r="D50" s="3107"/>
      <c r="E50" s="3108">
        <v>1</v>
      </c>
      <c r="F50" s="3105" t="s">
        <v>2499</v>
      </c>
      <c r="G50" s="3105"/>
    </row>
    <row r="51" spans="1:7" ht="19.5" customHeight="1" thickBot="1">
      <c r="A51" s="3815"/>
      <c r="B51" s="3809"/>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805" t="s">
        <v>2653</v>
      </c>
      <c r="C73" s="3091" t="s">
        <v>2654</v>
      </c>
      <c r="D73" s="3091" t="s">
        <v>2655</v>
      </c>
      <c r="E73" s="3117">
        <v>0.2</v>
      </c>
      <c r="F73" s="3117">
        <v>25</v>
      </c>
    </row>
    <row r="74" spans="1:7" ht="24">
      <c r="A74" s="3117">
        <v>2</v>
      </c>
      <c r="B74" s="3807"/>
      <c r="C74" s="3091" t="s">
        <v>2656</v>
      </c>
      <c r="D74" s="3091" t="s">
        <v>2657</v>
      </c>
      <c r="E74" s="3117">
        <v>0.2</v>
      </c>
      <c r="F74" s="3117">
        <v>25</v>
      </c>
    </row>
    <row r="75" spans="1:7" ht="24">
      <c r="A75" s="3117">
        <v>3</v>
      </c>
      <c r="B75" s="3807"/>
      <c r="C75" s="3091" t="s">
        <v>2658</v>
      </c>
      <c r="D75" s="3091" t="s">
        <v>2659</v>
      </c>
      <c r="E75" s="3117">
        <v>0.2</v>
      </c>
      <c r="F75" s="3117">
        <v>25</v>
      </c>
    </row>
    <row r="76" spans="1:7" ht="13.5">
      <c r="A76" s="3117">
        <v>4</v>
      </c>
      <c r="B76" s="3807"/>
      <c r="C76" s="3091" t="s">
        <v>2660</v>
      </c>
      <c r="D76" s="3091" t="s">
        <v>2661</v>
      </c>
      <c r="E76" s="3117">
        <v>0.15</v>
      </c>
      <c r="F76" s="3117">
        <v>20</v>
      </c>
    </row>
    <row r="77" spans="1:7" ht="24">
      <c r="A77" s="3117">
        <v>5</v>
      </c>
      <c r="B77" s="3807"/>
      <c r="C77" s="3091" t="s">
        <v>2662</v>
      </c>
      <c r="D77" s="3091" t="s">
        <v>2663</v>
      </c>
      <c r="E77" s="3117">
        <v>0.15</v>
      </c>
      <c r="F77" s="3117">
        <v>20</v>
      </c>
    </row>
    <row r="78" spans="1:7" ht="24">
      <c r="A78" s="3117">
        <v>6</v>
      </c>
      <c r="B78" s="3807"/>
      <c r="C78" s="3091" t="s">
        <v>2664</v>
      </c>
      <c r="D78" s="3091" t="s">
        <v>2665</v>
      </c>
      <c r="E78" s="3117">
        <v>0.15</v>
      </c>
      <c r="F78" s="3117">
        <v>20</v>
      </c>
    </row>
    <row r="79" spans="1:7" ht="24">
      <c r="A79" s="3117">
        <v>7</v>
      </c>
      <c r="B79" s="3807"/>
      <c r="C79" s="3091" t="s">
        <v>2666</v>
      </c>
      <c r="D79" s="3091" t="s">
        <v>2667</v>
      </c>
      <c r="E79" s="3117">
        <v>0.15</v>
      </c>
      <c r="F79" s="3117">
        <v>20</v>
      </c>
    </row>
    <row r="80" spans="1:7" ht="24">
      <c r="A80" s="3117">
        <v>8</v>
      </c>
      <c r="B80" s="3807"/>
      <c r="C80" s="3091" t="s">
        <v>2668</v>
      </c>
      <c r="D80" s="3091" t="s">
        <v>2669</v>
      </c>
      <c r="E80" s="3117">
        <v>0.1</v>
      </c>
      <c r="F80" s="3117">
        <v>15</v>
      </c>
    </row>
    <row r="81" spans="1:6" ht="24">
      <c r="A81" s="3117">
        <v>9</v>
      </c>
      <c r="B81" s="3807"/>
      <c r="C81" s="3091" t="s">
        <v>2670</v>
      </c>
      <c r="D81" s="3091" t="s">
        <v>2671</v>
      </c>
      <c r="E81" s="3117">
        <v>0.1</v>
      </c>
      <c r="F81" s="3117">
        <v>15</v>
      </c>
    </row>
    <row r="82" spans="1:6" ht="24">
      <c r="A82" s="3117">
        <v>10</v>
      </c>
      <c r="B82" s="3807"/>
      <c r="C82" s="3091" t="s">
        <v>2672</v>
      </c>
      <c r="D82" s="3091" t="s">
        <v>2673</v>
      </c>
      <c r="E82" s="3117">
        <v>0.1</v>
      </c>
      <c r="F82" s="3117">
        <v>15</v>
      </c>
    </row>
    <row r="83" spans="1:6" ht="24">
      <c r="A83" s="3117">
        <v>11</v>
      </c>
      <c r="B83" s="3807"/>
      <c r="C83" s="3091" t="s">
        <v>2674</v>
      </c>
      <c r="D83" s="3091" t="s">
        <v>2675</v>
      </c>
      <c r="E83" s="3117">
        <v>0.1</v>
      </c>
      <c r="F83" s="3117">
        <v>15</v>
      </c>
    </row>
    <row r="84" spans="1:6" ht="24">
      <c r="A84" s="3117">
        <v>12</v>
      </c>
      <c r="B84" s="3807"/>
      <c r="C84" s="3091" t="s">
        <v>2676</v>
      </c>
      <c r="D84" s="3091" t="s">
        <v>2677</v>
      </c>
      <c r="E84" s="3117">
        <v>0.1</v>
      </c>
      <c r="F84" s="3117">
        <v>15</v>
      </c>
    </row>
    <row r="85" spans="1:6" ht="13.5">
      <c r="A85" s="3117">
        <v>13</v>
      </c>
      <c r="B85" s="3807"/>
      <c r="C85" s="3091" t="s">
        <v>2678</v>
      </c>
      <c r="D85" s="3091" t="s">
        <v>2679</v>
      </c>
      <c r="E85" s="3117">
        <v>0.1</v>
      </c>
      <c r="F85" s="3117">
        <v>15</v>
      </c>
    </row>
    <row r="86" spans="1:6" ht="13.5">
      <c r="A86" s="3117">
        <v>14</v>
      </c>
      <c r="B86" s="3807"/>
      <c r="C86" s="3091" t="s">
        <v>2680</v>
      </c>
      <c r="D86" s="3091" t="s">
        <v>2681</v>
      </c>
      <c r="E86" s="3117">
        <v>0.1</v>
      </c>
      <c r="F86" s="3117">
        <v>15</v>
      </c>
    </row>
    <row r="87" spans="1:6" ht="13.5">
      <c r="A87" s="3117">
        <v>15</v>
      </c>
      <c r="B87" s="3807"/>
      <c r="C87" s="3091" t="s">
        <v>2682</v>
      </c>
      <c r="D87" s="3091" t="s">
        <v>2683</v>
      </c>
      <c r="E87" s="3117">
        <v>0.1</v>
      </c>
      <c r="F87" s="3117">
        <v>15</v>
      </c>
    </row>
    <row r="88" spans="1:6" ht="24">
      <c r="A88" s="3117">
        <v>16</v>
      </c>
      <c r="B88" s="3807"/>
      <c r="C88" s="3091" t="s">
        <v>2684</v>
      </c>
      <c r="D88" s="3091" t="s">
        <v>2685</v>
      </c>
      <c r="E88" s="3117">
        <v>0.1</v>
      </c>
      <c r="F88" s="3117">
        <v>15</v>
      </c>
    </row>
    <row r="89" spans="1:6" ht="24">
      <c r="A89" s="3117">
        <v>17</v>
      </c>
      <c r="B89" s="3806"/>
      <c r="C89" s="3091" t="s">
        <v>2686</v>
      </c>
      <c r="D89" s="3091" t="s">
        <v>2687</v>
      </c>
      <c r="E89" s="3117">
        <v>0.1</v>
      </c>
      <c r="F89" s="3117">
        <v>15</v>
      </c>
    </row>
    <row r="90" spans="1:6" ht="13.5">
      <c r="A90" s="3117">
        <v>18</v>
      </c>
      <c r="B90" s="3805" t="s">
        <v>2688</v>
      </c>
      <c r="C90" s="3091" t="s">
        <v>2689</v>
      </c>
      <c r="D90" s="3091" t="s">
        <v>2690</v>
      </c>
      <c r="E90" s="3117">
        <v>0.2</v>
      </c>
      <c r="F90" s="3117">
        <v>25</v>
      </c>
    </row>
    <row r="91" spans="1:6" ht="24">
      <c r="A91" s="3117">
        <v>19</v>
      </c>
      <c r="B91" s="3807"/>
      <c r="C91" s="3091" t="s">
        <v>2691</v>
      </c>
      <c r="D91" s="3091" t="s">
        <v>2692</v>
      </c>
      <c r="E91" s="3117">
        <v>0.2</v>
      </c>
      <c r="F91" s="3117">
        <v>25</v>
      </c>
    </row>
    <row r="92" spans="1:6" ht="13.5">
      <c r="A92" s="3117">
        <v>20</v>
      </c>
      <c r="B92" s="3807"/>
      <c r="C92" s="3091" t="s">
        <v>2693</v>
      </c>
      <c r="D92" s="3091" t="s">
        <v>2694</v>
      </c>
      <c r="E92" s="3117">
        <v>0.15</v>
      </c>
      <c r="F92" s="3117">
        <v>20</v>
      </c>
    </row>
    <row r="93" spans="1:6" ht="13.5">
      <c r="A93" s="3117">
        <v>21</v>
      </c>
      <c r="B93" s="3807"/>
      <c r="C93" s="3091" t="s">
        <v>2695</v>
      </c>
      <c r="D93" s="3091" t="s">
        <v>2696</v>
      </c>
      <c r="E93" s="3117">
        <v>0.15</v>
      </c>
      <c r="F93" s="3117">
        <v>20</v>
      </c>
    </row>
    <row r="94" spans="1:6" ht="13.5">
      <c r="A94" s="3117">
        <v>22</v>
      </c>
      <c r="B94" s="3807"/>
      <c r="C94" s="3091" t="s">
        <v>2697</v>
      </c>
      <c r="D94" s="3091" t="s">
        <v>2698</v>
      </c>
      <c r="E94" s="3117">
        <v>0.15</v>
      </c>
      <c r="F94" s="3117">
        <v>20</v>
      </c>
    </row>
    <row r="95" spans="1:6" ht="36">
      <c r="A95" s="3117">
        <v>23</v>
      </c>
      <c r="B95" s="3807"/>
      <c r="C95" s="3091" t="s">
        <v>2699</v>
      </c>
      <c r="D95" s="3091" t="s">
        <v>2700</v>
      </c>
      <c r="E95" s="3117">
        <v>0.15</v>
      </c>
      <c r="F95" s="3117">
        <v>20</v>
      </c>
    </row>
    <row r="96" spans="1:6" ht="13.5">
      <c r="A96" s="3117">
        <v>24</v>
      </c>
      <c r="B96" s="3807"/>
      <c r="C96" s="3091" t="s">
        <v>2701</v>
      </c>
      <c r="D96" s="3091" t="s">
        <v>2702</v>
      </c>
      <c r="E96" s="3117">
        <v>0.1</v>
      </c>
      <c r="F96" s="3117">
        <v>15</v>
      </c>
    </row>
    <row r="97" spans="1:6" ht="13.5">
      <c r="A97" s="3117">
        <v>25</v>
      </c>
      <c r="B97" s="3807"/>
      <c r="C97" s="3091" t="s">
        <v>2703</v>
      </c>
      <c r="D97" s="3091" t="s">
        <v>2704</v>
      </c>
      <c r="E97" s="3117">
        <v>0.1</v>
      </c>
      <c r="F97" s="3117">
        <v>15</v>
      </c>
    </row>
    <row r="98" spans="1:6" ht="24">
      <c r="A98" s="3117">
        <v>26</v>
      </c>
      <c r="B98" s="3807"/>
      <c r="C98" s="3091" t="s">
        <v>2705</v>
      </c>
      <c r="D98" s="3091" t="s">
        <v>2706</v>
      </c>
      <c r="E98" s="3117">
        <v>0.1</v>
      </c>
      <c r="F98" s="3117">
        <v>15</v>
      </c>
    </row>
    <row r="99" spans="1:6" ht="24">
      <c r="A99" s="3117">
        <v>27</v>
      </c>
      <c r="B99" s="3807"/>
      <c r="C99" s="3091" t="s">
        <v>2707</v>
      </c>
      <c r="D99" s="3091" t="s">
        <v>2708</v>
      </c>
      <c r="E99" s="3117">
        <v>0.1</v>
      </c>
      <c r="F99" s="3117">
        <v>15</v>
      </c>
    </row>
    <row r="100" spans="1:6" ht="13.5">
      <c r="A100" s="3117">
        <v>28</v>
      </c>
      <c r="B100" s="3807"/>
      <c r="C100" s="3091" t="s">
        <v>2709</v>
      </c>
      <c r="D100" s="3091" t="s">
        <v>2710</v>
      </c>
      <c r="E100" s="3117">
        <v>0.1</v>
      </c>
      <c r="F100" s="3117">
        <v>15</v>
      </c>
    </row>
    <row r="101" spans="1:6" ht="13.5">
      <c r="A101" s="3117">
        <v>29</v>
      </c>
      <c r="B101" s="3807"/>
      <c r="C101" s="3091" t="s">
        <v>2711</v>
      </c>
      <c r="D101" s="3091" t="s">
        <v>2712</v>
      </c>
      <c r="E101" s="3117">
        <v>0.1</v>
      </c>
      <c r="F101" s="3117">
        <v>15</v>
      </c>
    </row>
    <row r="102" spans="1:6" ht="13.5">
      <c r="A102" s="3117">
        <v>30</v>
      </c>
      <c r="B102" s="3807"/>
      <c r="C102" s="3091" t="s">
        <v>2713</v>
      </c>
      <c r="D102" s="3091" t="s">
        <v>2714</v>
      </c>
      <c r="E102" s="3117">
        <v>0.1</v>
      </c>
      <c r="F102" s="3117">
        <v>15</v>
      </c>
    </row>
    <row r="103" spans="1:6" ht="24">
      <c r="A103" s="3117">
        <v>31</v>
      </c>
      <c r="B103" s="3807"/>
      <c r="C103" s="3091" t="s">
        <v>2715</v>
      </c>
      <c r="D103" s="3091" t="s">
        <v>2716</v>
      </c>
      <c r="E103" s="3117">
        <v>0.1</v>
      </c>
      <c r="F103" s="3117">
        <v>15</v>
      </c>
    </row>
    <row r="104" spans="1:6" ht="24">
      <c r="A104" s="3117">
        <v>32</v>
      </c>
      <c r="B104" s="3807"/>
      <c r="C104" s="3091" t="s">
        <v>2717</v>
      </c>
      <c r="D104" s="3091" t="s">
        <v>2718</v>
      </c>
      <c r="E104" s="3117">
        <v>0.1</v>
      </c>
      <c r="F104" s="3117">
        <v>15</v>
      </c>
    </row>
    <row r="105" spans="1:6" ht="24">
      <c r="A105" s="3117">
        <v>33</v>
      </c>
      <c r="B105" s="3807"/>
      <c r="C105" s="3091" t="s">
        <v>2719</v>
      </c>
      <c r="D105" s="3091" t="s">
        <v>2720</v>
      </c>
      <c r="E105" s="3117">
        <v>0.1</v>
      </c>
      <c r="F105" s="3117">
        <v>15</v>
      </c>
    </row>
    <row r="106" spans="1:6" ht="24">
      <c r="A106" s="3117">
        <v>34</v>
      </c>
      <c r="B106" s="3806"/>
      <c r="C106" s="3091" t="s">
        <v>2721</v>
      </c>
      <c r="D106" s="3091" t="s">
        <v>2722</v>
      </c>
      <c r="E106" s="3117">
        <v>0.1</v>
      </c>
      <c r="F106" s="3117">
        <v>15</v>
      </c>
    </row>
    <row r="107" spans="1:6" ht="24">
      <c r="A107" s="3117">
        <v>35</v>
      </c>
      <c r="B107" s="3805" t="s">
        <v>2723</v>
      </c>
      <c r="C107" s="3117" t="s">
        <v>2724</v>
      </c>
      <c r="D107" s="3091" t="s">
        <v>2725</v>
      </c>
      <c r="E107" s="3117">
        <v>0.15</v>
      </c>
      <c r="F107" s="3117">
        <v>20</v>
      </c>
    </row>
    <row r="108" spans="1:6" ht="13.5">
      <c r="A108" s="3117">
        <v>36</v>
      </c>
      <c r="B108" s="3807"/>
      <c r="C108" s="3117" t="s">
        <v>2726</v>
      </c>
      <c r="D108" s="3091" t="s">
        <v>2727</v>
      </c>
      <c r="E108" s="3117">
        <v>0.15</v>
      </c>
      <c r="F108" s="3117">
        <v>20</v>
      </c>
    </row>
    <row r="109" spans="1:6" ht="13.5">
      <c r="A109" s="3117">
        <v>37</v>
      </c>
      <c r="B109" s="3807"/>
      <c r="C109" s="3117" t="s">
        <v>2728</v>
      </c>
      <c r="D109" s="3091" t="s">
        <v>2729</v>
      </c>
      <c r="E109" s="3117">
        <v>0.15</v>
      </c>
      <c r="F109" s="3117">
        <v>20</v>
      </c>
    </row>
    <row r="110" spans="1:6" ht="13.5">
      <c r="A110" s="3117">
        <v>38</v>
      </c>
      <c r="B110" s="3807"/>
      <c r="C110" s="3117" t="s">
        <v>2730</v>
      </c>
      <c r="D110" s="3091" t="s">
        <v>2731</v>
      </c>
      <c r="E110" s="3117">
        <v>0.1</v>
      </c>
      <c r="F110" s="3117">
        <v>15</v>
      </c>
    </row>
    <row r="111" spans="1:6" ht="24">
      <c r="A111" s="3117">
        <v>39</v>
      </c>
      <c r="B111" s="3807"/>
      <c r="C111" s="3117" t="s">
        <v>2732</v>
      </c>
      <c r="D111" s="3091" t="s">
        <v>2733</v>
      </c>
      <c r="E111" s="3117">
        <v>0.1</v>
      </c>
      <c r="F111" s="3117">
        <v>15</v>
      </c>
    </row>
    <row r="112" spans="1:6" ht="24">
      <c r="A112" s="3117">
        <v>40</v>
      </c>
      <c r="B112" s="3806"/>
      <c r="C112" s="3117" t="s">
        <v>2734</v>
      </c>
      <c r="D112" s="3091" t="s">
        <v>2735</v>
      </c>
      <c r="E112" s="3117">
        <v>0.1</v>
      </c>
      <c r="F112" s="3117">
        <v>15</v>
      </c>
    </row>
    <row r="113" spans="1:6" ht="13.5">
      <c r="A113" s="3117">
        <v>41</v>
      </c>
      <c r="B113" s="3804" t="s">
        <v>2736</v>
      </c>
      <c r="C113" s="3117" t="s">
        <v>2737</v>
      </c>
      <c r="D113" s="3091" t="s">
        <v>2738</v>
      </c>
      <c r="E113" s="3117">
        <v>0.1</v>
      </c>
      <c r="F113" s="3117">
        <v>15</v>
      </c>
    </row>
    <row r="114" spans="1:6" ht="13.5">
      <c r="A114" s="3117">
        <v>42</v>
      </c>
      <c r="B114" s="3804"/>
      <c r="C114" s="3117" t="s">
        <v>2739</v>
      </c>
      <c r="D114" s="3091" t="s">
        <v>2740</v>
      </c>
      <c r="E114" s="3117">
        <v>0.1</v>
      </c>
      <c r="F114" s="3117">
        <v>15</v>
      </c>
    </row>
    <row r="115" spans="1:6" ht="24">
      <c r="A115" s="3117">
        <v>43</v>
      </c>
      <c r="B115" s="3804"/>
      <c r="C115" s="3117" t="s">
        <v>2741</v>
      </c>
      <c r="D115" s="3091" t="s">
        <v>2742</v>
      </c>
      <c r="E115" s="3117">
        <v>0.1</v>
      </c>
      <c r="F115" s="3117">
        <v>15</v>
      </c>
    </row>
    <row r="116" spans="1:6" ht="13.5">
      <c r="A116" s="3117">
        <v>44</v>
      </c>
      <c r="B116" s="3805" t="s">
        <v>2743</v>
      </c>
      <c r="C116" s="3117" t="s">
        <v>2744</v>
      </c>
      <c r="D116" s="3091" t="s">
        <v>2745</v>
      </c>
      <c r="E116" s="3117">
        <v>0.1</v>
      </c>
      <c r="F116" s="3117">
        <v>15</v>
      </c>
    </row>
    <row r="117" spans="1:6" ht="24">
      <c r="A117" s="3117">
        <v>45</v>
      </c>
      <c r="B117" s="3806"/>
      <c r="C117" s="3091" t="s">
        <v>2746</v>
      </c>
      <c r="D117" s="3091" t="s">
        <v>2747</v>
      </c>
      <c r="E117" s="3117">
        <v>0.1</v>
      </c>
      <c r="F117" s="3117">
        <v>15</v>
      </c>
    </row>
    <row r="118" spans="1:6" ht="24">
      <c r="A118" s="3117">
        <v>46</v>
      </c>
      <c r="B118" s="3805" t="s">
        <v>2748</v>
      </c>
      <c r="C118" s="3117" t="s">
        <v>2749</v>
      </c>
      <c r="D118" s="3091" t="s">
        <v>2750</v>
      </c>
      <c r="E118" s="3117">
        <v>0.1</v>
      </c>
      <c r="F118" s="3117">
        <v>15</v>
      </c>
    </row>
    <row r="119" spans="1:6" ht="24">
      <c r="A119" s="3117">
        <v>47</v>
      </c>
      <c r="B119" s="3806"/>
      <c r="C119" s="3117" t="s">
        <v>2751</v>
      </c>
      <c r="D119" s="3091" t="s">
        <v>2752</v>
      </c>
      <c r="E119" s="3117">
        <v>0.1</v>
      </c>
      <c r="F119" s="3117">
        <v>15</v>
      </c>
    </row>
    <row r="120" spans="1:6" ht="13.5">
      <c r="A120" s="3117">
        <v>48</v>
      </c>
      <c r="B120" s="3805" t="s">
        <v>2753</v>
      </c>
      <c r="C120" s="3117" t="s">
        <v>2754</v>
      </c>
      <c r="D120" s="3091" t="s">
        <v>2755</v>
      </c>
      <c r="E120" s="3117">
        <v>0.1</v>
      </c>
      <c r="F120" s="3117">
        <v>15</v>
      </c>
    </row>
    <row r="121" spans="1:6" ht="13.5">
      <c r="A121" s="3117">
        <v>49</v>
      </c>
      <c r="B121" s="3806"/>
      <c r="C121" s="3117" t="s">
        <v>2756</v>
      </c>
      <c r="D121" s="3091" t="s">
        <v>2757</v>
      </c>
      <c r="E121" s="3117">
        <v>0.1</v>
      </c>
      <c r="F121" s="3117">
        <v>15</v>
      </c>
    </row>
    <row r="122" spans="1:6" ht="24">
      <c r="A122" s="3117">
        <v>50</v>
      </c>
      <c r="B122" s="3804" t="s">
        <v>2758</v>
      </c>
      <c r="C122" s="3117" t="s">
        <v>2759</v>
      </c>
      <c r="D122" s="3091" t="s">
        <v>2760</v>
      </c>
      <c r="E122" s="3117">
        <v>0.1</v>
      </c>
      <c r="F122" s="3117">
        <v>15</v>
      </c>
    </row>
    <row r="123" spans="1:6" ht="24">
      <c r="A123" s="3117">
        <v>51</v>
      </c>
      <c r="B123" s="3804"/>
      <c r="C123" s="3117" t="s">
        <v>2761</v>
      </c>
      <c r="D123" s="3091" t="s">
        <v>2762</v>
      </c>
      <c r="E123" s="3117">
        <v>0.1</v>
      </c>
      <c r="F123" s="3117">
        <v>15</v>
      </c>
    </row>
    <row r="124" spans="1:6" ht="24">
      <c r="A124" s="3117">
        <v>52</v>
      </c>
      <c r="B124" s="3804" t="s">
        <v>2763</v>
      </c>
      <c r="C124" s="3117" t="s">
        <v>2764</v>
      </c>
      <c r="D124" s="3091" t="s">
        <v>2765</v>
      </c>
      <c r="E124" s="3117">
        <v>0.1</v>
      </c>
      <c r="F124" s="3117">
        <v>15</v>
      </c>
    </row>
    <row r="125" spans="1:6" ht="24">
      <c r="A125" s="3117">
        <v>53</v>
      </c>
      <c r="B125" s="3804"/>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804" t="s">
        <v>2771</v>
      </c>
      <c r="C127" s="3117" t="s">
        <v>2772</v>
      </c>
      <c r="D127" s="3091" t="s">
        <v>2773</v>
      </c>
      <c r="E127" s="3117">
        <v>0.1</v>
      </c>
      <c r="F127" s="3117">
        <v>15</v>
      </c>
    </row>
    <row r="128" spans="1:6" ht="13.5">
      <c r="A128" s="3117">
        <v>56</v>
      </c>
      <c r="B128" s="3804"/>
      <c r="C128" s="3117" t="s">
        <v>2774</v>
      </c>
      <c r="D128" s="3091" t="s">
        <v>2775</v>
      </c>
      <c r="E128" s="3117">
        <v>0.1</v>
      </c>
      <c r="F128" s="3117">
        <v>15</v>
      </c>
    </row>
    <row r="129" spans="1:6" ht="24">
      <c r="A129" s="3117">
        <v>57</v>
      </c>
      <c r="B129" s="3804"/>
      <c r="C129" s="3117" t="s">
        <v>2776</v>
      </c>
      <c r="D129" s="3091" t="s">
        <v>2777</v>
      </c>
      <c r="E129" s="3117">
        <v>0.1</v>
      </c>
      <c r="F129" s="3117">
        <v>15</v>
      </c>
    </row>
    <row r="130" spans="1:6" ht="24">
      <c r="A130" s="3117">
        <v>58</v>
      </c>
      <c r="B130" s="3804" t="s">
        <v>2778</v>
      </c>
      <c r="C130" s="3117" t="s">
        <v>2779</v>
      </c>
      <c r="D130" s="3091" t="s">
        <v>2780</v>
      </c>
      <c r="E130" s="3117">
        <v>0.1</v>
      </c>
      <c r="F130" s="3117">
        <v>15</v>
      </c>
    </row>
    <row r="131" spans="1:6" ht="13.5">
      <c r="A131" s="3117">
        <v>59</v>
      </c>
      <c r="B131" s="3804"/>
      <c r="C131" s="3117" t="s">
        <v>2781</v>
      </c>
      <c r="D131" s="3091" t="s">
        <v>2782</v>
      </c>
      <c r="E131" s="3117">
        <v>0.1</v>
      </c>
      <c r="F131" s="3117">
        <v>15</v>
      </c>
    </row>
    <row r="132" spans="1:6" ht="13.5">
      <c r="A132" s="3117">
        <v>60</v>
      </c>
      <c r="B132" s="3805" t="s">
        <v>2783</v>
      </c>
      <c r="C132" s="3117" t="s">
        <v>2784</v>
      </c>
      <c r="D132" s="3091" t="s">
        <v>2785</v>
      </c>
      <c r="E132" s="3117">
        <v>0.1</v>
      </c>
      <c r="F132" s="3117">
        <v>15</v>
      </c>
    </row>
    <row r="133" spans="1:6" ht="13.5">
      <c r="A133" s="3117">
        <v>61</v>
      </c>
      <c r="B133" s="380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804" t="s">
        <v>2791</v>
      </c>
      <c r="C135" s="3117" t="s">
        <v>2792</v>
      </c>
      <c r="D135" s="3091" t="s">
        <v>2793</v>
      </c>
      <c r="E135" s="3117">
        <v>0.1</v>
      </c>
      <c r="F135" s="3117">
        <v>15</v>
      </c>
    </row>
    <row r="136" spans="1:6" ht="13.5">
      <c r="A136" s="3117">
        <v>64</v>
      </c>
      <c r="B136" s="3804"/>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1.0286999999999999</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0.97430000000000005</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42599</v>
      </c>
      <c r="C2" s="2" t="s">
        <v>106</v>
      </c>
      <c r="D2" s="199"/>
      <c r="E2" s="199"/>
      <c r="F2" s="199"/>
      <c r="G2" s="199"/>
    </row>
    <row r="3" spans="1:7" s="200" customFormat="1" ht="18" customHeight="1" thickBot="1">
      <c r="A3" s="203" t="s">
        <v>58</v>
      </c>
      <c r="B3" s="204">
        <f ca="1">ROUND(B2*10000/'数据-汇总表'!E3,0)</f>
        <v>15683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543</v>
      </c>
      <c r="D10" s="845">
        <f>'数据-汇总表'!E6</f>
        <v>27162.899999999998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543</v>
      </c>
      <c r="D19" s="849">
        <f>'数据-汇总表'!E3</f>
        <v>27162.899999999998</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1810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46</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4315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14735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13581</v>
      </c>
      <c r="D34" s="217"/>
      <c r="E34" s="220"/>
      <c r="F34" s="257">
        <f>IF('数据-取费表'!B24=0,1,'数据-取费表'!N16)</f>
        <v>1</v>
      </c>
      <c r="G34" s="219" t="s">
        <v>89</v>
      </c>
    </row>
    <row r="35" spans="1:7" ht="13.5" customHeight="1">
      <c r="A35" s="780" t="s">
        <v>351</v>
      </c>
      <c r="B35" s="215" t="s">
        <v>33</v>
      </c>
      <c r="C35" s="220">
        <f>ROUND(C34*F35,0)</f>
        <v>407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543</v>
      </c>
      <c r="D37" s="217">
        <f>'数据-汇总表'!E3</f>
        <v>27162.899999999998</v>
      </c>
      <c r="E37" s="249">
        <f>'数据-取费表'!B35</f>
        <v>200</v>
      </c>
      <c r="F37" s="259"/>
      <c r="G37" s="261" t="s">
        <v>92</v>
      </c>
    </row>
    <row r="38" spans="1:7" ht="13.5" customHeight="1">
      <c r="A38" s="780" t="s">
        <v>354</v>
      </c>
      <c r="B38" s="215" t="s">
        <v>36</v>
      </c>
      <c r="C38" s="220">
        <f>ROUND(C34*F38,0)</f>
        <v>204</v>
      </c>
      <c r="D38" s="220"/>
      <c r="E38" s="220"/>
      <c r="F38" s="259">
        <f>'数据-取费表'!B36</f>
        <v>1.4999999999999999E-2</v>
      </c>
      <c r="G38" s="219" t="s">
        <v>90</v>
      </c>
    </row>
    <row r="39" spans="1:7" s="214" customFormat="1" ht="13.5" customHeight="1">
      <c r="A39" s="777" t="s">
        <v>338</v>
      </c>
      <c r="B39" s="210" t="s">
        <v>77</v>
      </c>
      <c r="C39" s="232">
        <f>ROUND(C33*F20,0)</f>
        <v>295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624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612</v>
      </c>
      <c r="D42" s="238"/>
      <c r="E42" s="238"/>
      <c r="F42" s="239"/>
      <c r="G42" s="3678" t="s">
        <v>94</v>
      </c>
    </row>
    <row r="43" spans="1:7" ht="13.5" customHeight="1">
      <c r="A43" s="780" t="s">
        <v>347</v>
      </c>
      <c r="B43" s="215" t="s">
        <v>426</v>
      </c>
      <c r="C43" s="238">
        <f ca="1">ROUND(IF('数据-取费表'!B22&lt;=1,C39*F22*'数据-取费表'!B21/2,C39*(POWER((1+F22),'数据-取费表'!B21/2)-1)),0)</f>
        <v>12</v>
      </c>
      <c r="D43" s="238"/>
      <c r="E43" s="238"/>
      <c r="F43" s="239"/>
      <c r="G43" s="3679"/>
    </row>
    <row r="44" spans="1:7" ht="13.5" customHeight="1">
      <c r="A44" s="780" t="s">
        <v>348</v>
      </c>
      <c r="B44" s="215" t="s">
        <v>428</v>
      </c>
      <c r="C44" s="238">
        <f ca="1">ROUND(IF('数据-取费表'!B22&lt;=1,C40*F22*'数据-取费表'!B21/2,C40*(POWER((1+F22),'数据-取费表'!B21/2)-1)),4)</f>
        <v>8.0000000000000004E-4</v>
      </c>
      <c r="D44" s="238"/>
      <c r="E44" s="238"/>
      <c r="F44" s="239"/>
      <c r="G44" s="3680"/>
    </row>
    <row r="45" spans="1:7" s="214" customFormat="1" ht="13.5" customHeight="1">
      <c r="A45" s="777" t="s">
        <v>341</v>
      </c>
      <c r="B45" s="244" t="s">
        <v>85</v>
      </c>
      <c r="C45" s="245">
        <f>C46</f>
        <v>3006</v>
      </c>
      <c r="D45" s="235">
        <f>C47</f>
        <v>4.0000000000000001E-3</v>
      </c>
      <c r="E45" s="236" t="s">
        <v>102</v>
      </c>
      <c r="F45" s="246"/>
      <c r="G45" s="247" t="s">
        <v>434</v>
      </c>
    </row>
    <row r="46" spans="1:7" s="214" customFormat="1" ht="13.5" customHeight="1">
      <c r="A46" s="780" t="s">
        <v>349</v>
      </c>
      <c r="B46" s="248" t="s">
        <v>427</v>
      </c>
      <c r="C46" s="249">
        <f>ROUND((C33+C39)*F27,0)</f>
        <v>3006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20242</v>
      </c>
      <c r="D49" s="232"/>
      <c r="E49" s="232"/>
      <c r="F49" s="264"/>
      <c r="G49" s="234" t="s">
        <v>435</v>
      </c>
    </row>
    <row r="50" spans="1:7" s="258" customFormat="1" ht="24">
      <c r="A50" s="777" t="s">
        <v>344</v>
      </c>
      <c r="B50" s="210" t="s">
        <v>97</v>
      </c>
      <c r="C50" s="232"/>
      <c r="D50" s="232"/>
      <c r="E50" s="232"/>
      <c r="F50" s="264">
        <f>IF('数据-取费表'!B24=0,'数据-取费表'!N16,1)</f>
        <v>0.62</v>
      </c>
      <c r="G50" s="247" t="s">
        <v>98</v>
      </c>
    </row>
    <row r="51" spans="1:7" ht="16.5" customHeight="1">
      <c r="A51" s="777" t="s">
        <v>345</v>
      </c>
      <c r="B51" s="210" t="s">
        <v>105</v>
      </c>
      <c r="C51" s="232">
        <f ca="1">ROUND(C49*F50,0)</f>
        <v>12550</v>
      </c>
      <c r="D51" s="232"/>
      <c r="E51" s="232"/>
      <c r="F51" s="264"/>
      <c r="G51" s="234" t="s">
        <v>37</v>
      </c>
    </row>
    <row r="52" spans="1:7" s="208" customFormat="1" ht="16.5" thickBot="1">
      <c r="A52" s="265" t="s">
        <v>38</v>
      </c>
      <c r="B52" s="266"/>
      <c r="C52" s="267">
        <f ca="1">C31+C51</f>
        <v>42599</v>
      </c>
      <c r="D52" s="266"/>
      <c r="E52" s="266"/>
      <c r="F52" s="266"/>
      <c r="G52" s="268"/>
    </row>
    <row r="55" spans="1:7" ht="15">
      <c r="B55" s="270" t="s">
        <v>39</v>
      </c>
      <c r="C55" s="271"/>
    </row>
    <row r="56" spans="1:7">
      <c r="B56" s="273" t="s">
        <v>40</v>
      </c>
      <c r="C56" s="274">
        <f ca="1">ROUND(C51/C52,3)</f>
        <v>0.29499999999999998</v>
      </c>
    </row>
    <row r="57" spans="1:7">
      <c r="B57" s="273" t="s">
        <v>41</v>
      </c>
      <c r="C57" s="275">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105343</v>
      </c>
      <c r="E5" s="1491"/>
    </row>
    <row r="6" spans="1:5" ht="15.75">
      <c r="A6" s="1491"/>
      <c r="B6" s="3497"/>
      <c r="C6" s="1494" t="s">
        <v>911</v>
      </c>
      <c r="D6" s="850" t="str">
        <f ca="1">NUMBERSTRING(INT(D5*10000),2)&amp;"元整"</f>
        <v>壹拾亿伍仟叁佰肆拾叁万元整</v>
      </c>
      <c r="E6" s="1491"/>
    </row>
    <row r="7" spans="1:5" ht="15.75">
      <c r="A7" s="1491"/>
      <c r="B7" s="3502"/>
      <c r="C7" s="1495" t="s">
        <v>912</v>
      </c>
      <c r="D7" s="851">
        <f ca="1">结果表!H102</f>
        <v>38782</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105343</v>
      </c>
      <c r="E13" s="1491"/>
    </row>
    <row r="14" spans="1:5" ht="15.75">
      <c r="A14" s="1491"/>
      <c r="B14" s="3497"/>
      <c r="C14" s="1494" t="s">
        <v>911</v>
      </c>
      <c r="D14" s="850" t="str">
        <f ca="1">NUMBERSTRING(INT(D13*10000),2)&amp;"元整"</f>
        <v>壹拾亿伍仟叁佰肆拾叁万元整</v>
      </c>
      <c r="E14" s="1491"/>
    </row>
    <row r="15" spans="1:5" ht="15">
      <c r="A15" s="1491"/>
      <c r="B15" s="3502"/>
      <c r="C15" s="1495" t="s">
        <v>921</v>
      </c>
      <c r="D15" s="859">
        <f ca="1">结果表!H108</f>
        <v>38782</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4.抵押净值</v>
      </c>
      <c r="C19" s="1499" t="s">
        <v>910</v>
      </c>
      <c r="D19" s="851">
        <f ca="1">结果表!H111</f>
        <v>100357</v>
      </c>
      <c r="E19" s="1491"/>
    </row>
    <row r="20" spans="1:5" ht="15.75">
      <c r="A20" s="1491"/>
      <c r="B20" s="3497"/>
      <c r="C20" s="1494" t="s">
        <v>923</v>
      </c>
      <c r="D20" s="850" t="str">
        <f ca="1">NUMBERSTRING(INT(D19*10000),2)&amp;"元整"</f>
        <v>壹拾亿零叁佰伍拾柒万元整</v>
      </c>
      <c r="E20" s="1491"/>
    </row>
    <row r="21" spans="1:5" ht="15.75" thickBot="1">
      <c r="A21" s="1491"/>
      <c r="B21" s="3498"/>
      <c r="C21" s="1501" t="s">
        <v>921</v>
      </c>
      <c r="D21" s="860">
        <f ca="1">结果表!H112</f>
        <v>36946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2845</v>
      </c>
      <c r="B1" s="3818"/>
      <c r="C1" s="3818"/>
      <c r="D1" s="3818"/>
      <c r="E1" s="3818"/>
      <c r="F1" s="3818"/>
      <c r="G1" s="3819"/>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16"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17"/>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0" t="s">
        <v>3187</v>
      </c>
      <c r="B1" s="3820"/>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1" t="s">
        <v>3238</v>
      </c>
      <c r="B1" s="3821"/>
      <c r="C1" s="3821"/>
      <c r="D1" s="3821"/>
      <c r="E1" s="3821"/>
      <c r="F1" s="3822"/>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45022</v>
      </c>
      <c r="B1" s="3209" t="s">
        <v>2844</v>
      </c>
      <c r="C1" s="3210"/>
      <c r="D1" s="3210"/>
      <c r="E1" s="3210"/>
      <c r="F1" s="3210"/>
      <c r="G1" s="3210"/>
      <c r="H1" s="3210"/>
      <c r="I1" s="3210"/>
      <c r="J1" s="3164"/>
      <c r="K1" s="3210" t="s">
        <v>454</v>
      </c>
      <c r="L1" s="3210"/>
      <c r="M1" s="3210"/>
      <c r="N1" s="3210"/>
      <c r="O1" s="3210"/>
      <c r="P1" s="3210"/>
      <c r="Q1" s="3164"/>
      <c r="R1" s="3823" t="s">
        <v>456</v>
      </c>
      <c r="S1" s="3824"/>
      <c r="T1" s="3824"/>
      <c r="U1" s="3824"/>
      <c r="V1" s="3824"/>
      <c r="W1" s="3824"/>
      <c r="X1" s="3164"/>
      <c r="Y1" s="3823" t="s">
        <v>457</v>
      </c>
      <c r="Z1" s="3824"/>
      <c r="AA1" s="3824"/>
      <c r="AB1" s="3824"/>
      <c r="AC1" s="3824"/>
      <c r="AD1" s="3824"/>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23" t="s">
        <v>2832</v>
      </c>
      <c r="S21" s="3824"/>
      <c r="T21" s="3824"/>
      <c r="U21" s="3824"/>
      <c r="V21" s="3824"/>
      <c r="W21" s="3824"/>
      <c r="X21" s="3164"/>
      <c r="Y21" s="3823" t="s">
        <v>2833</v>
      </c>
      <c r="Z21" s="3824"/>
      <c r="AA21" s="3824"/>
      <c r="AB21" s="3824"/>
      <c r="AC21" s="3824"/>
      <c r="AD21" s="3824"/>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topLeftCell="A10" workbookViewId="0">
      <selection activeCell="H18" sqref="H18"/>
    </sheetView>
  </sheetViews>
  <sheetFormatPr defaultColWidth="9" defaultRowHeight="13.5"/>
  <cols>
    <col min="1" max="2" width="9" style="3454"/>
    <col min="3" max="3" width="10.25" style="3454" bestFit="1" customWidth="1"/>
    <col min="4" max="13" width="9" style="3454"/>
    <col min="14" max="14" width="9.875" style="3454" bestFit="1" customWidth="1"/>
    <col min="15" max="15" width="9.5" style="3454" bestFit="1" customWidth="1"/>
    <col min="16" max="16" width="9.25" style="3454" bestFit="1" customWidth="1"/>
    <col min="17" max="17" width="9.75" style="3454" bestFit="1" customWidth="1"/>
    <col min="18" max="16384" width="9" style="3454"/>
  </cols>
  <sheetData>
    <row r="1" spans="2:20" ht="31.5">
      <c r="B1" s="3451" t="s">
        <v>3422</v>
      </c>
      <c r="C1" s="3451" t="s">
        <v>3423</v>
      </c>
      <c r="D1" s="3451" t="s">
        <v>3424</v>
      </c>
      <c r="E1" s="3452" t="s">
        <v>3425</v>
      </c>
      <c r="F1" s="3451" t="s">
        <v>3426</v>
      </c>
      <c r="G1" s="3453" t="s">
        <v>3427</v>
      </c>
      <c r="H1" s="3453" t="s">
        <v>3428</v>
      </c>
      <c r="I1" s="3452" t="s">
        <v>3429</v>
      </c>
      <c r="J1" s="3452" t="s">
        <v>3430</v>
      </c>
      <c r="K1" s="3452" t="s">
        <v>3431</v>
      </c>
      <c r="L1" s="3452" t="s">
        <v>3432</v>
      </c>
      <c r="M1" s="3452" t="s">
        <v>3433</v>
      </c>
      <c r="N1" s="3452" t="s">
        <v>3434</v>
      </c>
      <c r="O1" s="3452" t="s">
        <v>3435</v>
      </c>
      <c r="P1" s="3452" t="s">
        <v>3436</v>
      </c>
      <c r="Q1" s="3452"/>
    </row>
    <row r="2" spans="2:20" ht="21">
      <c r="B2" s="3455">
        <v>1</v>
      </c>
      <c r="C2" s="3456" t="s">
        <v>3437</v>
      </c>
      <c r="D2" s="3456" t="s">
        <v>21</v>
      </c>
      <c r="E2" s="3456" t="s">
        <v>3438</v>
      </c>
      <c r="F2" s="3456" t="s">
        <v>3439</v>
      </c>
      <c r="G2" s="3457">
        <v>37.1</v>
      </c>
      <c r="H2" s="3458">
        <v>109000</v>
      </c>
      <c r="I2" s="3458">
        <v>33940</v>
      </c>
      <c r="J2" s="3456" t="s">
        <v>3440</v>
      </c>
      <c r="K2" s="3456" t="s">
        <v>3441</v>
      </c>
      <c r="L2" s="3456" t="s">
        <v>3442</v>
      </c>
      <c r="M2" s="3456"/>
      <c r="N2" s="3456"/>
      <c r="O2" s="3456"/>
      <c r="P2" s="3456"/>
      <c r="Q2" s="3456"/>
    </row>
    <row r="3" spans="2:20">
      <c r="B3" s="3455">
        <v>2</v>
      </c>
      <c r="C3" s="3456" t="s">
        <v>3437</v>
      </c>
      <c r="D3" s="3456" t="s">
        <v>3</v>
      </c>
      <c r="E3" s="3456" t="s">
        <v>3443</v>
      </c>
      <c r="F3" s="3456" t="s">
        <v>3444</v>
      </c>
      <c r="G3" s="3455">
        <v>28</v>
      </c>
      <c r="H3" s="3458">
        <v>114200</v>
      </c>
      <c r="I3" s="3458">
        <v>24518</v>
      </c>
      <c r="J3" s="3456" t="s">
        <v>3440</v>
      </c>
      <c r="K3" s="3456" t="s">
        <v>3445</v>
      </c>
      <c r="L3" s="3456" t="s">
        <v>3446</v>
      </c>
      <c r="M3" s="3456"/>
      <c r="N3" s="3456"/>
      <c r="O3" s="3456"/>
      <c r="P3" s="3456"/>
      <c r="Q3" s="3456"/>
    </row>
    <row r="4" spans="2:20" ht="21">
      <c r="B4" s="3455">
        <v>3</v>
      </c>
      <c r="C4" s="3456" t="s">
        <v>3437</v>
      </c>
      <c r="D4" s="3456" t="s">
        <v>3447</v>
      </c>
      <c r="E4" s="3456" t="s">
        <v>3448</v>
      </c>
      <c r="F4" s="3456" t="s">
        <v>3449</v>
      </c>
      <c r="G4" s="3459">
        <v>20.48</v>
      </c>
      <c r="H4" s="3458">
        <v>37923</v>
      </c>
      <c r="I4" s="3458">
        <v>54004</v>
      </c>
      <c r="J4" s="3456" t="s">
        <v>3440</v>
      </c>
      <c r="K4" s="3456" t="s">
        <v>3450</v>
      </c>
      <c r="L4" s="3456" t="s">
        <v>3451</v>
      </c>
      <c r="M4" s="3456"/>
      <c r="N4" s="3456"/>
      <c r="O4" s="3456"/>
      <c r="P4" s="3456"/>
      <c r="Q4" s="3456"/>
    </row>
    <row r="5" spans="2:20" ht="31.5">
      <c r="B5" s="3455">
        <v>4</v>
      </c>
      <c r="C5" s="3456" t="s">
        <v>3437</v>
      </c>
      <c r="D5" s="3456" t="s">
        <v>3452</v>
      </c>
      <c r="E5" s="3456" t="s">
        <v>3453</v>
      </c>
      <c r="F5" s="3456" t="s">
        <v>3454</v>
      </c>
      <c r="G5" s="3455">
        <v>13</v>
      </c>
      <c r="H5" s="3458">
        <v>48000</v>
      </c>
      <c r="I5" s="3458">
        <v>27083</v>
      </c>
      <c r="J5" s="3456" t="s">
        <v>3455</v>
      </c>
      <c r="K5" s="3456" t="s">
        <v>3456</v>
      </c>
      <c r="L5" s="3456" t="s">
        <v>3457</v>
      </c>
      <c r="M5" s="3456"/>
      <c r="N5" s="3456"/>
      <c r="O5" s="3456"/>
      <c r="P5" s="3456"/>
      <c r="Q5" s="3456"/>
    </row>
    <row r="6" spans="2:20" ht="21">
      <c r="B6" s="3455">
        <v>5</v>
      </c>
      <c r="C6" s="3456" t="s">
        <v>3437</v>
      </c>
      <c r="D6" s="3456" t="s">
        <v>21</v>
      </c>
      <c r="E6" s="3456" t="s">
        <v>3458</v>
      </c>
      <c r="F6" s="3456" t="s">
        <v>3459</v>
      </c>
      <c r="G6" s="3459">
        <v>10.84</v>
      </c>
      <c r="H6" s="3458">
        <v>24252</v>
      </c>
      <c r="I6" s="3460">
        <v>44697</v>
      </c>
      <c r="J6" s="3456" t="s">
        <v>3455</v>
      </c>
      <c r="K6" s="3456" t="s">
        <v>3460</v>
      </c>
      <c r="L6" s="3456" t="s">
        <v>3461</v>
      </c>
      <c r="M6" s="3456"/>
      <c r="N6" s="3456"/>
      <c r="O6" s="3456"/>
      <c r="P6" s="3456"/>
      <c r="Q6" s="3456"/>
    </row>
    <row r="7" spans="2:20" ht="21">
      <c r="B7" s="3455">
        <v>6</v>
      </c>
      <c r="C7" s="3456" t="s">
        <v>3462</v>
      </c>
      <c r="D7" s="3456" t="s">
        <v>21</v>
      </c>
      <c r="E7" s="3456" t="s">
        <v>3463</v>
      </c>
      <c r="F7" s="3456" t="s">
        <v>3444</v>
      </c>
      <c r="G7" s="3457">
        <v>26.5</v>
      </c>
      <c r="H7" s="3458">
        <v>35940</v>
      </c>
      <c r="I7" s="3458">
        <v>73734</v>
      </c>
      <c r="J7" s="3456" t="s">
        <v>3440</v>
      </c>
      <c r="K7" s="3456" t="s">
        <v>3464</v>
      </c>
      <c r="L7" s="3456" t="s">
        <v>3465</v>
      </c>
      <c r="M7" s="3456"/>
      <c r="N7" s="3456">
        <v>0.25</v>
      </c>
      <c r="O7" s="3456">
        <v>48000</v>
      </c>
      <c r="P7" s="3456">
        <v>55208</v>
      </c>
      <c r="Q7" s="3456"/>
    </row>
    <row r="8" spans="2:20" s="3463" customFormat="1" ht="31.5">
      <c r="B8" s="3461">
        <v>7</v>
      </c>
      <c r="C8" s="3456" t="s">
        <v>3462</v>
      </c>
      <c r="D8" s="3456" t="s">
        <v>21</v>
      </c>
      <c r="E8" s="3456" t="s">
        <v>3466</v>
      </c>
      <c r="F8" s="3456" t="s">
        <v>3449</v>
      </c>
      <c r="G8" s="3461">
        <v>24</v>
      </c>
      <c r="H8" s="3462">
        <v>52838</v>
      </c>
      <c r="I8" s="3462">
        <v>56777</v>
      </c>
      <c r="J8" s="3456" t="s">
        <v>3440</v>
      </c>
      <c r="K8" s="3456" t="s">
        <v>3467</v>
      </c>
      <c r="L8" s="3456" t="s">
        <v>3468</v>
      </c>
      <c r="M8" s="3456"/>
      <c r="N8" s="3456">
        <v>63204</v>
      </c>
      <c r="O8" s="3456">
        <v>10366</v>
      </c>
      <c r="P8" s="3456">
        <v>30</v>
      </c>
      <c r="Q8" s="3456">
        <v>5.6777319353495601</v>
      </c>
    </row>
    <row r="9" spans="2:20" ht="31.5">
      <c r="B9" s="3455">
        <v>8</v>
      </c>
      <c r="C9" s="3456" t="s">
        <v>3462</v>
      </c>
      <c r="D9" s="3456" t="s">
        <v>3469</v>
      </c>
      <c r="E9" s="3456" t="s">
        <v>3470</v>
      </c>
      <c r="F9" s="3456" t="s">
        <v>3444</v>
      </c>
      <c r="G9" s="3455">
        <v>25.64</v>
      </c>
      <c r="H9" s="3458"/>
      <c r="I9" s="3458"/>
      <c r="J9" s="3456" t="s">
        <v>3440</v>
      </c>
      <c r="K9" s="3456" t="s">
        <v>3471</v>
      </c>
      <c r="L9" s="3456" t="s">
        <v>3472</v>
      </c>
      <c r="M9" s="3456">
        <v>1</v>
      </c>
      <c r="N9" s="3456"/>
      <c r="O9" s="3456">
        <v>60000</v>
      </c>
      <c r="P9" s="3456">
        <v>85466</v>
      </c>
      <c r="Q9" s="3456"/>
    </row>
    <row r="10" spans="2:20" s="3463" customFormat="1" ht="21">
      <c r="B10" s="3461">
        <v>9</v>
      </c>
      <c r="C10" s="3456" t="s">
        <v>3473</v>
      </c>
      <c r="D10" s="3456" t="s">
        <v>21</v>
      </c>
      <c r="E10" s="3456" t="s">
        <v>3474</v>
      </c>
      <c r="F10" s="3456" t="s">
        <v>3444</v>
      </c>
      <c r="G10" s="3464">
        <v>8.5</v>
      </c>
      <c r="H10" s="3462">
        <v>15776</v>
      </c>
      <c r="I10" s="3462">
        <v>53879</v>
      </c>
      <c r="J10" s="3456" t="s">
        <v>3440</v>
      </c>
      <c r="K10" s="3456" t="s">
        <v>3475</v>
      </c>
      <c r="L10" s="3456" t="s">
        <v>3476</v>
      </c>
      <c r="M10" s="3456"/>
      <c r="N10" s="3456"/>
      <c r="O10" s="3456"/>
      <c r="P10" s="3456"/>
      <c r="Q10" s="3456"/>
    </row>
    <row r="11" spans="2:20" ht="21">
      <c r="B11" s="3455">
        <v>10</v>
      </c>
      <c r="C11" s="3456" t="s">
        <v>3473</v>
      </c>
      <c r="D11" s="3456" t="s">
        <v>21</v>
      </c>
      <c r="E11" s="3456" t="s">
        <v>3477</v>
      </c>
      <c r="F11" s="3456" t="s">
        <v>3478</v>
      </c>
      <c r="G11" s="3457">
        <v>15.05</v>
      </c>
      <c r="H11" s="3460">
        <v>17629.080000000002</v>
      </c>
      <c r="I11" s="3460">
        <v>85370</v>
      </c>
      <c r="J11" s="3456" t="s">
        <v>3455</v>
      </c>
      <c r="K11" s="3456" t="s">
        <v>3479</v>
      </c>
      <c r="L11" s="3456" t="s">
        <v>3480</v>
      </c>
      <c r="M11" s="3456"/>
      <c r="N11" s="3456">
        <v>0.46</v>
      </c>
      <c r="O11" s="3456">
        <v>32414</v>
      </c>
      <c r="P11" s="3456">
        <f>ROUND(G11*100000000/H11,0)</f>
        <v>85370</v>
      </c>
      <c r="Q11" s="3456"/>
      <c r="R11" s="3465"/>
      <c r="S11" s="3465"/>
      <c r="T11" s="3465"/>
    </row>
    <row r="12" spans="2:20">
      <c r="B12" s="3455">
        <v>11</v>
      </c>
      <c r="C12" s="3456" t="s">
        <v>3473</v>
      </c>
      <c r="D12" s="3456" t="s">
        <v>21</v>
      </c>
      <c r="E12" s="3456" t="s">
        <v>3481</v>
      </c>
      <c r="F12" s="3456" t="s">
        <v>3449</v>
      </c>
      <c r="G12" s="3459">
        <v>3.66</v>
      </c>
      <c r="H12" s="3460">
        <v>6938</v>
      </c>
      <c r="I12" s="3460">
        <v>52757</v>
      </c>
      <c r="J12" s="3456" t="s">
        <v>3440</v>
      </c>
      <c r="K12" s="3456" t="s">
        <v>3482</v>
      </c>
      <c r="L12" s="3456" t="s">
        <v>3483</v>
      </c>
      <c r="M12" s="3456"/>
      <c r="N12" s="3456"/>
      <c r="O12" s="3456"/>
      <c r="P12" s="3456"/>
      <c r="Q12" s="3456"/>
    </row>
    <row r="13" spans="2:20" s="3479" customFormat="1" ht="21">
      <c r="B13" s="3475">
        <v>12</v>
      </c>
      <c r="C13" s="3469" t="s">
        <v>3484</v>
      </c>
      <c r="D13" s="3469" t="s">
        <v>3452</v>
      </c>
      <c r="E13" s="3469" t="s">
        <v>3485</v>
      </c>
      <c r="F13" s="3469" t="s">
        <v>3444</v>
      </c>
      <c r="G13" s="3475">
        <v>6</v>
      </c>
      <c r="H13" s="3477">
        <v>15000</v>
      </c>
      <c r="I13" s="3477">
        <v>40000</v>
      </c>
      <c r="J13" s="3469" t="s">
        <v>3440</v>
      </c>
      <c r="K13" s="3469" t="s">
        <v>3486</v>
      </c>
      <c r="L13" s="3469" t="s">
        <v>3487</v>
      </c>
      <c r="M13" s="3469"/>
      <c r="N13" s="3469"/>
      <c r="O13" s="3469"/>
      <c r="P13" s="3469"/>
      <c r="Q13" s="3469"/>
    </row>
    <row r="14" spans="2:20">
      <c r="B14" s="3455">
        <v>13</v>
      </c>
      <c r="C14" s="3456" t="s">
        <v>3484</v>
      </c>
      <c r="D14" s="3456" t="s">
        <v>21</v>
      </c>
      <c r="E14" s="3456" t="s">
        <v>3488</v>
      </c>
      <c r="F14" s="3456" t="s">
        <v>3454</v>
      </c>
      <c r="G14" s="3459">
        <v>16.739999999999998</v>
      </c>
      <c r="H14" s="3460">
        <v>28829</v>
      </c>
      <c r="I14" s="3460">
        <v>58077</v>
      </c>
      <c r="J14" s="3456" t="s">
        <v>3455</v>
      </c>
      <c r="K14" s="3456" t="s">
        <v>3489</v>
      </c>
      <c r="L14" s="3456" t="s">
        <v>3490</v>
      </c>
      <c r="M14" s="3456"/>
      <c r="N14" s="3456"/>
      <c r="O14" s="3456"/>
      <c r="P14" s="3456"/>
      <c r="Q14" s="3456"/>
    </row>
    <row r="15" spans="2:20" ht="21">
      <c r="B15" s="3455">
        <v>14</v>
      </c>
      <c r="C15" s="3456" t="s">
        <v>3484</v>
      </c>
      <c r="D15" s="3456" t="s">
        <v>3452</v>
      </c>
      <c r="E15" s="3456" t="s">
        <v>3491</v>
      </c>
      <c r="F15" s="3456" t="s">
        <v>3439</v>
      </c>
      <c r="G15" s="3457">
        <v>7.2</v>
      </c>
      <c r="H15" s="3460">
        <v>41900</v>
      </c>
      <c r="I15" s="3460">
        <v>17184</v>
      </c>
      <c r="J15" s="3456" t="s">
        <v>3455</v>
      </c>
      <c r="K15" s="3456" t="s">
        <v>3492</v>
      </c>
      <c r="L15" s="3456" t="s">
        <v>3493</v>
      </c>
      <c r="M15" s="3456"/>
      <c r="N15" s="3456"/>
      <c r="O15" s="3456"/>
      <c r="P15" s="3456"/>
      <c r="Q15" s="3456"/>
      <c r="R15" s="3465"/>
      <c r="S15" s="3465"/>
      <c r="T15" s="3465"/>
    </row>
    <row r="16" spans="2:20" s="3463" customFormat="1" ht="31.5">
      <c r="B16" s="3461">
        <v>15</v>
      </c>
      <c r="C16" s="3456" t="s">
        <v>3494</v>
      </c>
      <c r="D16" s="3456" t="s">
        <v>21</v>
      </c>
      <c r="E16" s="3456" t="s">
        <v>3495</v>
      </c>
      <c r="F16" s="3456" t="s">
        <v>3444</v>
      </c>
      <c r="G16" s="3466">
        <v>5.61</v>
      </c>
      <c r="H16" s="3462">
        <v>11645</v>
      </c>
      <c r="I16" s="3462">
        <v>48158</v>
      </c>
      <c r="J16" s="3456" t="s">
        <v>3455</v>
      </c>
      <c r="K16" s="3456" t="s">
        <v>3496</v>
      </c>
      <c r="L16" s="3456" t="s">
        <v>3497</v>
      </c>
      <c r="M16" s="3456"/>
      <c r="N16" s="3456"/>
      <c r="O16" s="3456"/>
      <c r="P16" s="3456"/>
      <c r="Q16" s="3456"/>
      <c r="R16" s="3467"/>
      <c r="S16" s="3467"/>
      <c r="T16" s="3467"/>
    </row>
    <row r="17" spans="2:24" ht="21">
      <c r="B17" s="3455">
        <v>16</v>
      </c>
      <c r="C17" s="3456" t="s">
        <v>3494</v>
      </c>
      <c r="D17" s="3456" t="s">
        <v>21</v>
      </c>
      <c r="E17" s="3456" t="s">
        <v>3498</v>
      </c>
      <c r="F17" s="3456" t="s">
        <v>3449</v>
      </c>
      <c r="G17" s="3457">
        <v>90.6</v>
      </c>
      <c r="H17" s="3460">
        <v>107627</v>
      </c>
      <c r="I17" s="3460">
        <v>84180</v>
      </c>
      <c r="J17" s="3456" t="s">
        <v>3440</v>
      </c>
      <c r="K17" s="3456" t="s">
        <v>3499</v>
      </c>
      <c r="L17" s="3456" t="s">
        <v>3500</v>
      </c>
      <c r="M17" s="3456">
        <v>12.307255260677</v>
      </c>
      <c r="N17" s="3456">
        <v>0.12</v>
      </c>
      <c r="O17" s="3456">
        <v>122430.06</v>
      </c>
      <c r="P17" s="3456">
        <f>ROUND(G17*100000000/H17,0)</f>
        <v>84180</v>
      </c>
      <c r="Q17" s="3456"/>
      <c r="R17" s="3465">
        <v>14</v>
      </c>
      <c r="S17" s="3465">
        <v>8745.0042857142907</v>
      </c>
      <c r="T17" s="3465"/>
    </row>
    <row r="18" spans="2:24" ht="31.5">
      <c r="B18" s="3455">
        <v>17</v>
      </c>
      <c r="C18" s="3456" t="s">
        <v>3494</v>
      </c>
      <c r="D18" s="3456" t="s">
        <v>3469</v>
      </c>
      <c r="E18" s="3456" t="s">
        <v>3501</v>
      </c>
      <c r="F18" s="3456" t="s">
        <v>3459</v>
      </c>
      <c r="G18" s="3455">
        <v>40</v>
      </c>
      <c r="H18" s="3460">
        <v>100030</v>
      </c>
      <c r="I18" s="3460">
        <v>40000</v>
      </c>
      <c r="J18" s="3456" t="s">
        <v>3502</v>
      </c>
      <c r="K18" s="3456" t="s">
        <v>3503</v>
      </c>
      <c r="L18" s="3456" t="s">
        <v>3504</v>
      </c>
      <c r="M18" s="3456"/>
      <c r="N18" s="3456"/>
      <c r="O18" s="3456"/>
      <c r="P18" s="3456"/>
      <c r="Q18" s="3456"/>
      <c r="R18" s="3465"/>
      <c r="S18" s="3465"/>
      <c r="T18" s="3465"/>
    </row>
    <row r="19" spans="2:24" s="3473" customFormat="1" ht="21">
      <c r="B19" s="3468">
        <v>18</v>
      </c>
      <c r="C19" s="3469" t="s">
        <v>3505</v>
      </c>
      <c r="D19" s="3469" t="s">
        <v>3506</v>
      </c>
      <c r="E19" s="3469" t="s">
        <v>3507</v>
      </c>
      <c r="F19" s="3469" t="s">
        <v>3478</v>
      </c>
      <c r="G19" s="3470">
        <v>43.3</v>
      </c>
      <c r="H19" s="3471">
        <v>110996</v>
      </c>
      <c r="I19" s="3471">
        <v>55732</v>
      </c>
      <c r="J19" s="3469" t="s">
        <v>3508</v>
      </c>
      <c r="K19" s="3469" t="s">
        <v>3509</v>
      </c>
      <c r="L19" s="3469" t="s">
        <v>3510</v>
      </c>
      <c r="M19" s="3469"/>
      <c r="N19" s="3469">
        <v>0.23937832355682301</v>
      </c>
      <c r="O19" s="3469">
        <v>145928</v>
      </c>
      <c r="P19" s="3469">
        <v>42389</v>
      </c>
      <c r="Q19" s="3469">
        <f>ROUND((1-(2023-2009)/60)*0.4+85%*0.6,2)</f>
        <v>0.82</v>
      </c>
      <c r="R19" s="3472"/>
      <c r="S19" s="3472"/>
      <c r="T19" s="3472"/>
      <c r="U19" s="3473">
        <v>2009</v>
      </c>
      <c r="V19" s="3473">
        <f>U19-1995</f>
        <v>14</v>
      </c>
      <c r="W19" s="3473">
        <f>V19*X19</f>
        <v>3.5</v>
      </c>
      <c r="X19" s="3473">
        <v>0.25</v>
      </c>
    </row>
    <row r="20" spans="2:24" ht="31.5">
      <c r="B20" s="3455">
        <v>19</v>
      </c>
      <c r="C20" s="3456" t="s">
        <v>3511</v>
      </c>
      <c r="D20" s="3456" t="s">
        <v>3469</v>
      </c>
      <c r="E20" s="3456" t="s">
        <v>3512</v>
      </c>
      <c r="F20" s="3456" t="s">
        <v>3449</v>
      </c>
      <c r="G20" s="3459">
        <v>16.45</v>
      </c>
      <c r="H20" s="3460">
        <v>41197</v>
      </c>
      <c r="I20" s="3460">
        <v>39930</v>
      </c>
      <c r="J20" s="3456" t="s">
        <v>3455</v>
      </c>
      <c r="K20" s="3456" t="s">
        <v>3513</v>
      </c>
      <c r="L20" s="3474" t="s">
        <v>3514</v>
      </c>
      <c r="M20" s="3474"/>
      <c r="N20" s="3474"/>
      <c r="O20" s="3474"/>
      <c r="P20" s="3474"/>
      <c r="Q20" s="3474">
        <v>230000</v>
      </c>
      <c r="R20" s="3465">
        <v>55829.307959317397</v>
      </c>
      <c r="S20" s="3465">
        <v>0.71521739130434803</v>
      </c>
      <c r="T20" s="3465"/>
    </row>
    <row r="21" spans="2:24">
      <c r="B21" s="3455">
        <v>20</v>
      </c>
      <c r="C21" s="3456" t="s">
        <v>3511</v>
      </c>
      <c r="D21" s="3456" t="s">
        <v>21</v>
      </c>
      <c r="E21" s="3456" t="s">
        <v>3515</v>
      </c>
      <c r="F21" s="3456" t="s">
        <v>3516</v>
      </c>
      <c r="G21" s="3459">
        <v>20</v>
      </c>
      <c r="H21" s="3460">
        <v>49000</v>
      </c>
      <c r="I21" s="3460">
        <v>40816</v>
      </c>
      <c r="J21" s="3456" t="s">
        <v>3455</v>
      </c>
      <c r="K21" s="3456" t="s">
        <v>3517</v>
      </c>
      <c r="L21" s="3456" t="s">
        <v>3518</v>
      </c>
      <c r="M21" s="3456"/>
      <c r="N21" s="3456"/>
      <c r="O21" s="3456"/>
      <c r="P21" s="3456"/>
      <c r="Q21" s="3456"/>
      <c r="R21" s="3465"/>
      <c r="S21" s="3465"/>
      <c r="T21" s="3465"/>
    </row>
    <row r="22" spans="2:24" ht="31.5">
      <c r="B22" s="3455">
        <v>21</v>
      </c>
      <c r="C22" s="3456" t="s">
        <v>3511</v>
      </c>
      <c r="D22" s="3456" t="s">
        <v>3519</v>
      </c>
      <c r="E22" s="3456" t="s">
        <v>3520</v>
      </c>
      <c r="F22" s="3456" t="s">
        <v>3521</v>
      </c>
      <c r="G22" s="3459">
        <v>6.55</v>
      </c>
      <c r="H22" s="3460">
        <v>37002</v>
      </c>
      <c r="I22" s="3460">
        <v>17702</v>
      </c>
      <c r="J22" s="3456" t="s">
        <v>3440</v>
      </c>
      <c r="K22" s="3456" t="s">
        <v>3522</v>
      </c>
      <c r="L22" s="3456" t="s">
        <v>3523</v>
      </c>
      <c r="M22" s="3456"/>
      <c r="N22" s="3456"/>
      <c r="O22" s="3456"/>
      <c r="P22" s="3456"/>
      <c r="Q22" s="3456"/>
      <c r="R22" s="3465"/>
      <c r="S22" s="3465"/>
      <c r="T22" s="3465"/>
    </row>
    <row r="23" spans="2:24" ht="21">
      <c r="B23" s="3455">
        <v>22</v>
      </c>
      <c r="C23" s="3456" t="s">
        <v>3511</v>
      </c>
      <c r="D23" s="3456" t="s">
        <v>21</v>
      </c>
      <c r="E23" s="3456" t="s">
        <v>3524</v>
      </c>
      <c r="F23" s="3456" t="s">
        <v>3521</v>
      </c>
      <c r="G23" s="3459">
        <v>8.67</v>
      </c>
      <c r="H23" s="3460">
        <v>38464</v>
      </c>
      <c r="I23" s="3460">
        <v>22547</v>
      </c>
      <c r="J23" s="3456" t="s">
        <v>3455</v>
      </c>
      <c r="K23" s="3456" t="s">
        <v>3525</v>
      </c>
      <c r="L23" s="3456" t="s">
        <v>3526</v>
      </c>
      <c r="M23" s="3456"/>
      <c r="N23" s="3456"/>
      <c r="O23" s="3456"/>
      <c r="P23" s="3456"/>
      <c r="Q23" s="3456"/>
      <c r="R23" s="3465"/>
      <c r="S23" s="3465"/>
      <c r="T23" s="3465"/>
    </row>
    <row r="24" spans="2:24" ht="21">
      <c r="B24" s="3455">
        <v>23</v>
      </c>
      <c r="C24" s="3456" t="s">
        <v>3511</v>
      </c>
      <c r="D24" s="3456" t="s">
        <v>21</v>
      </c>
      <c r="E24" s="3456" t="s">
        <v>3527</v>
      </c>
      <c r="F24" s="3456" t="s">
        <v>3528</v>
      </c>
      <c r="G24" s="3459">
        <v>8.75</v>
      </c>
      <c r="H24" s="3460">
        <v>45240</v>
      </c>
      <c r="I24" s="3460">
        <v>19343</v>
      </c>
      <c r="J24" s="3456" t="s">
        <v>3455</v>
      </c>
      <c r="K24" s="3456" t="s">
        <v>3529</v>
      </c>
      <c r="L24" s="3456" t="s">
        <v>3530</v>
      </c>
      <c r="M24" s="3456"/>
      <c r="N24" s="3456"/>
      <c r="O24" s="3456"/>
      <c r="P24" s="3456"/>
      <c r="Q24" s="3456"/>
      <c r="R24" s="3465"/>
      <c r="S24" s="3465"/>
      <c r="T24" s="3465"/>
    </row>
    <row r="25" spans="2:24" ht="21">
      <c r="B25" s="3455">
        <v>24</v>
      </c>
      <c r="C25" s="3456" t="s">
        <v>3511</v>
      </c>
      <c r="D25" s="3456" t="s">
        <v>21</v>
      </c>
      <c r="E25" s="3456" t="s">
        <v>3531</v>
      </c>
      <c r="F25" s="3456" t="s">
        <v>3439</v>
      </c>
      <c r="G25" s="3459">
        <v>2.97</v>
      </c>
      <c r="H25" s="3460">
        <v>3507</v>
      </c>
      <c r="I25" s="3460">
        <v>84688</v>
      </c>
      <c r="J25" s="3456" t="s">
        <v>3455</v>
      </c>
      <c r="K25" s="3456" t="s">
        <v>3532</v>
      </c>
      <c r="L25" s="3456" t="s">
        <v>3533</v>
      </c>
      <c r="M25" s="3456">
        <v>3.5</v>
      </c>
      <c r="N25" s="3456">
        <v>0.19</v>
      </c>
      <c r="O25" s="3456">
        <v>3506.47</v>
      </c>
      <c r="P25" s="3456">
        <v>84701</v>
      </c>
      <c r="Q25" s="3456"/>
      <c r="R25" s="3465">
        <v>687.53</v>
      </c>
      <c r="S25" s="3465">
        <v>2818.94</v>
      </c>
      <c r="T25" s="3465">
        <v>10.5358751871271</v>
      </c>
    </row>
    <row r="26" spans="2:24" ht="21">
      <c r="B26" s="3455">
        <v>25</v>
      </c>
      <c r="C26" s="3456" t="s">
        <v>3534</v>
      </c>
      <c r="D26" s="3456" t="s">
        <v>21</v>
      </c>
      <c r="E26" s="3456" t="s">
        <v>3535</v>
      </c>
      <c r="F26" s="3456" t="s">
        <v>3439</v>
      </c>
      <c r="G26" s="3459">
        <v>16.440000000000001</v>
      </c>
      <c r="H26" s="3460">
        <v>66158</v>
      </c>
      <c r="I26" s="3460">
        <v>24847</v>
      </c>
      <c r="J26" s="3456" t="s">
        <v>3455</v>
      </c>
      <c r="K26" s="3456" t="s">
        <v>3536</v>
      </c>
      <c r="L26" s="3456" t="s">
        <v>3537</v>
      </c>
      <c r="M26" s="3456"/>
      <c r="N26" s="3456"/>
      <c r="O26" s="3456"/>
      <c r="P26" s="3456"/>
      <c r="Q26" s="3456"/>
      <c r="R26" s="3465"/>
      <c r="S26" s="3465"/>
      <c r="T26" s="3465"/>
    </row>
    <row r="27" spans="2:24" ht="31.5">
      <c r="B27" s="3455">
        <v>26</v>
      </c>
      <c r="C27" s="3456" t="s">
        <v>3534</v>
      </c>
      <c r="D27" s="3456" t="s">
        <v>21</v>
      </c>
      <c r="E27" s="3456" t="s">
        <v>3562</v>
      </c>
      <c r="F27" s="3456" t="s">
        <v>3444</v>
      </c>
      <c r="G27" s="3459">
        <v>3.08</v>
      </c>
      <c r="H27" s="3460">
        <v>11951</v>
      </c>
      <c r="I27" s="3460">
        <v>25751</v>
      </c>
      <c r="J27" s="3456" t="s">
        <v>3455</v>
      </c>
      <c r="K27" s="3456" t="s">
        <v>3538</v>
      </c>
      <c r="L27" s="3456" t="s">
        <v>3539</v>
      </c>
      <c r="M27" s="3456"/>
      <c r="N27" s="3456"/>
      <c r="O27" s="3456"/>
      <c r="P27" s="3456"/>
      <c r="Q27" s="3456"/>
      <c r="R27" s="3465"/>
      <c r="S27" s="3465"/>
      <c r="T27" s="3465"/>
    </row>
    <row r="28" spans="2:24" ht="21">
      <c r="B28" s="3455">
        <v>27</v>
      </c>
      <c r="C28" s="3456" t="s">
        <v>3540</v>
      </c>
      <c r="D28" s="3456" t="s">
        <v>3</v>
      </c>
      <c r="E28" s="3456" t="s">
        <v>3541</v>
      </c>
      <c r="F28" s="3456" t="s">
        <v>3516</v>
      </c>
      <c r="G28" s="3459">
        <v>1.7</v>
      </c>
      <c r="H28" s="3460">
        <v>5382</v>
      </c>
      <c r="I28" s="3460">
        <v>31587</v>
      </c>
      <c r="J28" s="3456" t="s">
        <v>3455</v>
      </c>
      <c r="K28" s="3456" t="s">
        <v>3542</v>
      </c>
      <c r="L28" s="3456" t="s">
        <v>3543</v>
      </c>
      <c r="M28" s="3456"/>
      <c r="N28" s="3456"/>
      <c r="O28" s="3456"/>
      <c r="P28" s="3456"/>
      <c r="Q28" s="3456"/>
      <c r="R28" s="3465"/>
      <c r="S28" s="3465"/>
      <c r="T28" s="3465"/>
    </row>
    <row r="29" spans="2:24" ht="31.5">
      <c r="B29" s="3455">
        <v>28</v>
      </c>
      <c r="C29" s="3456" t="s">
        <v>3540</v>
      </c>
      <c r="D29" s="3456" t="s">
        <v>3</v>
      </c>
      <c r="E29" s="3456" t="s">
        <v>3544</v>
      </c>
      <c r="F29" s="3456" t="s">
        <v>3545</v>
      </c>
      <c r="G29" s="3459">
        <v>10.5</v>
      </c>
      <c r="H29" s="3460">
        <v>9671</v>
      </c>
      <c r="I29" s="3460">
        <v>108567</v>
      </c>
      <c r="J29" s="3456" t="s">
        <v>3440</v>
      </c>
      <c r="K29" s="3456" t="s">
        <v>3546</v>
      </c>
      <c r="L29" s="3456" t="s">
        <v>3547</v>
      </c>
      <c r="M29" s="3456"/>
      <c r="N29" s="3456"/>
      <c r="O29" s="3456"/>
      <c r="P29" s="3456"/>
      <c r="Q29" s="3456"/>
      <c r="R29" s="3465"/>
      <c r="S29" s="3465"/>
      <c r="T29" s="3465"/>
    </row>
    <row r="30" spans="2:24" ht="21">
      <c r="B30" s="3455">
        <v>29</v>
      </c>
      <c r="C30" s="3456" t="s">
        <v>3540</v>
      </c>
      <c r="D30" s="3456" t="s">
        <v>21</v>
      </c>
      <c r="E30" s="3456" t="s">
        <v>3548</v>
      </c>
      <c r="F30" s="3456" t="s">
        <v>3549</v>
      </c>
      <c r="G30" s="3459">
        <v>15.75</v>
      </c>
      <c r="H30" s="3460">
        <v>27765</v>
      </c>
      <c r="I30" s="3460">
        <v>56726</v>
      </c>
      <c r="J30" s="3456" t="s">
        <v>3440</v>
      </c>
      <c r="K30" s="3456" t="s">
        <v>3550</v>
      </c>
      <c r="L30" s="3474" t="s">
        <v>3551</v>
      </c>
      <c r="M30" s="3456"/>
      <c r="N30" s="3456">
        <f>ROUND((O30-H30)/O30,2)</f>
        <v>0.27</v>
      </c>
      <c r="O30" s="3456">
        <v>38000</v>
      </c>
      <c r="P30" s="3456"/>
      <c r="Q30" s="3456">
        <f>ROUND((1-(2023-2008)/60)*0.4+85%*0.6,2)</f>
        <v>0.81</v>
      </c>
      <c r="R30" s="3465"/>
      <c r="S30" s="3465"/>
      <c r="T30" s="3465"/>
      <c r="U30" s="3454">
        <v>2008</v>
      </c>
      <c r="V30" s="3454">
        <f>U30-1995</f>
        <v>13</v>
      </c>
      <c r="W30" s="3454">
        <f>V30*X30</f>
        <v>3.25</v>
      </c>
      <c r="X30" s="3454">
        <v>0.25</v>
      </c>
    </row>
    <row r="31" spans="2:24" s="3479" customFormat="1" ht="31.5">
      <c r="B31" s="3475">
        <v>30</v>
      </c>
      <c r="C31" s="3480">
        <v>44835</v>
      </c>
      <c r="D31" s="3469" t="s">
        <v>2814</v>
      </c>
      <c r="E31" s="3469" t="s">
        <v>3563</v>
      </c>
      <c r="F31" s="3469" t="s">
        <v>3552</v>
      </c>
      <c r="G31" s="3476">
        <v>20.37</v>
      </c>
      <c r="H31" s="3477">
        <v>44759.39</v>
      </c>
      <c r="I31" s="3477">
        <f>ROUND(G31*10000/H31*10000,0)</f>
        <v>45510</v>
      </c>
      <c r="J31" s="3469" t="s">
        <v>3553</v>
      </c>
      <c r="K31" s="3469" t="s">
        <v>3554</v>
      </c>
      <c r="L31" s="3469" t="s">
        <v>3555</v>
      </c>
      <c r="M31" s="3469">
        <f>ROUND(H31/7374.49,2)</f>
        <v>6.07</v>
      </c>
      <c r="N31" s="3469">
        <f>ROUND(13479.99/O31,2)</f>
        <v>0.23</v>
      </c>
      <c r="O31" s="3469">
        <v>58239.38</v>
      </c>
      <c r="P31" s="3469"/>
      <c r="Q31" s="3469">
        <f>ROUND(((1-(2023-2012)/60)+90%)/2,2)</f>
        <v>0.86</v>
      </c>
      <c r="R31" s="3478"/>
      <c r="S31" s="3478"/>
      <c r="T31" s="3478"/>
      <c r="U31" s="3479">
        <v>2012</v>
      </c>
      <c r="V31" s="3479">
        <f>U31-1995</f>
        <v>17</v>
      </c>
      <c r="W31" s="3479">
        <f>V31*X31</f>
        <v>4.25</v>
      </c>
      <c r="X31" s="3479">
        <v>0.25</v>
      </c>
    </row>
    <row r="32" spans="2:24" ht="21">
      <c r="B32" s="3455">
        <v>31</v>
      </c>
      <c r="C32" s="3481">
        <v>44713</v>
      </c>
      <c r="D32" s="3456" t="s">
        <v>2814</v>
      </c>
      <c r="E32" s="3456" t="s">
        <v>3556</v>
      </c>
      <c r="F32" s="3456" t="s">
        <v>3557</v>
      </c>
      <c r="G32" s="3459">
        <v>50.15</v>
      </c>
      <c r="H32" s="3460">
        <f>ROUND(O32/47*42,0)</f>
        <v>131719</v>
      </c>
      <c r="I32" s="3460">
        <f>ROUND(G32*10000/H32*10000,0)</f>
        <v>38073</v>
      </c>
      <c r="J32" s="3456" t="s">
        <v>3558</v>
      </c>
      <c r="K32" s="3456" t="s">
        <v>3559</v>
      </c>
      <c r="L32" s="3456" t="s">
        <v>3560</v>
      </c>
      <c r="M32" s="3456"/>
      <c r="N32" s="3456">
        <f>ROUND(O32/47*5/O32,2)</f>
        <v>0.11</v>
      </c>
      <c r="O32" s="3456">
        <v>147400</v>
      </c>
      <c r="P32" s="3456"/>
      <c r="Q32" s="3456">
        <f>ROUND(1-(2023-2021)/60,2)</f>
        <v>0.97</v>
      </c>
      <c r="R32" s="3465" t="s">
        <v>3561</v>
      </c>
      <c r="S32" s="3465"/>
      <c r="T32" s="3465"/>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4" t="s">
        <v>925</v>
      </c>
      <c r="E3" s="854" t="s">
        <v>931</v>
      </c>
      <c r="F3" s="854" t="s">
        <v>925</v>
      </c>
      <c r="G3" s="854" t="s">
        <v>926</v>
      </c>
      <c r="H3" s="854" t="s">
        <v>925</v>
      </c>
      <c r="I3" s="854" t="s">
        <v>926</v>
      </c>
    </row>
    <row r="4" spans="1:9" ht="15">
      <c r="A4" s="1505" t="str">
        <f>项目基本情况!S2</f>
        <v>北京市房地产</v>
      </c>
      <c r="B4" s="854">
        <f>项目基本情况!C17</f>
        <v>27162.899999999998</v>
      </c>
      <c r="C4" s="854">
        <f>项目基本情况!C18</f>
        <v>8298.76</v>
      </c>
      <c r="D4" s="854">
        <f ca="1">结果表!D118</f>
        <v>93229</v>
      </c>
      <c r="E4" s="854">
        <f ca="1">结果表!E118</f>
        <v>34322</v>
      </c>
      <c r="F4" s="854">
        <f ca="1">结果表!F118</f>
        <v>12114</v>
      </c>
      <c r="G4" s="854">
        <f ca="1">结果表!G118</f>
        <v>4460</v>
      </c>
      <c r="H4" s="854">
        <f ca="1">结果表!H118</f>
        <v>105343</v>
      </c>
      <c r="I4" s="854">
        <f ca="1">结果表!I118</f>
        <v>38782</v>
      </c>
    </row>
    <row r="5" spans="1:9" ht="30" customHeight="1">
      <c r="A5" s="3509" t="s">
        <v>927</v>
      </c>
      <c r="B5" s="3509"/>
      <c r="C5" s="3509"/>
      <c r="D5" s="3509" t="str">
        <f ca="1">结果表!D119</f>
        <v>玖亿叁仟贰佰贰拾玖万元整</v>
      </c>
      <c r="E5" s="3509"/>
      <c r="F5" s="3509" t="str">
        <f ca="1">结果表!F119</f>
        <v>壹亿贰仟壹佰壹拾肆万元整</v>
      </c>
      <c r="G5" s="3509"/>
      <c r="H5" s="3509" t="str">
        <f ca="1">结果表!H119</f>
        <v>壹拾亿伍仟叁佰肆拾叁万元整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105343</v>
      </c>
      <c r="E8" s="3508"/>
      <c r="F8" s="3508"/>
      <c r="G8" s="3508"/>
      <c r="H8" s="3508"/>
      <c r="I8" s="3508"/>
    </row>
    <row r="9" spans="1:9" ht="15">
      <c r="A9" s="3509" t="s">
        <v>927</v>
      </c>
      <c r="B9" s="3509"/>
      <c r="C9" s="3509"/>
      <c r="D9" s="3509" t="str">
        <f ca="1">结果表!D123</f>
        <v>壹拾亿伍仟叁佰肆拾叁万元整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抵押净值</v>
      </c>
      <c r="B12" s="3508"/>
      <c r="C12" s="3508"/>
      <c r="D12" s="3508">
        <f ca="1">结果表!D126</f>
        <v>100357</v>
      </c>
      <c r="E12" s="3508"/>
      <c r="F12" s="3508"/>
      <c r="G12" s="3508"/>
      <c r="H12" s="3508"/>
      <c r="I12" s="3508"/>
    </row>
    <row r="13" spans="1:9" ht="15.75" thickBot="1">
      <c r="A13" s="3506" t="s">
        <v>927</v>
      </c>
      <c r="B13" s="3506"/>
      <c r="C13" s="3506"/>
      <c r="D13" s="3506" t="str">
        <f ca="1">结果表!D127</f>
        <v>壹拾亿零叁佰伍拾柒万元整</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949</v>
      </c>
      <c r="B1" s="3521"/>
      <c r="C1" s="3521"/>
      <c r="D1" s="3521"/>
    </row>
    <row r="2" spans="1:4" ht="18">
      <c r="A2" s="3522" t="s">
        <v>933</v>
      </c>
      <c r="B2" s="3522"/>
      <c r="C2" s="3522"/>
      <c r="D2" s="352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2" t="s">
        <v>939</v>
      </c>
      <c r="B6" s="3522"/>
      <c r="C6" s="3522"/>
      <c r="D6" s="35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45026</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2"/>
      <c r="E18" s="3534" t="s">
        <v>2161</v>
      </c>
      <c r="F18" s="3533"/>
      <c r="G18" s="353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2023-04-10T02:37:35Z</dcterms:modified>
</cp:coreProperties>
</file>