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S22" i="31"/>
  <c r="D15" i="74"/>
  <c r="G15" i="74"/>
  <c r="B15" i="74"/>
  <c r="U22" i="31"/>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C76" i="67"/>
  <c r="L51" i="67"/>
  <c r="J50" i="67"/>
  <c r="J51" i="67"/>
  <c r="L57" i="67"/>
  <c r="L47" i="67"/>
  <c r="L58" i="67"/>
  <c r="L59" i="67"/>
  <c r="L60" i="67"/>
  <c r="J57" i="67"/>
  <c r="J55" i="67"/>
  <c r="J58" i="67"/>
  <c r="J59" i="67"/>
  <c r="J53" i="67"/>
  <c r="L22" i="1"/>
  <c r="I34" i="34"/>
  <c r="G34" i="34"/>
  <c r="E34" i="34"/>
  <c r="I48" i="34"/>
  <c r="G48" i="34"/>
  <c r="E48" i="34"/>
  <c r="D3" i="4"/>
  <c r="C1" i="73"/>
  <c r="J1" i="73"/>
  <c r="D4" i="73"/>
  <c r="E20" i="43"/>
  <c r="N28" i="43"/>
  <c r="G20" i="43"/>
  <c r="F15" i="4"/>
  <c r="F6" i="1"/>
  <c r="I20" i="43"/>
  <c r="C20" i="43"/>
  <c r="I5" i="3"/>
  <c r="I4" i="6"/>
  <c r="G3" i="43"/>
  <c r="B2" i="1"/>
  <c r="G19" i="43"/>
  <c r="C19" i="43"/>
  <c r="C33" i="43"/>
  <c r="E33" i="43"/>
  <c r="C34" i="43"/>
  <c r="E34" i="43"/>
  <c r="C35" i="43"/>
  <c r="E35" i="43"/>
  <c r="C36" i="43"/>
  <c r="E36" i="43"/>
  <c r="C37" i="43"/>
  <c r="E37" i="43"/>
  <c r="E41" i="43"/>
  <c r="C41" i="43"/>
  <c r="C38" i="43"/>
  <c r="E38" i="43"/>
  <c r="C39" i="43"/>
  <c r="E39" i="43"/>
  <c r="BB13" i="3"/>
  <c r="BB5" i="3"/>
  <c r="E8" i="6"/>
  <c r="F19" i="6"/>
  <c r="D29" i="43"/>
  <c r="G37" i="34"/>
  <c r="E60" i="34"/>
  <c r="F60" i="34"/>
  <c r="G60" i="34"/>
  <c r="H60" i="34"/>
  <c r="I60" i="34"/>
  <c r="J60" i="34"/>
  <c r="K60" i="34"/>
  <c r="L60" i="34"/>
  <c r="M60" i="34"/>
  <c r="D60" i="34"/>
  <c r="C7" i="34"/>
  <c r="C59" i="34"/>
  <c r="D59" i="34"/>
  <c r="E59" i="34"/>
  <c r="F59" i="34"/>
  <c r="G59" i="34"/>
  <c r="H59" i="34"/>
  <c r="I59" i="34"/>
  <c r="J59" i="34"/>
  <c r="K59" i="34"/>
  <c r="L59" i="34"/>
  <c r="M59" i="34"/>
  <c r="N59" i="34"/>
  <c r="O59" i="34"/>
  <c r="F7" i="34"/>
  <c r="AA7" i="34"/>
  <c r="F27" i="34"/>
  <c r="AA27" i="34"/>
  <c r="C34" i="34"/>
  <c r="F34" i="34"/>
  <c r="AA34" i="34"/>
  <c r="F38" i="34"/>
  <c r="AA38" i="34"/>
  <c r="F43" i="34"/>
  <c r="AA43" i="34"/>
  <c r="R48" i="34"/>
  <c r="R49" i="34"/>
  <c r="H7" i="34"/>
  <c r="AB7" i="34"/>
  <c r="H37" i="34"/>
  <c r="AB37" i="34"/>
  <c r="H43" i="34"/>
  <c r="AB43" i="34"/>
  <c r="H34" i="34"/>
  <c r="AB34" i="34"/>
  <c r="H38" i="34"/>
  <c r="AB38" i="34"/>
  <c r="T48" i="34"/>
  <c r="H27" i="34"/>
  <c r="AB27" i="34"/>
  <c r="T49" i="34"/>
  <c r="J7" i="34"/>
  <c r="AC7" i="34"/>
  <c r="J37" i="34"/>
  <c r="AC37" i="34"/>
  <c r="J43" i="34"/>
  <c r="AC43" i="34"/>
  <c r="J34" i="34"/>
  <c r="AC34" i="34"/>
  <c r="J10" i="34"/>
  <c r="AC10" i="34"/>
  <c r="D114" i="34"/>
  <c r="J38" i="34"/>
  <c r="AC38" i="34"/>
  <c r="V48" i="34"/>
  <c r="J27" i="34"/>
  <c r="AC27" i="34"/>
  <c r="V49" i="34"/>
  <c r="R50" i="34"/>
  <c r="C50" i="34"/>
  <c r="B3" i="34"/>
  <c r="E19" i="6"/>
  <c r="K6" i="1"/>
  <c r="L1" i="73"/>
  <c r="C42" i="1"/>
  <c r="BA13" i="3"/>
  <c r="AZ13" i="3"/>
  <c r="AZ5" i="3"/>
  <c r="H13" i="3"/>
  <c r="G13" i="3"/>
  <c r="G5" i="3"/>
  <c r="B3" i="3"/>
  <c r="AY6" i="3"/>
  <c r="D3" i="6"/>
  <c r="E3" i="6"/>
  <c r="D19" i="6"/>
  <c r="BA5" i="3"/>
  <c r="E27" i="6"/>
  <c r="K19" i="6"/>
  <c r="L19" i="6"/>
  <c r="M19" i="6"/>
  <c r="I19" i="6"/>
  <c r="H19" i="6"/>
  <c r="R19" i="6"/>
  <c r="M6" i="1"/>
  <c r="S6" i="1"/>
  <c r="T6" i="1"/>
  <c r="F15" i="15"/>
  <c r="F20" i="15"/>
  <c r="F21" i="15"/>
  <c r="C28" i="15"/>
  <c r="N6" i="1"/>
  <c r="Y6" i="1"/>
  <c r="J51" i="15"/>
  <c r="C17" i="9"/>
  <c r="D17" i="9"/>
  <c r="C18" i="9"/>
  <c r="D18" i="9"/>
  <c r="B24" i="31"/>
  <c r="C37" i="3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C33" i="31"/>
  <c r="C34" i="31"/>
  <c r="C35"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AG6" i="1"/>
  <c r="H109" i="9"/>
  <c r="B2" i="34"/>
  <c r="C19" i="9"/>
  <c r="J57" i="15"/>
  <c r="J55" i="15"/>
  <c r="J58" i="15"/>
  <c r="J59" i="15"/>
  <c r="B2" i="67"/>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E14" i="49"/>
  <c r="AF3" i="71"/>
  <c r="P24" i="43"/>
  <c r="B66" i="40"/>
  <c r="P21" i="43"/>
  <c r="P22" i="43"/>
  <c r="C14" i="12"/>
  <c r="B13" i="49"/>
  <c r="B9" i="49"/>
  <c r="D19" i="68"/>
  <c r="C19" i="68"/>
  <c r="E6" i="49"/>
  <c r="B8" i="49"/>
  <c r="E4" i="49"/>
  <c r="B14" i="49"/>
  <c r="B22" i="49"/>
  <c r="C47" i="68"/>
  <c r="D45" i="68"/>
  <c r="C34" i="68"/>
  <c r="C35" i="68"/>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T14" i="43"/>
  <c r="V14" i="43"/>
  <c r="U8" i="71"/>
  <c r="G65" i="40"/>
  <c r="H63" i="40"/>
  <c r="H68" i="39"/>
  <c r="G70" i="39"/>
  <c r="E49" i="34"/>
  <c r="U7" i="34"/>
  <c r="G49" i="34"/>
  <c r="E52" i="21"/>
  <c r="F52" i="21"/>
  <c r="E53" i="21"/>
  <c r="F53" i="21"/>
  <c r="I53" i="34"/>
  <c r="J53" i="34"/>
  <c r="I54" i="34"/>
  <c r="J54" i="34"/>
  <c r="C48" i="21"/>
  <c r="C49" i="21"/>
  <c r="T3" i="43"/>
  <c r="V3" i="43"/>
  <c r="T6" i="43"/>
  <c r="V6" i="43"/>
  <c r="G38" i="43"/>
  <c r="I38" i="43"/>
  <c r="T5" i="43"/>
  <c r="V5"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49" i="34"/>
  <c r="I68" i="39"/>
  <c r="H70" i="39"/>
  <c r="G53" i="34"/>
  <c r="H53" i="34"/>
  <c r="G54" i="34"/>
  <c r="H54" i="34"/>
  <c r="E54" i="34"/>
  <c r="F54" i="34"/>
  <c r="E53" i="34"/>
  <c r="F53" i="34"/>
  <c r="G39" i="43"/>
  <c r="I39" i="43"/>
  <c r="G34" i="43"/>
  <c r="I34" i="43"/>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2" i="34"/>
  <c r="D2" i="33"/>
  <c r="B10" i="76"/>
  <c r="M27" i="67"/>
  <c r="B8" i="76"/>
  <c r="M29" i="67"/>
  <c r="AO7" i="1"/>
  <c r="F20" i="31"/>
  <c r="M21" i="15"/>
  <c r="F5" i="73"/>
  <c r="D2" i="21"/>
  <c r="C76" i="15"/>
  <c r="L51" i="15"/>
  <c r="L57" i="15"/>
  <c r="L47" i="15"/>
  <c r="L58" i="15"/>
  <c r="L59" i="15"/>
  <c r="L60" i="15"/>
  <c r="AO6" i="1"/>
  <c r="E11" i="76"/>
  <c r="F7" i="73"/>
  <c r="AO12" i="1"/>
  <c r="F22" i="68"/>
  <c r="C24" i="68"/>
  <c r="C26" i="68"/>
  <c r="D22" i="68"/>
  <c r="D37" i="68"/>
  <c r="C37" i="68"/>
  <c r="C38" i="68"/>
  <c r="C33" i="68"/>
  <c r="C39" i="68"/>
  <c r="C42" i="68"/>
  <c r="C43" i="68"/>
  <c r="C41" i="68"/>
  <c r="C46" i="68"/>
  <c r="C45" i="68"/>
  <c r="C44" i="68"/>
  <c r="D41" i="68"/>
  <c r="C49" i="68"/>
  <c r="C51" i="68"/>
  <c r="E9" i="76"/>
  <c r="M21" i="67"/>
  <c r="E2" i="68"/>
  <c r="J15" i="15"/>
  <c r="D2" i="36"/>
  <c r="M24" i="67"/>
  <c r="AO13" i="1"/>
  <c r="B13" i="76"/>
  <c r="B9" i="76"/>
  <c r="M28" i="67"/>
  <c r="B7" i="76"/>
  <c r="M23" i="15"/>
  <c r="J15" i="67"/>
  <c r="AO8" i="1"/>
  <c r="F3" i="73"/>
  <c r="M26" i="15"/>
  <c r="M29" i="15"/>
  <c r="M22" i="67"/>
  <c r="F6" i="73"/>
  <c r="D2" i="37"/>
  <c r="AO9" i="1"/>
  <c r="B11" i="76"/>
  <c r="AO11" i="1"/>
  <c r="D7" i="73"/>
  <c r="D6" i="73"/>
  <c r="E7" i="76"/>
  <c r="M24" i="15"/>
  <c r="E10" i="76"/>
  <c r="AO10" i="1"/>
  <c r="M23" i="67"/>
  <c r="E2" i="69"/>
  <c r="E12" i="76"/>
  <c r="M22" i="15"/>
  <c r="E8" i="76"/>
  <c r="E13" i="76"/>
  <c r="D2" i="35"/>
  <c r="M28" i="15"/>
  <c r="B12" i="76"/>
  <c r="M26" i="67"/>
  <c r="M27" i="15"/>
  <c r="D3" i="73"/>
  <c r="F31" i="67"/>
  <c r="F31" i="15"/>
  <c r="E9" i="49"/>
  <c r="E13" i="49"/>
  <c r="E21" i="49"/>
  <c r="E8" i="49"/>
  <c r="B10" i="49"/>
  <c r="E11" i="49"/>
  <c r="E22" i="49"/>
  <c r="B4" i="49"/>
  <c r="C29" i="69"/>
  <c r="D27" i="69"/>
  <c r="B6" i="49"/>
  <c r="R16" i="1"/>
  <c r="C12" i="12"/>
  <c r="C8" i="69"/>
  <c r="C5" i="69"/>
  <c r="K1" i="73"/>
  <c r="F69" i="67"/>
  <c r="F71" i="67"/>
  <c r="B2" i="35"/>
  <c r="B3" i="35"/>
  <c r="F66" i="67"/>
  <c r="B10" i="70"/>
  <c r="F51" i="67"/>
  <c r="F69" i="15"/>
  <c r="B11" i="70"/>
  <c r="F65" i="15"/>
  <c r="F65" i="67"/>
  <c r="B9" i="70"/>
  <c r="N59" i="15"/>
  <c r="M59" i="15"/>
  <c r="C103" i="9"/>
  <c r="B2" i="37"/>
  <c r="B3" i="37"/>
  <c r="M59" i="67"/>
  <c r="N59" i="67"/>
  <c r="D22" i="9"/>
  <c r="C21" i="9"/>
  <c r="C102" i="9"/>
  <c r="B8" i="70"/>
  <c r="D21" i="9"/>
  <c r="D102" i="9"/>
  <c r="F66" i="15"/>
  <c r="F50" i="15"/>
  <c r="Q71" i="67"/>
  <c r="B13" i="70"/>
  <c r="B2" i="36"/>
  <c r="B3" i="36"/>
  <c r="F50" i="67"/>
  <c r="Q71" i="15"/>
  <c r="F64" i="15"/>
  <c r="F63" i="67"/>
  <c r="C62" i="67"/>
  <c r="J20" i="67"/>
  <c r="F70" i="67"/>
  <c r="F68" i="67"/>
  <c r="F51" i="15"/>
  <c r="C49" i="15"/>
  <c r="D103" i="9"/>
  <c r="B12" i="70"/>
  <c r="F64" i="67"/>
  <c r="F63" i="15"/>
  <c r="C62" i="15"/>
  <c r="F71" i="15"/>
  <c r="B6" i="70"/>
  <c r="B2" i="21"/>
  <c r="B3" i="21"/>
  <c r="J20" i="15"/>
  <c r="B20" i="31"/>
  <c r="B7" i="70"/>
  <c r="F68" i="15"/>
  <c r="B2" i="33"/>
  <c r="B3" i="33"/>
  <c r="L56" i="15"/>
  <c r="Q50" i="15"/>
  <c r="I54" i="15"/>
  <c r="Q50" i="67"/>
  <c r="L56" i="67"/>
  <c r="I54" i="67"/>
  <c r="C38" i="69"/>
  <c r="C35" i="69"/>
  <c r="C16" i="12"/>
  <c r="D19" i="69"/>
  <c r="C18" i="12"/>
  <c r="F59" i="15"/>
  <c r="F59" i="67"/>
  <c r="M17" i="15"/>
  <c r="M17" i="67"/>
  <c r="C19" i="69"/>
  <c r="D37" i="69"/>
  <c r="C37" i="69"/>
  <c r="C33" i="69"/>
  <c r="G21" i="9"/>
  <c r="Q61" i="67"/>
  <c r="Q74" i="67"/>
  <c r="Q60" i="67"/>
  <c r="Q73" i="67"/>
  <c r="Q74" i="15"/>
  <c r="Q61" i="15"/>
  <c r="C49" i="67"/>
  <c r="M28" i="43"/>
  <c r="O28" i="43"/>
  <c r="P28" i="43"/>
  <c r="C21" i="12"/>
  <c r="Q52" i="67"/>
  <c r="F1" i="67"/>
  <c r="Q52" i="15"/>
  <c r="B2" i="70"/>
  <c r="B3" i="70"/>
  <c r="J18" i="67"/>
  <c r="Q60" i="15"/>
  <c r="Q73" i="15"/>
  <c r="C39" i="69"/>
  <c r="C46" i="69"/>
  <c r="C45" i="69"/>
  <c r="J18" i="15"/>
  <c r="J24" i="67"/>
  <c r="C22" i="12"/>
  <c r="C30" i="12"/>
  <c r="C28" i="12"/>
  <c r="C53" i="15"/>
  <c r="C48" i="15"/>
  <c r="C53" i="67"/>
  <c r="C48" i="67"/>
  <c r="C20" i="69"/>
  <c r="C28" i="69"/>
  <c r="C27" i="69"/>
  <c r="F25" i="12"/>
  <c r="C26" i="12"/>
  <c r="D25" i="12"/>
  <c r="F22" i="69"/>
  <c r="F22" i="11"/>
  <c r="C25" i="69"/>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57" i="67"/>
  <c r="Q49" i="67"/>
  <c r="J14" i="67"/>
  <c r="C22" i="11"/>
  <c r="C31" i="11"/>
  <c r="C52" i="11"/>
  <c r="B2" i="11"/>
  <c r="B3" i="11"/>
  <c r="C105" i="9"/>
  <c r="H102" i="9"/>
  <c r="D7" i="53"/>
  <c r="B21" i="72"/>
  <c r="I4" i="52"/>
  <c r="D55" i="9"/>
  <c r="M53" i="9"/>
  <c r="C64" i="9"/>
  <c r="C63" i="9"/>
  <c r="C67" i="9"/>
  <c r="C68" i="9"/>
  <c r="D54" i="9"/>
  <c r="C78" i="9"/>
  <c r="C73" i="9"/>
  <c r="C85" i="9"/>
  <c r="C72" i="9"/>
  <c r="C79" i="9"/>
  <c r="C93" i="9"/>
  <c r="C86" i="9"/>
  <c r="D52" i="9"/>
  <c r="D53" i="9"/>
  <c r="B20" i="72"/>
  <c r="D6" i="53"/>
  <c r="B22" i="72"/>
  <c r="Q48"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71" i="15"/>
  <c r="G14" i="74"/>
  <c r="B6" i="74"/>
  <c r="D123" i="9"/>
  <c r="D9" i="52"/>
  <c r="D8" i="52"/>
  <c r="D14" i="53"/>
  <c r="B32" i="72"/>
  <c r="B30" i="72"/>
  <c r="C80" i="67"/>
  <c r="C79" i="67"/>
  <c r="C80" i="9"/>
  <c r="C81" i="9"/>
  <c r="E80" i="9"/>
  <c r="E81" i="9"/>
  <c r="C80" i="15"/>
  <c r="C79" i="15"/>
  <c r="C58" i="67"/>
  <c r="C67" i="67"/>
  <c r="C68" i="67"/>
  <c r="C95" i="9"/>
  <c r="Q67"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 r="J22" i="43"/>
  <c r="C21" i="43"/>
  <c r="C29" i="43"/>
  <c r="E29" i="43"/>
  <c r="C26" i="43"/>
  <c r="B2" i="43"/>
  <c r="C6" i="68"/>
  <c r="C7" i="68"/>
  <c r="C5" i="68"/>
  <c r="C20" i="68"/>
  <c r="C23" i="68"/>
  <c r="C25" i="68"/>
  <c r="C22" i="68"/>
  <c r="C28" i="68"/>
  <c r="C27" i="68"/>
  <c r="C31" i="68"/>
  <c r="C52" i="68"/>
  <c r="B2" i="68"/>
  <c r="B3" i="68"/>
  <c r="C57" i="68"/>
  <c r="D35" i="9"/>
  <c r="C35" i="9"/>
  <c r="F118" i="9"/>
  <c r="G118" i="9"/>
  <c r="E118" i="9"/>
  <c r="E4" i="52"/>
  <c r="B48" i="72"/>
  <c r="F119" i="9"/>
  <c r="F5" i="52"/>
  <c r="B53" i="72"/>
  <c r="F4" i="52"/>
  <c r="B51" i="72"/>
  <c r="G4" i="52"/>
  <c r="B52" i="72"/>
  <c r="C34" i="9"/>
  <c r="D118" i="9"/>
  <c r="D119" i="9"/>
  <c r="D5" i="52"/>
  <c r="B49" i="72"/>
  <c r="D4" i="52"/>
  <c r="B47" i="72"/>
  <c r="B6" i="76"/>
  <c r="B2" i="76"/>
  <c r="C30" i="43"/>
  <c r="E30" i="43"/>
  <c r="C27" i="43"/>
  <c r="E6" i="76"/>
  <c r="E2" i="76"/>
  <c r="B3" i="76"/>
  <c r="C56" i="68"/>
  <c r="D34" i="9"/>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<sst xmlns="http://schemas.openxmlformats.org/spreadsheetml/2006/main" count="7435" uniqueCount="3141">
  <si>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</si>
  <si>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</si>
  <si>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</si>
  <si>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</si>
  <si>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</si>
  <si>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</si>
  <si>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</si>
  <si>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</si>
  <si>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</si>
  <si>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</si>
  <si>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</si>
  <si>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</si>
  <si>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</si>
  <si>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</si>
  <si>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</si>
  <si>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</si>
  <si>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</si>
  <si>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</si>
  <si>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</si>
  <si>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</si>
  <si>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</si>
  <si>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</si>
  <si>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</si>
  <si>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</si>
  <si>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</si>
  <si>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</si>
  <si>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</si>
  <si>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</si>
  <si>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</si>
  <si>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</si>
  <si>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</si>
  <si>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</si>
  <si>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</si>
  <si>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</si>
  <si>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</si>
  <si>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</si>
  <si>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</si>
  <si>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</si>
  <si>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</si>
  <si>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</si>
  <si>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</si>
  <si>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</si>
  <si>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</si>
  <si>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</si>
  <si>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</si>
  <si>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</si>
  <si>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</si>
  <si>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</si>
  <si>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</si>
  <si>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</si>
  <si>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</si>
  <si>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</si>
  <si>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</si>
  <si>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</si>
  <si>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</si>
  <si>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</si>
  <si>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</si>
  <si>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</si>
  <si>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</si>
  <si>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</si>
  <si>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</si>
  <si>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</si>
  <si>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</si>
  <si>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</si>
  <si>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</si>
  <si>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</si>
  <si>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</si>
  <si>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</si>
  <si>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</si>
  <si>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</si>
  <si>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</si>
  <si>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</si>
  <si>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</si>
  <si>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</si>
  <si>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</si>
  <si>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</si>
  <si>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</si>
  <si>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</si>
  <si>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</si>
  <si>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</si>
  <si>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</si>
  <si>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</si>
  <si>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</si>
  <si>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</si>
  <si>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</si>
  <si>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</si>
  <si>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</si>
  <si>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</si>
  <si>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</si>
  <si>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</si>
  <si>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</si>
  <si>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</si>
  <si>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</si>
  <si>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</si>
  <si>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</si>
  <si>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</si>
  <si>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</si>
  <si>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</si>
  <si>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</si>
  <si>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</si>
  <si>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</si>
  <si>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</si>
  <si>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</si>
  <si>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</si>
  <si>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</si>
  <si>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</si>
  <si>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</si>
  <si>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</si>
  <si>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</si>
  <si>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</si>
  <si>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</si>
  <si>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</si>
  <si>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</si>
  <si>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</si>
  <si>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</si>
  <si>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</si>
  <si>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</si>
  <si>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</si>
  <si>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</si>
  <si>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</si>
  <si>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</si>
  <si>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</si>
  <si>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</si>
  <si>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</si>
  <si>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</si>
  <si>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</si>
  <si>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</si>
  <si>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</si>
  <si>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</si>
  <si>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</si>
  <si>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</si>
  <si>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</si>
  <si>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</si>
  <si>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</si>
  <si>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</si>
  <si>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</si>
  <si>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</si>
  <si>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</si>
  <si>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</si>
  <si>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</si>
  <si>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</si>
  <si>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</si>
  <si>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</si>
  <si>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</si>
  <si>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</si>
  <si>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</si>
  <si>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</si>
  <si>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</si>
  <si>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</si>
  <si>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</si>
  <si>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</si>
  <si>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</si>
  <si>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</si>
  <si>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</si>
  <si>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</si>
  <si>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</si>
  <si>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</si>
  <si>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</si>
  <si>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</si>
  <si>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</si>
  <si>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</si>
  <si>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</si>
  <si>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</si>
  <si>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</si>
  <si>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</si>
  <si>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</si>
  <si>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</si>
  <si>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</si>
  <si>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</si>
  <si>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</si>
  <si>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</si>
  <si>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</si>
  <si>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</si>
  <si>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</si>
  <si>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</si>
  <si>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</si>
  <si>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</si>
  <si>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</si>
  <si>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</si>
  <si>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</si>
  <si>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</si>
  <si>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</si>
  <si>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</si>
  <si>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</si>
  <si>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</si>
  <si>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</si>
  <si>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</si>
  <si>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</si>
  <si>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</si>
  <si>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</si>
  <si>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</si>
  <si>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</si>
  <si>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</si>
  <si>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</si>
  <si>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</si>
  <si>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</si>
  <si>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</si>
  <si>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</si>
  <si>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</si>
  <si>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</si>
  <si>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</si>
  <si>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</si>
  <si>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</si>
  <si>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</si>
  <si>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</si>
  <si>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</si>
  <si>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</si>
  <si>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</si>
  <si>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</si>
  <si>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</si>
  <si>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</si>
  <si>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</si>
  <si>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</si>
  <si>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</si>
  <si>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</si>
  <si>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</si>
  <si>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</si>
  <si>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</si>
  <si>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</si>
  <si>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</si>
  <si>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</si>
  <si>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</si>
  <si>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</si>
  <si>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</si>
  <si>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</si>
  <si>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</si>
  <si>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</si>
  <si>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</si>
  <si>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</si>
  <si>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</si>
  <si>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</si>
  <si>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</si>
  <si>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</si>
  <si>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</si>
  <si>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</si>
  <si>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</si>
  <si>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</si>
  <si>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</si>
  <si>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</si>
  <si>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</si>
  <si>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</si>
  <si>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</si>
  <si>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</si>
  <si>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</si>
  <si>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</si>
  <si>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</si>
  <si>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</si>
  <si>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</si>
  <si>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</si>
  <si>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</si>
  <si>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</si>
  <si>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</si>
  <si>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</si>
  <si>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</si>
  <si>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</si>
  <si>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</si>
  <si>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</si>
  <si>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</si>
  <si>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</si>
  <si>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</si>
  <si>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</si>
  <si>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</si>
  <si>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</si>
  <si>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</si>
  <si>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</si>
  <si>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</si>
  <si>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</si>
  <si>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</si>
  <si>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</si>
  <si>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</si>
  <si>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</si>
  <si>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</si>
  <si>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</si>
  <si>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</si>
  <si>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</si>
  <si>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</si>
  <si>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</si>
  <si>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</si>
  <si>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</si>
  <si>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</si>
  <si>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</si>
  <si>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</si>
  <si>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</si>
  <si>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</si>
  <si>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</si>
  <si>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</si>
  <si>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</si>
  <si>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</si>
  <si>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</si>
  <si>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</si>
  <si>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</si>
  <si>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</si>
  <si>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</si>
  <si>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</si>
  <si>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</si>
  <si>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</si>
  <si>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</si>
  <si>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</si>
  <si>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</si>
  <si>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</si>
  <si>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</si>
  <si>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</si>
  <si>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</si>
  <si>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</si>
  <si>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</si>
  <si>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</si>
  <si>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</si>
  <si>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</si>
  <si>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</si>
  <si>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</si>
  <si>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</si>
  <si>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</si>
  <si>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</si>
  <si>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</si>
  <si>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</si>
  <si>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</si>
  <si>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</si>
  <si>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</si>
  <si>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</si>
  <si>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</si>
  <si>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</si>
  <si>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</si>
  <si>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</si>
  <si>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</si>
  <si>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</si>
  <si>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</si>
  <si>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</si>
  <si>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</si>
  <si>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</si>
  <si>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</si>
  <si>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</si>
  <si>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</si>
  <si>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</si>
  <si>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</si>
  <si>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</si>
  <si>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</si>
  <si>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</si>
  <si>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</si>
  <si>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</si>
  <si>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</si>
  <si>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</si>
  <si>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</si>
  <si>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</si>
  <si>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</si>
  <si>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</si>
  <si>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</si>
  <si>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</si>
  <si>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</si>
  <si>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</si>
  <si>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</si>
  <si>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</si>
  <si>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</si>
  <si>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</si>
  <si>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</si>
  <si>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</si>
  <si>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</si>
  <si>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</si>
  <si>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</si>
  <si>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</si>
  <si>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</si>
  <si>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</si>
  <si>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</si>
  <si>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</si>
  <si>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</si>
  <si>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</si>
  <si>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</si>
  <si>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</si>
  <si>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</si>
  <si>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</si>
  <si>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</si>
  <si>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</si>
  <si>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</si>
  <si>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</si>
  <si>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</si>
  <si>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</si>
  <si>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</si>
  <si>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</si>
  <si>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</si>
  <si>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</si>
  <si>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</si>
  <si>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</si>
  <si>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</si>
  <si>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</si>
  <si>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</si>
  <si>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</si>
  <si>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</si>
  <si>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</si>
  <si>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</si>
  <si>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</si>
  <si>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</si>
  <si>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</si>
  <si>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</si>
  <si>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</si>
  <si>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</si>
  <si>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</si>
  <si>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</si>
  <si>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</si>
  <si>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</si>
  <si>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</si>
  <si>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</si>
  <si>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</si>
  <si>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</si>
  <si>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</si>
  <si>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</si>
  <si>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</si>
  <si>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</si>
  <si>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</si>
  <si>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</si>
  <si>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</si>
  <si>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</si>
  <si>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</si>
  <si>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</si>
  <si>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</si>
  <si>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</si>
  <si>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</si>
  <si>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</si>
  <si>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</si>
  <si>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</si>
  <si>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</si>
  <si>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</si>
  <si>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</si>
  <si>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</si>
  <si>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</si>
  <si>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</si>
  <si>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</si>
  <si>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</si>
  <si>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</si>
  <si>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</si>
  <si>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</si>
  <si>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</si>
  <si>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</si>
  <si>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</si>
  <si>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</si>
  <si>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</si>
  <si>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</si>
  <si>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</si>
  <si>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</si>
  <si>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</si>
  <si>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</si>
  <si>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</si>
  <si>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</si>
  <si>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</si>
  <si>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</si>
  <si>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</si>
  <si>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</si>
  <si>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</si>
  <si>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</si>
  <si>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</si>
  <si>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</si>
  <si>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</si>
  <si>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</si>
  <si>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</si>
  <si>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</si>
  <si>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</si>
  <si>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</si>
  <si>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</si>
  <si>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</si>
  <si>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</si>
  <si>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</si>
  <si>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</si>
  <si>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</si>
  <si>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</si>
  <si>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</si>
  <si>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</si>
  <si>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</si>
  <si>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</si>
  <si>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</si>
  <si>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</si>
  <si>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</si>
  <si>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</si>
  <si>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</si>
  <si>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</si>
  <si>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</si>
  <si>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</si>
  <si>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</si>
  <si>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</si>
  <si>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</si>
  <si>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</si>
  <si>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</si>
  <si>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</si>
  <si>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</si>
  <si>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</si>
  <si>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</si>
  <si>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</si>
  <si>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</si>
  <si>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</si>
  <si>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</si>
  <si>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</si>
  <si>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</si>
  <si>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</si>
  <si>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</si>
  <si>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</si>
  <si>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</si>
  <si>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</si>
  <si>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</si>
  <si>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</si>
  <si>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</si>
  <si>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</si>
  <si>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</si>
  <si>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</si>
  <si>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</si>
  <si>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</si>
  <si>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</si>
  <si>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</si>
  <si>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</si>
  <si>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</si>
  <si>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</si>
  <si>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</si>
  <si>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</si>
  <si>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</si>
  <si>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</si>
  <si>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</si>
  <si>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</si>
  <si>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</si>
  <si>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</si>
  <si>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</si>
  <si>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</si>
  <si>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</si>
  <si>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</si>
  <si>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</si>
  <si>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</si>
  <si>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</si>
  <si>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</si>
  <si>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</si>
  <si>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</si>
  <si>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</si>
  <si>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</si>
  <si>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</si>
  <si>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</si>
  <si>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</si>
  <si>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</si>
  <si>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</si>
  <si>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</si>
  <si>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</si>
  <si>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</si>
  <si>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</si>
  <si>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</si>
  <si>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</si>
  <si>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</si>
  <si>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</si>
  <si>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</si>
  <si>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</si>
  <si>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</si>
  <si>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</si>
  <si>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</si>
  <si>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</si>
  <si>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</si>
  <si>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</si>
  <si>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</si>
  <si>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</si>
  <si>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</si>
  <si>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</si>
  <si>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</si>
  <si>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</si>
  <si>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</si>
  <si>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</si>
  <si>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</si>
  <si>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</si>
  <si>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</si>
  <si>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</si>
  <si>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</si>
  <si>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</si>
  <si>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</si>
  <si>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</si>
  <si>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</si>
  <si>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</si>
  <si>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</si>
  <si>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</si>
  <si>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</si>
  <si>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</si>
  <si>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</si>
  <si>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</si>
  <si>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</si>
  <si>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</si>
  <si>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</si>
  <si>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</si>
  <si>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</si>
  <si>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</si>
  <si>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</si>
  <si>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</si>
  <si>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</si>
  <si>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</si>
  <si>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</si>
  <si>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</si>
  <si>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</si>
  <si>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</si>
  <si>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</si>
  <si>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</si>
  <si>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</si>
  <si>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</si>
  <si>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</si>
  <si>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</si>
  <si>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</si>
  <si>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</si>
  <si>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</si>
  <si>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</si>
  <si>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</si>
  <si>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</si>
  <si>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</si>
  <si>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</si>
  <si>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</si>
  <si>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</si>
  <si>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</si>
  <si>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</si>
  <si>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</si>
  <si>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</si>
  <si>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</si>
  <si>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</si>
  <si>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</si>
  <si>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</si>
  <si>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</si>
  <si>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</si>
  <si>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</si>
  <si>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</si>
  <si>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</si>
  <si>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</si>
  <si>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</si>
  <si>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</si>
  <si>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</si>
  <si>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</si>
  <si>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</si>
  <si>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</si>
  <si>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</si>
  <si>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</si>
  <si>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</si>
  <si>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</si>
  <si>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</si>
  <si>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</si>
  <si>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</si>
  <si>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</si>
  <si>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</si>
  <si>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</si>
  <si>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</si>
  <si>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</si>
  <si>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</si>
  <si>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</si>
  <si>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</si>
  <si>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</si>
  <si>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</si>
  <si>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</si>
  <si>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</si>
  <si>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</si>
  <si>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</si>
  <si>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</si>
  <si>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</si>
  <si>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</si>
  <si>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</si>
  <si>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</si>
  <si>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</si>
  <si>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</si>
  <si>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</si>
  <si>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</si>
  <si>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</si>
  <si>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</si>
  <si>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</si>
  <si>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</si>
  <si>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</si>
  <si>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</si>
  <si>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</si>
  <si>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</si>
  <si>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</si>
  <si>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</si>
  <si>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</si>
  <si>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</si>
  <si>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</si>
  <si>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</si>
  <si>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</si>
  <si>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</si>
  <si>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</si>
  <si>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</si>
  <si>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</si>
  <si>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</si>
  <si>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</si>
  <si>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</si>
  <si>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</si>
  <si>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</si>
  <si>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</si>
  <si>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</si>
  <si>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</si>
  <si>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</si>
  <si>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</si>
  <si>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</si>
  <si>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</si>
  <si>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</si>
  <si>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</si>
  <si>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</si>
  <si>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</si>
  <si>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</si>
  <si>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</si>
  <si>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</si>
  <si>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</si>
  <si>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</si>
  <si>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</si>
  <si>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</si>
  <si>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</si>
  <si>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</si>
  <si>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</si>
  <si>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</si>
  <si>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</si>
  <si>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</si>
  <si>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</si>
  <si>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</si>
  <si>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</si>
  <si>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</si>
  <si>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</si>
  <si>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</si>
  <si>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</si>
  <si>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</si>
  <si>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</si>
  <si>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</si>
  <si>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</si>
  <si>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</si>
  <si>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</si>
  <si>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</si>
  <si>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</si>
  <si>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</si>
  <si>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</si>
  <si>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</si>
  <si>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</si>
  <si>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</si>
  <si>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</si>
  <si>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</si>
  <si>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</si>
  <si>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</si>
  <si>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</si>
  <si>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</si>
  <si>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</si>
  <si>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</si>
  <si>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</si>
  <si>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</si>
  <si>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</si>
  <si>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</si>
  <si>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</si>
  <si>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</si>
  <si>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</si>
  <si>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</si>
  <si>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</si>
  <si>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</si>
  <si>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</si>
  <si>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</si>
  <si>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</si>
  <si>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</si>
  <si>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</si>
  <si>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</si>
  <si>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</si>
  <si>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</si>
  <si>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</si>
  <si>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</si>
  <si>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</si>
  <si>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</si>
  <si>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</si>
  <si>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</si>
  <si>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</si>
  <si>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</si>
  <si>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</si>
  <si>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</si>
  <si>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</si>
  <si>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</si>
  <si>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</si>
  <si>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</si>
  <si>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</si>
  <si>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</si>
  <si>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</si>
  <si>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</si>
  <si>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</si>
  <si>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</si>
  <si>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</si>
  <si>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</si>
  <si>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</si>
  <si>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</si>
  <si>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</si>
  <si>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</si>
  <si>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</si>
  <si>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</si>
  <si>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</si>
  <si>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</si>
  <si>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</si>
  <si>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</si>
  <si>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</si>
  <si>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</si>
  <si>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</si>
  <si>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</si>
  <si>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</si>
  <si>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</si>
  <si>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</si>
  <si>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</si>
  <si>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</si>
  <si>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</si>
  <si>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</si>
  <si>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</si>
  <si>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</si>
  <si>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</si>
  <si>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</si>
  <si>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</si>
  <si>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</si>
  <si>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</si>
  <si>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</si>
  <si>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</si>
  <si>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</si>
  <si>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</si>
  <si>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</si>
  <si>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</si>
  <si>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</si>
  <si>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</si>
  <si>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</si>
  <si>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</si>
  <si>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</si>
  <si>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</si>
  <si>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</si>
  <si>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</si>
  <si>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</si>
  <si>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</si>
  <si>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</si>
  <si>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</si>
  <si>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</si>
  <si>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</si>
  <si>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</si>
  <si>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</si>
  <si>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</si>
  <si>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</si>
  <si>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</si>
  <si>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</si>
  <si>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</si>
  <si>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</si>
  <si>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</si>
  <si>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</si>
  <si>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</si>
  <si>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</si>
  <si>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</si>
  <si>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</si>
  <si>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</si>
  <si>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</si>
  <si>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</si>
  <si>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</si>
  <si>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</si>
  <si>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</si>
  <si>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</si>
  <si>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</si>
  <si>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</si>
  <si>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</si>
  <si>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</si>
  <si>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</si>
  <si>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</si>
  <si>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</si>
  <si>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</si>
  <si>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</si>
  <si>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</si>
  <si>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</si>
  <si>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</si>
  <si>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</si>
  <si>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</si>
  <si>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</si>
  <si>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</si>
  <si>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</si>
  <si>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</si>
  <si>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</si>
  <si>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</si>
  <si>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</si>
  <si>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</si>
  <si>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</si>
  <si>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</si>
  <si>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</si>
  <si>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</si>
  <si>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</si>
  <si>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</si>
  <si>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</si>
  <si>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</si>
  <si>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</si>
  <si>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</si>
  <si>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</si>
  <si>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</si>
  <si>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</si>
  <si>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</si>
  <si>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</si>
  <si>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</si>
  <si>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</si>
  <si>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</si>
  <si>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</si>
  <si>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</si>
  <si>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</si>
  <si>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</si>
  <si>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</si>
  <si>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</si>
  <si>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</si>
  <si>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</si>
  <si>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</si>
  <si>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</si>
  <si>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</si>
  <si>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</si>
  <si>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</si>
  <si>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</si>
  <si>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</si>
  <si>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</si>
  <si>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</si>
  <si>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</si>
  <si>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</si>
  <si>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</si>
  <si>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</si>
  <si>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</si>
  <si>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</si>
  <si>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</si>
  <si>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</si>
  <si>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</si>
  <si>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</si>
  <si>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</si>
  <si>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</si>
  <si>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</si>
  <si>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</si>
  <si>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</si>
  <si>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</si>
  <si>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</si>
  <si>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</si>
  <si>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</si>
  <si>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</si>
  <si>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</si>
  <si>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</si>
  <si>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</si>
  <si>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</si>
  <si>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</si>
  <si>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</si>
  <si>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</si>
  <si>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</si>
  <si>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</si>
  <si>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</si>
  <si>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</si>
  <si>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</si>
  <si>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</si>
  <si>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</si>
  <si>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</si>
  <si>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</si>
  <si>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</si>
  <si>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</si>
  <si>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</si>
  <si>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</si>
  <si>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</si>
  <si>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</si>
  <si>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</si>
  <si>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</si>
  <si>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</si>
  <si>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</si>
  <si>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</si>
  <si>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</si>
  <si>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</si>
  <si>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</si>
  <si>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</si>
  <si>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</si>
  <si>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</si>
  <si>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</si>
  <si>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</si>
  <si>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</si>
  <si>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</si>
  <si>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</si>
  <si>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</si>
  <si>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</si>
  <si>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</si>
  <si>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</si>
  <si>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</si>
  <si>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</si>
  <si>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</si>
  <si>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</si>
  <si>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</si>
  <si>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</si>
  <si>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</si>
  <si>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</si>
  <si>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</si>
  <si>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</si>
  <si>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</si>
  <si>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</si>
  <si>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</si>
  <si>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</si>
  <si>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</si>
  <si>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</si>
  <si>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</si>
  <si>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</si>
  <si>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</si>
  <si>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</si>
  <si>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</si>
  <si>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</si>
  <si>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</si>
  <si>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</si>
  <si>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</si>
  <si>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</si>
  <si>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</si>
  <si>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</si>
  <si>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</si>
  <si>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</si>
  <si>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</si>
  <si>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</si>
  <si>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</si>
  <si>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</si>
  <si>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</si>
  <si>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</si>
  <si>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</si>
  <si>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</si>
  <si>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</si>
  <si>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</si>
  <si>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</si>
  <si>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</si>
  <si>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</si>
  <si>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</si>
  <si>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</si>
  <si>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</si>
  <si>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</si>
  <si>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</si>
  <si>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</si>
  <si>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</si>
  <si>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</si>
  <si>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</si>
  <si>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</si>
  <si>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</si>
  <si>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</si>
  <si>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</si>
  <si>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</si>
  <si>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</si>
  <si>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</si>
  <si>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</si>
  <si>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</si>
  <si>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</si>
  <si>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</si>
  <si>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</si>
  <si>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</si>
  <si>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</si>
  <si>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</si>
  <si>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</si>
  <si>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</si>
  <si>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</si>
  <si>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</si>
  <si>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</si>
  <si>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</si>
  <si>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</si>
  <si>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</si>
  <si>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</si>
  <si>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</si>
  <si>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</si>
  <si>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</si>
  <si>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</si>
  <si>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</si>
  <si>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</si>
  <si>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</si>
  <si>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</si>
  <si>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</si>
  <si>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</si>
  <si>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</si>
  <si>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</si>
  <si>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</si>
  <si>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</si>
  <si>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</si>
  <si>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</si>
  <si>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</si>
  <si>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</si>
  <si>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</si>
  <si>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</si>
  <si>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</si>
  <si>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</si>
  <si>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</si>
  <si>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</si>
  <si>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</si>
  <si>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</si>
  <si>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</si>
  <si>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</si>
  <si>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</si>
  <si>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</si>
  <si>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</si>
  <si>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</si>
  <si>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</si>
  <si>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</si>
  <si>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</si>
  <si>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</si>
  <si>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</si>
  <si>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</si>
  <si>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</si>
  <si>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</si>
  <si>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</si>
  <si>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</si>
  <si>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</si>
  <si>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</si>
  <si>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</si>
  <si>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</si>
  <si>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</si>
  <si>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</si>
  <si>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</si>
  <si>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</si>
  <si>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</si>
  <si>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</si>
  <si>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</si>
  <si>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</si>
  <si>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</si>
  <si>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</si>
  <si>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</si>
  <si>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</si>
  <si>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</si>
  <si>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</si>
  <si>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</si>
  <si>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</si>
  <si>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</si>
  <si>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</si>
  <si>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</si>
  <si>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</si>
  <si>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</si>
  <si>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</si>
  <si>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</si>
  <si>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</si>
  <si>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</si>
  <si>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</si>
  <si>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</si>
  <si>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</si>
  <si>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</si>
  <si>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</si>
  <si>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</si>
  <si>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</si>
  <si>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</si>
  <si>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</si>
  <si>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</si>
  <si>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</si>
  <si>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</si>
  <si>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</si>
  <si>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</si>
  <si>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</si>
  <si>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</si>
  <si>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</si>
  <si>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</si>
  <si>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</si>
  <si>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</si>
  <si>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</si>
  <si>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</si>
  <si>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</si>
  <si>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</si>
  <si>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</si>
  <si>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</si>
  <si>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</si>
  <si>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</si>
  <si>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</si>
  <si>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</si>
  <si>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</si>
  <si>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</si>
  <si>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</si>
  <si>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</si>
  <si>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</si>
  <si>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</si>
  <si>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</si>
  <si>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</si>
  <si>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</si>
  <si>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</si>
  <si>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</si>
  <si>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</si>
  <si>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</si>
  <si>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</si>
  <si>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</si>
  <si>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</si>
  <si>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</si>
  <si>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</si>
  <si>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</si>
  <si>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</si>
  <si>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</si>
  <si>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</si>
  <si>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</si>
  <si>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</si>
  <si>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</si>
  <si>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</si>
  <si>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</si>
  <si>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</si>
  <si>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</si>
  <si>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</si>
  <si>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</si>
  <si>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</si>
  <si>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</si>
  <si>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</si>
  <si>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</si>
  <si>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</si>
  <si>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</si>
  <si>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</si>
  <si>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</si>
  <si>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</si>
  <si>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</si>
  <si>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</si>
  <si>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</si>
  <si>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</si>
  <si>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</si>
  <si>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</si>
  <si>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</si>
  <si>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</si>
  <si>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</si>
  <si>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</si>
  <si>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</si>
  <si>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</si>
  <si>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</si>
  <si>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</si>
  <si>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</si>
  <si>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</si>
  <si>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</si>
  <si>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</si>
  <si>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</si>
  <si>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</si>
  <si>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</si>
  <si>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</si>
  <si>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</si>
  <si>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</si>
  <si>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</si>
  <si>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</si>
  <si>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</si>
  <si>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</si>
  <si>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</si>
  <si>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</si>
  <si>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</si>
  <si>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</si>
  <si>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</si>
  <si>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</si>
  <si>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</si>
  <si>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</si>
  <si>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</si>
  <si>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</si>
  <si>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</si>
  <si>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</si>
  <si>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</si>
  <si>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</si>
  <si>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</si>
  <si>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</si>
  <si>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</si>
  <si>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</si>
  <si>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</si>
  <si>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</si>
  <si>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</si>
  <si>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</si>
  <si>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</si>
  <si>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</si>
  <si>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</si>
  <si>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</si>
  <si>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</si>
  <si>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</si>
  <si>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</si>
  <si>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</si>
  <si>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</si>
  <si>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</si>
  <si>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</si>
  <si>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</si>
  <si>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</si>
  <si>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</si>
  <si>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</si>
  <si>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</si>
  <si>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</si>
  <si>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</si>
  <si>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</si>
  <si>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</si>
  <si>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</si>
  <si>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</si>
  <si>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</si>
  <si>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</si>
  <si>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</si>
  <si>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</si>
  <si>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</si>
  <si>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</si>
  <si>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</si>
  <si>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</si>
  <si>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</si>
  <si>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</si>
  <si>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</si>
  <si>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</si>
  <si>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</si>
  <si>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</si>
  <si>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</si>
  <si>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</si>
  <si>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</si>
  <si>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</si>
  <si>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</si>
  <si>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</si>
  <si>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</si>
  <si>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</si>
  <si>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</si>
  <si>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</si>
  <si>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</si>
  <si>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</si>
  <si>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</si>
  <si>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</si>
  <si>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</si>
  <si>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</si>
  <si>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</si>
  <si>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</si>
  <si>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</si>
  <si>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</si>
  <si>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</si>
  <si>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</si>
  <si>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</si>
  <si>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</si>
  <si>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</si>
  <si>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</si>
  <si>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</si>
  <si>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</si>
  <si>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</si>
  <si>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</si>
  <si>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</si>
  <si>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</si>
  <si>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</si>
  <si>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</si>
  <si>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</si>
  <si>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</si>
  <si>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</si>
  <si>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</si>
  <si>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</si>
  <si>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</si>
  <si>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</si>
  <si>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</si>
  <si>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</si>
  <si>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</si>
  <si>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</si>
  <si>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</si>
  <si>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</si>
  <si>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</si>
  <si>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</si>
  <si>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</si>
  <si>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</si>
  <si>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</si>
  <si>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</si>
  <si>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</si>
  <si>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</si>
  <si>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</si>
  <si>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</si>
  <si>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</si>
  <si>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</si>
  <si>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</si>
  <si>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</si>
  <si>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</si>
  <si>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</si>
  <si>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</si>
  <si>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</si>
  <si>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</si>
  <si>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</si>
  <si>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</si>
  <si>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</si>
  <si>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</si>
  <si>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</si>
  <si>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</si>
  <si>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</si>
  <si>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</si>
  <si>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</si>
  <si>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</si>
  <si>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</si>
  <si>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</si>
  <si>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</si>
  <si>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</si>
  <si>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</si>
  <si>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</si>
  <si>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</si>
  <si>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</si>
  <si>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</si>
  <si>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</si>
  <si>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</si>
  <si>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</si>
  <si>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</si>
  <si>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</si>
  <si>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</si>
  <si>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</si>
  <si>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</si>
  <si>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</si>
  <si>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</si>
  <si>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</si>
  <si>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</si>
  <si>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</si>
  <si>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</si>
  <si>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</si>
  <si>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</si>
  <si>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</si>
  <si>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</si>
  <si>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</si>
  <si>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</si>
  <si>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</si>
  <si>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</si>
  <si>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</si>
  <si>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</si>
  <si>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</si>
  <si>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</si>
  <si>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</si>
  <si>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</si>
  <si>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</si>
  <si>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</si>
  <si>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</si>
  <si>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</si>
  <si>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</si>
  <si>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</si>
  <si>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</si>
  <si>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</si>
  <si>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</si>
  <si>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</si>
  <si>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</si>
  <si>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</si>
  <si>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</si>
  <si>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</si>
  <si>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</si>
  <si>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</si>
  <si>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</si>
  <si>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</si>
  <si>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</si>
  <si>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</si>
  <si>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</si>
  <si>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</si>
  <si>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</si>
  <si>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</si>
  <si>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</si>
  <si>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</si>
  <si>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</si>
  <si>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</si>
  <si>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</si>
  <si>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</si>
  <si>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</si>
  <si>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</si>
  <si>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</si>
  <si>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</si>
  <si>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</si>
  <si>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</si>
  <si>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</si>
  <si>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</si>
  <si>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</si>
  <si>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</si>
  <si>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</si>
  <si>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</si>
  <si>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</si>
  <si>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</si>
  <si>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</si>
  <si>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</si>
  <si>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</si>
  <si>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</si>
  <si>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</si>
  <si>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</si>
  <si>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</si>
  <si>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</si>
  <si>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</si>
  <si>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</si>
  <si>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</si>
  <si>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</si>
  <si>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</si>
  <si>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</si>
  <si>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</si>
  <si>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</si>
  <si>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</si>
  <si>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</si>
  <si>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</si>
  <si>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</si>
  <si>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</si>
  <si>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</si>
  <si>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</si>
  <si>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</si>
  <si>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</si>
  <si>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</si>
  <si>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</si>
  <si>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</si>
  <si>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</si>
  <si>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</si>
  <si>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</si>
  <si>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</si>
  <si>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</si>
  <si>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</si>
  <si>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</si>
  <si>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</si>
  <si>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</si>
  <si>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</si>
  <si>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</si>
  <si>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</si>
  <si>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</si>
  <si>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</si>
  <si>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</si>
  <si>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</si>
  <si>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</si>
  <si>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</si>
  <si>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</si>
  <si>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</si>
  <si>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</si>
  <si>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</si>
  <si>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</si>
  <si>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</si>
  <si>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</si>
  <si>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</si>
  <si>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</si>
  <si>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</si>
  <si>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</si>
  <si>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</si>
  <si>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</si>
  <si>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</si>
  <si>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</si>
  <si>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</si>
  <si>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</si>
  <si>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</si>
  <si>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</si>
  <si>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</si>
  <si>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</si>
  <si>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</si>
  <si>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</si>
  <si>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</si>
  <si>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</si>
  <si>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</si>
  <si>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</si>
  <si>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</si>
  <si>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</si>
  <si>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</si>
  <si>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</si>
  <si>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</si>
  <si>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</si>
  <si>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</si>
  <si>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</si>
  <si>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</si>
  <si>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</si>
  <si>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</si>
  <si>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</si>
  <si>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</si>
  <si>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</si>
  <si>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</si>
  <si>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</si>
  <si>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</si>
  <si>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</si>
  <si>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</si>
  <si>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</si>
  <si>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</si>
  <si>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</si>
  <si>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</si>
  <si>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</si>
  <si>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</si>
  <si>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</si>
  <si>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</si>
  <si>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</si>
  <si>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</si>
  <si>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</si>
  <si>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</si>
  <si>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</si>
  <si>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</si>
  <si>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</si>
  <si>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</si>
  <si>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</si>
  <si>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</si>
  <si>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</si>
  <si>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</si>
  <si>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</si>
  <si>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</si>
  <si>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</si>
  <si>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</si>
  <si>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</si>
  <si>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</si>
  <si>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</si>
  <si>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</si>
  <si>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</si>
  <si>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</si>
  <si>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</si>
  <si>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</si>
  <si>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</si>
  <si>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</si>
  <si>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</si>
  <si>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</si>
  <si>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</si>
  <si>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</si>
  <si>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</si>
  <si>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</si>
  <si>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</si>
  <si>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</si>
  <si>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</si>
  <si>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</si>
  <si>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</si>
  <si>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</si>
  <si>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</si>
  <si>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</si>
  <si>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</si>
  <si>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</si>
  <si>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</si>
  <si>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</si>
  <si>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</si>
  <si>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</si>
  <si>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</si>
  <si>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</si>
  <si>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</si>
  <si>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</si>
  <si>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</si>
  <si>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</si>
  <si>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</si>
  <si>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</si>
  <si>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</si>
  <si>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</si>
  <si>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</si>
  <si>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</si>
  <si>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</si>
  <si>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</si>
  <si>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</si>
  <si>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</si>
  <si>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</si>
  <si>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</si>
  <si>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</si>
  <si>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</si>
  <si>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</si>
  <si>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</si>
  <si>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</si>
  <si>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</si>
  <si>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</si>
  <si>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</si>
  <si>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</si>
  <si>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</si>
  <si>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</si>
  <si>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</si>
  <si>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</si>
  <si>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</si>
  <si>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</si>
  <si>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</si>
  <si>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</si>
  <si>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</si>
  <si>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</si>
  <si>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</si>
  <si>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</si>
  <si>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</si>
  <si>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</si>
  <si>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</si>
  <si>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</si>
  <si>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</si>
  <si>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</si>
  <si>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</si>
  <si>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</si>
  <si>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</si>
  <si>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</si>
  <si>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</si>
  <si>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</si>
  <si>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</si>
  <si>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</si>
  <si>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</si>
  <si>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</si>
  <si>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</si>
  <si>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</si>
  <si>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</si>
  <si>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</si>
  <si>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</si>
  <si>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</si>
  <si>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</si>
  <si>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</si>
  <si>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</si>
  <si>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</si>
  <si>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</si>
  <si>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</si>
  <si>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</si>
  <si>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</si>
  <si>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</si>
  <si>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</si>
  <si>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</si>
  <si>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</si>
  <si>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</si>
  <si>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</si>
  <si>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</si>
  <si>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</si>
  <si>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</si>
  <si>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</si>
  <si>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</si>
  <si>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</si>
  <si>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</si>
  <si>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</si>
  <si>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</si>
  <si>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</si>
  <si>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</si>
  <si>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</si>
  <si>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</si>
  <si>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</si>
  <si>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</si>
  <si>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</si>
  <si>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</si>
  <si>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</si>
  <si>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</si>
  <si>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</si>
  <si>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</si>
  <si>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</si>
  <si>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</si>
  <si>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</si>
  <si>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</si>
  <si>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</si>
  <si>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</si>
  <si>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</si>
  <si>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</si>
  <si>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</si>
  <si>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</si>
  <si>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</si>
  <si>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</si>
  <si>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</si>
  <si>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</si>
  <si>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</si>
  <si>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</si>
  <si>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</si>
  <si>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</si>
  <si>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</si>
  <si>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</si>
  <si>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</si>
  <si>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</si>
  <si>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</si>
  <si>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</si>
  <si>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</si>
  <si>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</si>
  <si>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</si>
  <si>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</si>
  <si>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</si>
  <si>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</si>
  <si>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</si>
  <si>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</si>
  <si>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</si>
  <si>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</si>
  <si>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</si>
  <si>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</si>
  <si>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</si>
  <si>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</si>
  <si>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</si>
  <si>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</si>
  <si>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</si>
  <si>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</si>
  <si>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</si>
  <si>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</si>
  <si>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</si>
  <si>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</si>
  <si>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</si>
  <si>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</si>
  <si>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</si>
  <si>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</si>
  <si>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</si>
  <si>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</si>
  <si>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</si>
  <si>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</si>
  <si>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</si>
  <si>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</si>
  <si>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</si>
  <si>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</si>
  <si>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</si>
  <si>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</si>
  <si>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</si>
  <si>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</si>
  <si>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</si>
  <si>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</si>
  <si>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</si>
  <si>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</si>
  <si>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</si>
  <si>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</si>
  <si>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</si>
  <si>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</si>
  <si>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</si>
  <si>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</si>
  <si>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</si>
  <si>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</si>
  <si>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</si>
  <si>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</si>
  <si>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</si>
  <si>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</si>
  <si>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</si>
  <si>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</si>
  <si>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</si>
  <si>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</si>
  <si>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</si>
  <si>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</si>
  <si>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</si>
  <si>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</si>
  <si>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</si>
  <si>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</si>
  <si>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</si>
  <si>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</si>
  <si>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</si>
  <si>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</si>
  <si>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</si>
  <si>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</si>
  <si>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</si>
  <si>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</si>
  <si>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</si>
  <si>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</si>
  <si>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</si>
  <si>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</si>
  <si>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</si>
  <si>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</si>
  <si>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</si>
  <si>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</si>
  <si>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</si>
  <si>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</si>
  <si>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</si>
  <si>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</si>
  <si>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</si>
  <si>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</si>
  <si>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</si>
  <si>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</si>
  <si>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</si>
  <si>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</si>
  <si>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</si>
  <si>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</si>
  <si>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</si>
  <si>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</si>
  <si>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</si>
  <si>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</si>
  <si>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</si>
  <si>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</si>
  <si>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</si>
  <si>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</si>
  <si>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</si>
  <si>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</si>
  <si>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</si>
  <si>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</si>
  <si>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</si>
  <si>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</si>
  <si>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</si>
  <si>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</si>
  <si>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</si>
  <si>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</si>
  <si>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</si>
  <si>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</si>
  <si>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</si>
  <si>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</si>
  <si>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</si>
  <si>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</si>
  <si>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</si>
  <si>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</si>
  <si>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</si>
  <si>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</si>
  <si>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</si>
  <si>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</si>
  <si>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</si>
  <si>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</si>
  <si>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</si>
  <si>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</si>
  <si>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</si>
  <si>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</si>
  <si>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</si>
  <si>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</si>
  <si>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</si>
  <si>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</si>
  <si>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</si>
  <si>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</si>
  <si>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</si>
  <si>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</si>
  <si>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</si>
  <si>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</si>
  <si>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</si>
  <si>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</si>
  <si>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</si>
  <si>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</si>
  <si>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</si>
  <si>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</si>
  <si>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</si>
  <si>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</si>
  <si>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</si>
  <si>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</si>
  <si>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</si>
  <si>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</si>
  <si>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</si>
  <si>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</si>
  <si>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</si>
  <si>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</si>
  <si>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</si>
  <si>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</si>
  <si>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</si>
  <si>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</si>
  <si>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</si>
  <si>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</si>
  <si>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</si>
  <si>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</si>
  <si>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</si>
  <si>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</si>
  <si>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</si>
  <si>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</si>
  <si>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</si>
  <si>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</si>
  <si>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</si>
  <si>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</si>
  <si>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</si>
  <si>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</si>
  <si>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</si>
  <si>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</si>
  <si>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</si>
  <si>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</si>
  <si>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</si>
  <si>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</si>
  <si>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</si>
  <si>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</si>
  <si>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</si>
  <si>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</si>
  <si>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</si>
  <si>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</si>
  <si>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</si>
  <si>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</si>
  <si>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</si>
  <si>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</si>
  <si>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</si>
  <si>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</si>
  <si>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</si>
  <si>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</si>
  <si>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</si>
  <si>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</si>
  <si>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</si>
  <si>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</si>
  <si>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</si>
  <si>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</si>
  <si>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</si>
  <si>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</si>
  <si>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</si>
  <si>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</si>
  <si>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</si>
  <si>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</si>
  <si>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</si>
  <si>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</si>
  <si>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</si>
  <si>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</si>
  <si>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</si>
  <si>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</si>
  <si>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</si>
  <si>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</si>
  <si>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</si>
  <si>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</si>
  <si>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</si>
  <si>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</si>
  <si>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</si>
  <si>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</si>
  <si>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</si>
  <si>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</si>
  <si>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</si>
  <si>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</si>
  <si>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</si>
  <si>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</si>
  <si>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</si>
  <si>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</si>
  <si>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</si>
  <si>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</si>
  <si>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</si>
  <si>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</si>
  <si>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</si>
  <si>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</si>
  <si>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</si>
  <si>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</si>
  <si>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</si>
  <si>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</si>
  <si>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</si>
  <si>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</si>
  <si>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</si>
  <si>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</si>
  <si>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</si>
  <si>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</si>
  <si>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</si>
  <si>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</si>
  <si>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</si>
  <si>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</si>
  <si>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</si>
  <si>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</si>
  <si>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</si>
  <si>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</si>
  <si>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</si>
  <si>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</si>
  <si>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</si>
  <si>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</si>
  <si>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</si>
  <si>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</si>
  <si>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</si>
  <si>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</si>
  <si>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</si>
  <si>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</si>
  <si>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</si>
  <si>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</si>
  <si>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</si>
  <si>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</si>
  <si>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</si>
  <si>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</si>
  <si>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</si>
  <si>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</si>
  <si>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</si>
  <si>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</si>
  <si>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</si>
  <si>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</si>
  <si>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</si>
  <si>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</si>
  <si>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</si>
  <si>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</si>
  <si>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</si>
  <si>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</si>
  <si>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</si>
  <si>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</si>
  <si>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</si>
  <si>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</si>
  <si>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</si>
  <si>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</si>
  <si>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</si>
  <si>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</si>
  <si>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</si>
  <si>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</si>
  <si>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</si>
  <si>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</si>
  <si>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</si>
  <si>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</si>
  <si>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</si>
  <si>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</si>
  <si>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</si>
  <si>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</si>
  <si>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</si>
  <si>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</si>
  <si>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</si>
  <si>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</si>
  <si>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</si>
  <si>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</si>
  <si>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</si>
  <si>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</si>
  <si>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</si>
  <si>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</si>
  <si>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</si>
  <si>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</si>
  <si>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</si>
  <si>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</si>
  <si>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</si>
  <si>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</si>
  <si>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</si>
  <si>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</si>
  <si>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</si>
  <si>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</si>
  <si>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</si>
  <si>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</si>
  <si>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</si>
  <si>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</si>
  <si>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</si>
  <si>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</si>
  <si>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</si>
  <si>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</si>
  <si>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</si>
  <si>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</si>
  <si>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</si>
  <si>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</si>
  <si>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</si>
  <si>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</si>
  <si>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</si>
  <si>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</si>
  <si>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</si>
  <si>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</si>
  <si>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</si>
  <si>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</si>
  <si>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</si>
  <si>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</si>
  <si>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</si>
  <si>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</si>
  <si>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</si>
  <si>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</si>
  <si>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</si>
  <si>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</si>
  <si>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</si>
  <si>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</si>
  <si>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</si>
  <si>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</si>
  <si>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</si>
  <si>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</si>
  <si>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</si>
  <si>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</si>
  <si>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</si>
  <si>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</si>
  <si>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</si>
  <si>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</si>
  <si>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</si>
  <si>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</si>
  <si>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</si>
  <si>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</si>
  <si>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</si>
  <si>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</si>
  <si>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</si>
  <si>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</si>
  <si>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</si>
  <si>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</si>
  <si>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</si>
  <si>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</si>
  <si>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</si>
  <si>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</si>
  <si>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</si>
  <si>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</si>
  <si>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</si>
  <si>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</si>
  <si>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</si>
  <si>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</si>
  <si>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</si>
  <si>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</si>
  <si>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</si>
  <si>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</si>
  <si>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</si>
  <si>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</si>
  <si>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</si>
  <si>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</si>
  <si>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</si>
  <si>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</si>
  <si>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</si>
  <si>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</si>
  <si>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</si>
  <si>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</si>
  <si>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</si>
  <si>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</si>
  <si>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</si>
  <si>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</si>
  <si>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</si>
  <si>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</si>
  <si>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</si>
  <si>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</si>
  <si>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</si>
  <si>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</si>
  <si>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</si>
  <si>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</si>
  <si>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</si>
  <si>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</si>
  <si>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</si>
  <si>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</si>
  <si>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</si>
  <si>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</si>
  <si>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</si>
  <si>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</si>
  <si>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</si>
  <si>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</si>
  <si>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</si>
  <si>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</si>
  <si>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</si>
  <si>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</si>
  <si>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</si>
  <si>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</si>
  <si>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</si>
  <si>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</si>
  <si>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</si>
  <si>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</si>
  <si>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</si>
  <si>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</si>
  <si>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</si>
  <si>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</si>
  <si>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</si>
  <si>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</si>
  <si>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</si>
  <si>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</si>
  <si>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</si>
  <si>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</si>
  <si>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</si>
  <si>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</si>
  <si>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</si>
  <si>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</si>
  <si>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</si>
  <si>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</si>
  <si>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</si>
  <si>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</si>
  <si>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</si>
  <si>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</si>
  <si>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</si>
  <si>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</si>
  <si>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</si>
  <si>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</si>
  <si>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</si>
  <si>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</si>
  <si>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</si>
  <si>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</si>
  <si>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</si>
  <si>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</si>
  <si>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</si>
  <si>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</si>
  <si>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</si>
  <si>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</si>
  <si>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</si>
  <si>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</si>
  <si>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</si>
  <si>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</si>
  <si>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</si>
  <si>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</si>
  <si>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</si>
  <si>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</si>
  <si>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</si>
  <si>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</si>
  <si>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</si>
  <si>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</si>
  <si>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</si>
  <si>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</si>
  <si>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</si>
  <si>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</si>
  <si>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</si>
  <si>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</si>
  <si>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</si>
  <si>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</si>
  <si>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</si>
  <si>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</si>
  <si>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</si>
  <si>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</si>
  <si>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</si>
  <si>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</si>
  <si>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</si>
  <si>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</si>
  <si>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</si>
  <si>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</si>
  <si>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</si>
  <si>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</si>
  <si>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</si>
  <si>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</si>
  <si>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</si>
  <si>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</si>
  <si>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</si>
  <si>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</si>
  <si>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</si>
  <si>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</si>
  <si>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</si>
  <si>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</si>
  <si>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</si>
  <si>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</si>
  <si>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</si>
  <si>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</si>
  <si>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</si>
  <si>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</si>
  <si>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</si>
  <si>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</si>
  <si>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</si>
  <si>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</si>
  <si>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</si>
  <si>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</si>
  <si>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</si>
  <si>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</si>
  <si>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</si>
  <si>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</si>
  <si>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</si>
  <si>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</si>
  <si>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</si>
  <si>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</si>
  <si>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</si>
  <si>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</si>
  <si>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</si>
  <si>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</si>
  <si>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</si>
  <si>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</si>
  <si>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</si>
  <si>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</si>
  <si>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</si>
  <si>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</si>
  <si>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</si>
  <si>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</si>
  <si>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</si>
  <si>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</si>
  <si>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</si>
  <si>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</si>
  <si>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</si>
  <si>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</si>
  <si>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</si>
  <si>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</si>
  <si>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</si>
  <si>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</si>
  <si>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</si>
  <si>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</si>
  <si>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</si>
  <si>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</si>
  <si>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</si>
  <si>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</si>
  <si>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</si>
  <si>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</si>
  <si>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</si>
  <si>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</si>
  <si>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</si>
  <si>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</si>
  <si>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</si>
  <si>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</si>
  <si>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</si>
  <si>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</si>
  <si>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</si>
  <si>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</si>
  <si>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</si>
  <si>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</si>
  <si>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</si>
  <si>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</si>
  <si>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</si>
  <si>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</si>
  <si>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</si>
  <si>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</si>
  <si>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</si>
  <si>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</si>
  <si>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</si>
  <si>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</si>
  <si>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</si>
  <si>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</si>
  <si>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</si>
  <si>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</si>
  <si>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</si>
  <si>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</si>
  <si>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</si>
  <si>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</si>
  <si>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</si>
  <si>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</si>
  <si>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</si>
  <si>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</si>
  <si>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</si>
  <si>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</si>
  <si>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</si>
  <si>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</si>
  <si>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</si>
  <si>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</si>
  <si>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</si>
  <si>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</si>
  <si>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</si>
  <si>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</si>
  <si>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</si>
  <si>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</si>
  <si>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</si>
  <si>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</si>
  <si>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</si>
  <si>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</si>
  <si>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</si>
  <si>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</si>
  <si>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</si>
  <si>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</si>
  <si>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</si>
  <si>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</si>
  <si>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</si>
  <si>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</si>
  <si>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</si>
  <si>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</si>
  <si>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</si>
  <si>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</si>
  <si>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</si>
  <si>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</si>
  <si>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</si>
  <si>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</si>
  <si>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</si>
  <si>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</si>
  <si>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</si>
  <si>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</si>
  <si>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</si>
  <si>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</si>
  <si>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</si>
  <si>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</si>
  <si>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</si>
  <si>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</si>
  <si>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</si>
  <si>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</si>
  <si>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</si>
  <si>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</si>
  <si>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</si>
  <si>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</si>
  <si>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</si>
  <si>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</si>
  <si>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</si>
  <si>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</si>
  <si>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</si>
  <si>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</si>
  <si>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</si>
  <si>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</si>
  <si>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</si>
  <si>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</si>
  <si>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</si>
  <si>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</si>
  <si>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</si>
  <si>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</si>
  <si>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</si>
  <si>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</si>
  <si>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</si>
  <si>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</si>
  <si>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</si>
  <si>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</si>
  <si>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</si>
  <si>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</si>
  <si>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</si>
  <si>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</si>
  <si>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</si>
  <si>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</si>
  <si>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</si>
  <si>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</si>
  <si>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</si>
  <si>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</si>
  <si>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</si>
  <si>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</si>
  <si>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</si>
  <si>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</si>
  <si>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</si>
  <si>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</si>
  <si>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</si>
  <si>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</si>
  <si>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</si>
  <si>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</si>
  <si>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</si>
  <si>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</si>
  <si>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</si>
  <si>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</si>
  <si>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</si>
  <si>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</si>
  <si>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</si>
  <si>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</si>
  <si>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</si>
  <si>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</si>
  <si>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</si>
  <si>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</si>
  <si>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</si>
  <si>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</si>
  <si>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</si>
  <si>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</si>
  <si>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</si>
  <si>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</si>
  <si>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</si>
  <si>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</si>
  <si>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</si>
  <si>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</si>
  <si>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</si>
  <si>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</si>
  <si>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</si>
  <si>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</si>
  <si>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</si>
  <si>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</si>
  <si>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</si>
  <si>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</si>
  <si>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</si>
  <si>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</si>
  <si>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</si>
  <si>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</si>
  <si>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</si>
  <si>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</si>
  <si>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</si>
  <si>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</si>
  <si>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</si>
  <si>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</si>
  <si>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</si>
  <si>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</si>
  <si>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</si>
  <si>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</si>
  <si>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</si>
  <si>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</si>
  <si>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</si>
  <si>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</si>
  <si>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</si>
  <si>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</si>
  <si>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</si>
  <si>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</si>
  <si>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</si>
  <si>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</si>
  <si>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</si>
  <si>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</si>
  <si>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</si>
  <si>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</si>
  <si>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</si>
  <si>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</si>
  <si>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</si>
  <si>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</si>
  <si>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</si>
  <si>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</si>
  <si>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</si>
  <si>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</si>
  <si>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</si>
  <si>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</si>
  <si>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</si>
  <si>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</si>
  <si>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</si>
  <si>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</si>
  <si>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</si>
  <si>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</si>
  <si>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</si>
  <si>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</si>
  <si>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</si>
  <si>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</si>
  <si>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</si>
  <si>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</si>
  <si>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</si>
  <si>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</si>
  <si>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</si>
  <si>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</si>
  <si>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</si>
  <si>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</si>
  <si>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</si>
  <si>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</si>
  <si>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</si>
  <si>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</si>
  <si>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</si>
  <si>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</si>
  <si>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</si>
  <si>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</si>
  <si>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</si>
  <si>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</si>
  <si>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</si>
  <si>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</si>
  <si>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</si>
  <si>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</si>
  <si>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</si>
  <si>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</si>
  <si>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</si>
  <si>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</si>
  <si>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</si>
  <si>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</si>
  <si>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</si>
  <si>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</si>
  <si>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</si>
  <si>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</si>
  <si>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</si>
  <si>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</si>
  <si>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</si>
  <si>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</si>
  <si>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</si>
  <si>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</si>
  <si>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</si>
  <si>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</si>
  <si>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</si>
  <si>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</si>
  <si>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</si>
  <si>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</si>
  <si>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</si>
  <si>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</si>
  <si>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</si>
  <si>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</si>
  <si>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</si>
  <si>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</si>
  <si>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</si>
  <si>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</si>
  <si>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</si>
  <si>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</si>
  <si>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</si>
  <si>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</si>
  <si>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</si>
  <si>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</si>
  <si>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</si>
  <si>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</si>
  <si>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</si>
  <si>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</si>
  <si>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</si>
  <si>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</si>
  <si>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</si>
  <si>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</si>
  <si>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</si>
  <si>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</si>
  <si>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</si>
  <si>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</si>
  <si>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</si>
  <si>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</si>
  <si>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</si>
  <si>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</si>
  <si>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</si>
  <si>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</si>
  <si>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</si>
  <si>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</si>
  <si>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</si>
  <si>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</si>
  <si>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</si>
  <si>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</si>
  <si>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</si>
  <si>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</si>
  <si>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</si>
  <si>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</si>
  <si>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</si>
  <si>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</si>
  <si>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</si>
  <si>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</si>
  <si>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</si>
  <si>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</si>
  <si>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</si>
  <si>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</si>
  <si>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</si>
  <si>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</si>
  <si>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</si>
  <si>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</si>
  <si>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</si>
  <si>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</si>
  <si>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</si>
  <si>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</si>
  <si>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</si>
  <si>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</si>
  <si>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</si>
  <si>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</si>
  <si>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</si>
  <si>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</si>
  <si>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</si>
  <si>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</si>
  <si>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</si>
  <si>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</si>
  <si>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</si>
  <si>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</si>
  <si>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</si>
  <si>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</si>
  <si>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</si>
  <si>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</si>
  <si>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</si>
  <si>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</si>
  <si>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</si>
  <si>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</si>
  <si>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</si>
  <si>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</si>
  <si>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</si>
  <si>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</si>
  <si>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</si>
  <si>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</si>
  <si>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</si>
  <si>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</si>
  <si>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</si>
  <si>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</si>
  <si>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</si>
  <si>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</si>
  <si>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</si>
  <si>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</si>
  <si>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</si>
  <si>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</si>
  <si>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</si>
  <si>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</si>
  <si>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</si>
  <si>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</si>
  <si>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</si>
  <si>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</si>
  <si>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</si>
  <si>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</si>
  <si>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</si>
  <si>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</si>
  <si>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</si>
  <si>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</si>
  <si>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</si>
  <si>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</si>
  <si>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</si>
  <si>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</si>
  <si>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</si>
  <si>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</si>
  <si>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</si>
  <si>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</si>
  <si>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</si>
  <si>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</si>
  <si>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</si>
  <si>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</si>
  <si>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</si>
  <si>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</si>
  <si>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</si>
  <si>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</si>
  <si>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</si>
  <si>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</si>
  <si>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</si>
  <si>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</si>
  <si>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</si>
  <si>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</si>
  <si>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</si>
  <si>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</si>
  <si>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</si>
  <si>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</si>
  <si>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</si>
  <si>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</si>
  <si>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</si>
  <si>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</si>
  <si>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</si>
  <si>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</si>
  <si>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</si>
  <si>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</si>
  <si>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</si>
  <si>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</si>
  <si>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</si>
  <si>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</si>
  <si>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</si>
  <si>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</si>
  <si>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</si>
  <si>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</si>
  <si>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</si>
  <si>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</si>
  <si>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</si>
  <si>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</si>
  <si>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</si>
  <si>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</si>
  <si>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</si>
  <si>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</si>
  <si>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</si>
  <si>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</si>
  <si>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</si>
  <si>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</si>
  <si>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</si>
  <si>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</si>
  <si>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</si>
  <si>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</si>
  <si>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</si>
  <si>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</si>
  <si>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</si>
  <si>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</si>
  <si>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</si>
  <si>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</si>
  <si>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</si>
  <si>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</si>
  <si>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</si>
  <si>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</si>
  <si>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</si>
  <si>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</si>
  <si>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</si>
  <si>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</si>
  <si>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</si>
  <si>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</si>
  <si>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</si>
  <si>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</si>
  <si>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</si>
  <si>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</si>
  <si>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</si>
  <si>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</si>
  <si>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</si>
  <si>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</si>
  <si>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</si>
  <si>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</si>
  <si>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</si>
  <si>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</si>
  <si>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</si>
  <si>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</si>
  <si>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</si>
  <si>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</si>
  <si>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</si>
  <si>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</si>
  <si>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</si>
  <si>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</si>
  <si>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</si>
  <si>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</si>
  <si>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</si>
  <si>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</si>
  <si>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</si>
  <si>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</si>
  <si>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</si>
  <si>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</si>
  <si>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</si>
  <si>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</si>
  <si>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</si>
  <si>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</si>
  <si>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</si>
  <si>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</si>
  <si>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</si>
  <si>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</si>
  <si>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</si>
  <si>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</si>
  <si>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</si>
  <si>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</si>
  <si>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</si>
  <si>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</si>
  <si>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</si>
  <si>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</si>
  <si>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</si>
  <si>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</si>
  <si>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</si>
  <si>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</si>
  <si>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</si>
  <si>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</si>
  <si>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</si>
  <si>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</si>
  <si>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</si>
  <si>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</si>
  <si>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</si>
  <si>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</si>
  <si>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</si>
  <si>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</si>
  <si>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</si>
  <si>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</si>
  <si>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</si>
  <si>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</si>
  <si>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</si>
  <si>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</si>
  <si>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</si>
  <si>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</si>
  <si>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</si>
  <si>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</si>
  <si>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</si>
  <si>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</si>
  <si>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</si>
  <si>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</si>
  <si>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</si>
  <si>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</si>
  <si>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</si>
  <si>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</si>
  <si>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</si>
  <si>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</si>
  <si>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</si>
  <si>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</si>
  <si>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</si>
  <si>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</si>
  <si>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</si>
  <si>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</si>
  <si>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</si>
  <si>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</si>
  <si>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</si>
  <si>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</si>
  <si>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</si>
  <si>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</si>
  <si>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</si>
  <si>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</si>
  <si>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</si>
  <si>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</si>
  <si>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</si>
  <si>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</si>
  <si>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</si>
  <si>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</si>
  <si>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</si>
  <si>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</si>
  <si>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</si>
  <si>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</si>
  <si>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</si>
  <si>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</si>
  <si>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</si>
  <si>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</si>
  <si>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</si>
  <si>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</si>
  <si>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</si>
  <si>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</si>
  <si>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</si>
  <si>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</si>
  <si>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</si>
  <si>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</si>
  <si>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</si>
  <si>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</si>
  <si>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</si>
  <si>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</si>
  <si>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</si>
  <si>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</si>
  <si>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</si>
  <si>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</si>
  <si>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</si>
  <si>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</si>
  <si>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</si>
  <si>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</si>
  <si>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</si>
  <si>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</si>
  <si>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</si>
  <si>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</si>
  <si>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</si>
  <si>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</si>
  <si>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</si>
  <si>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</si>
  <si>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</si>
  <si>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</si>
  <si>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</si>
  <si>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</si>
  <si>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</si>
  <si>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</si>
  <si>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</si>
  <si>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</si>
  <si>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</si>
  <si>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</si>
  <si>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</si>
  <si>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</si>
  <si>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</si>
  <si>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</si>
  <si>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</si>
  <si>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</si>
  <si>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</si>
  <si>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</si>
  <si>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</si>
  <si>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</si>
  <si>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</si>
  <si>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</si>
  <si>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</si>
  <si>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</si>
  <si>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</si>
  <si>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</si>
  <si>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</si>
  <si>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</si>
  <si>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</si>
  <si>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</si>
  <si>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</si>
  <si>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</si>
  <si>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</si>
  <si>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</si>
  <si>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</si>
  <si>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</si>
  <si>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</si>
  <si>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</si>
  <si>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</si>
  <si>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</si>
  <si>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</si>
  <si>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</si>
  <si>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</si>
  <si>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</si>
  <si>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</si>
  <si>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</si>
  <si>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</si>
  <si>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</si>
  <si>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</si>
  <si>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</si>
  <si>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</si>
  <si>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</si>
  <si>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</si>
  <si>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</si>
  <si>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</si>
  <si>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</si>
  <si>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</si>
  <si>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</si>
  <si>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</si>
  <si>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</si>
  <si>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</si>
  <si>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</si>
  <si>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</si>
  <si>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</si>
  <si>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</si>
  <si>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</si>
  <si>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</si>
  <si>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</si>
  <si>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</si>
  <si>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</si>
  <si>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</si>
  <si>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</si>
  <si>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</si>
  <si>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</si>
  <si>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</si>
  <si>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</si>
  <si>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</si>
  <si>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</si>
  <si>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</si>
  <si>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</si>
  <si>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</si>
  <si>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</si>
  <si>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</si>
  <si>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</si>
  <si>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</si>
  <si>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</si>
  <si>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</si>
  <si>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</si>
  <si>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</si>
  <si>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</si>
  <si>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</si>
  <si>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</si>
  <si>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</si>
  <si>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</si>
  <si>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</si>
  <si>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</si>
  <si>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</si>
  <si>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</si>
  <si>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</si>
  <si>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</si>
  <si>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</si>
  <si>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</si>
  <si>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</si>
  <si>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</si>
  <si>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</si>
  <si>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</si>
  <si>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</si>
  <si>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</si>
  <si>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</si>
  <si>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</si>
  <si>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</si>
  <si>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</si>
  <si>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</si>
  <si>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</si>
  <si>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</si>
  <si>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</si>
  <si>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</si>
  <si>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</si>
  <si>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</si>
  <si>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</si>
  <si>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</si>
  <si>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</si>
  <si>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</si>
  <si>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</si>
  <si>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</si>
  <si>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</si>
  <si>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</si>
  <si>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</si>
  <si>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</si>
  <si>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</si>
  <si>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</si>
  <si>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</si>
  <si>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</si>
  <si>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</si>
  <si>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</si>
  <si>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</si>
  <si>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</si>
  <si>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</si>
  <si>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</si>
  <si>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</si>
  <si>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</si>
  <si>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</si>
  <si>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</si>
  <si>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</si>
  <si>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</si>
  <si>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</si>
  <si>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</si>
  <si>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</si>
  <si>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</si>
  <si>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</si>
  <si>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</si>
  <si>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</si>
  <si>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</si>
  <si>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</si>
  <si>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</si>
  <si>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</si>
  <si>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</si>
  <si>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</si>
  <si>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</si>
  <si>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</si>
  <si>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</si>
  <si>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</si>
  <si>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</si>
  <si>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</si>
  <si>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</si>
  <si>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</si>
  <si>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</si>
  <si>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</si>
  <si>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</si>
  <si>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</si>
  <si>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</si>
  <si>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</si>
  <si>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</si>
  <si>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</si>
  <si>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</si>
  <si>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</si>
  <si>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</si>
  <si>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</si>
  <si>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</si>
  <si>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</si>
  <si>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</si>
  <si>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</si>
  <si>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</si>
  <si>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</si>
  <si>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</si>
  <si>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</si>
  <si>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</si>
  <si>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</si>
  <si>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</si>
  <si>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</si>
  <si>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</si>
  <si>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</si>
  <si>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</si>
  <si>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</si>
  <si>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</si>
  <si>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</si>
  <si>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</si>
  <si>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</si>
  <si>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</si>
  <si>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</si>
  <si>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</si>
  <si>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</si>
  <si>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</si>
  <si>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</si>
  <si>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</si>
  <si>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</si>
  <si>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</si>
  <si>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</si>
  <si>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</si>
  <si>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</si>
  <si>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</si>
  <si>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</si>
  <si>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</si>
  <si>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</si>
  <si>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</si>
  <si>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</si>
  <si>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</si>
  <si>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</si>
  <si>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</si>
  <si>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</si>
  <si>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</si>
  <si>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</si>
  <si>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</si>
  <si>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</si>
  <si>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</si>
  <si>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</si>
  <si>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</si>
  <si>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</si>
  <si>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</si>
  <si>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</si>
  <si>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</si>
  <si>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</si>
  <si>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</si>
  <si>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</si>
  <si>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</si>
  <si>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</si>
  <si>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</si>
  <si>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</si>
  <si>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</si>
  <si>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</si>
  <si>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</si>
  <si>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</si>
  <si>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</si>
  <si>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</si>
  <si>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</si>
  <si>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</si>
  <si>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</si>
  <si>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</si>
  <si>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</si>
  <si>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</si>
  <si>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</si>
  <si>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</si>
  <si>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</si>
  <si>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</si>
  <si>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</si>
  <si>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</si>
  <si>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</si>
  <si>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</si>
  <si>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</si>
  <si>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</si>
  <si>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</si>
  <si>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</si>
  <si>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</si>
  <si>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</si>
  <si>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</si>
  <si>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</si>
  <si>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</si>
  <si>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</si>
  <si>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</si>
  <si>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</si>
  <si>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</si>
  <si>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</si>
  <si>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</si>
  <si>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</si>
  <si>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</si>
  <si>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</si>
  <si>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</si>
  <si>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</si>
  <si>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</si>
  <si>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</si>
  <si>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</si>
  <si>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</si>
  <si>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</si>
  <si>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</si>
  <si>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</si>
  <si>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</si>
  <si>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</si>
  <si>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</si>
  <si>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</si>
  <si>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</si>
  <si>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</si>
  <si>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</si>
  <si>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</si>
  <si>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</si>
  <si>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</si>
  <si>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</si>
  <si>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</si>
  <si>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</si>
  <si>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</si>
  <si>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</si>
  <si>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</si>
  <si>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</si>
  <si>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</si>
  <si>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</si>
  <si>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</si>
  <si>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</si>
  <si>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</si>
  <si>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</si>
  <si>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</si>
  <si>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</si>
  <si>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</si>
  <si>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</si>
  <si>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</si>
  <si>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</si>
  <si>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</si>
  <si>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</si>
  <si>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</si>
  <si>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</si>
  <si>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</si>
  <si>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</si>
  <si>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</si>
  <si>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</si>
  <si>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</si>
  <si>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</si>
  <si>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</si>
  <si>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高区</t>
  </si>
  <si>
    <t>低区</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</si>
  <si>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</si>
  <si>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</si>
  <si>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</si>
  <si>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</si>
  <si>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</si>
  <si>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</si>
  <si>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</si>
  <si>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</si>
  <si>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</si>
  <si>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</si>
  <si>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14层1408</t>
  </si>
  <si>
    <t>12层1214</t>
  </si>
  <si>
    <t>12层1222</t>
  </si>
  <si>
    <t>12层1223</t>
  </si>
  <si>
    <t>12层1224</t>
  </si>
  <si>
    <t>12层1225</t>
  </si>
  <si>
    <t>12层1226</t>
  </si>
  <si>
    <t>12层1213</t>
  </si>
  <si>
    <t>14层1410</t>
  </si>
  <si>
    <t>15层1503</t>
  </si>
  <si>
    <t>15层1504</t>
  </si>
  <si>
    <t>30-40（含）</t>
  </si>
  <si>
    <t>乙</t>
  </si>
  <si>
    <t>普通装修</t>
  </si>
  <si>
    <t xml:space="preserve"> </t>
    <phoneticPr fontId="25"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</si>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</sst>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DYGJ/&#24196;&#32988;/2019-1-0426-&#24196;&#32988;&#23815;&#20809;/F05/&#24196;&#32988;&#23815;&#20809;-9&#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成本法"/>
      <sheetName val="成本法 (元)"/>
      <sheetName val="假设开发法"/>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4">
          <cell r="E34">
            <v>340</v>
          </cell>
          <cell r="G34">
            <v>83.75</v>
          </cell>
          <cell r="I34">
            <v>275</v>
          </cell>
        </row>
        <row r="48">
          <cell r="E48">
            <v>39600</v>
          </cell>
          <cell r="G48">
            <v>41382</v>
          </cell>
          <cell r="I48">
            <v>39600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2020年6月29日（评估专业人员实地查勘之日）</v>
      </c>
    </row>
    <row r="13" spans="1:2" s="1591" customFormat="1">
      <c r="A13" s="1589" t="s">
        <v>1222</v>
      </c>
      <c r="B13" s="1590" t="str">
        <f>'预评函-1'!A18</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本次评估采用的主估价方法为比较法和收益法。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431</v>
      </c>
    </row>
    <row r="21" spans="1:2" s="1591" customFormat="1">
      <c r="A21" s="1589" t="s">
        <v>1230</v>
      </c>
      <c r="B21" s="1590">
        <f ca="1">'预评函-2'!D7</f>
        <v>40198</v>
      </c>
    </row>
    <row r="22" spans="1:2" s="1591" customFormat="1">
      <c r="A22" s="1589" t="s">
        <v>1231</v>
      </c>
      <c r="B22" s="1590" t="str">
        <f ca="1">'预评函-2'!D6</f>
        <v>肆佰叁拾壹万元整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431</v>
      </c>
    </row>
    <row r="31" spans="1:2" s="1591" customFormat="1">
      <c r="A31" s="1589" t="s">
        <v>1269</v>
      </c>
      <c r="B31" s="1590">
        <f ca="1">'预评函-2'!D15</f>
        <v>40198</v>
      </c>
    </row>
    <row r="32" spans="1:2" s="1591" customFormat="1">
      <c r="A32" s="1589" t="s">
        <v>1236</v>
      </c>
      <c r="B32" s="1590" t="str">
        <f ca="1">'预评函-2'!D14</f>
        <v>肆佰叁拾壹万元整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107.22</v>
      </c>
    </row>
    <row r="44" spans="1:2" s="1591" customFormat="1">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0</v>
      </c>
    </row>
    <row r="48" spans="1:2" s="1591" customFormat="1">
      <c r="A48" s="1589" t="s">
        <v>1242</v>
      </c>
      <c r="B48" s="1590">
        <f ca="1">'预评函-3'!E4</f>
        <v>0</v>
      </c>
    </row>
    <row r="49" spans="1:2" s="1591" customFormat="1">
      <c r="A49" s="1589" t="s">
        <v>1243</v>
      </c>
      <c r="B49" s="1590" t="str">
        <f ca="1">'预评函-3'!D5</f>
        <v>零元整</v>
      </c>
    </row>
    <row r="50" spans="1:2" s="1591" customFormat="1">
      <c r="A50" s="1589" t="s">
        <v>1267</v>
      </c>
      <c r="B50" s="1590" t="str">
        <f>'预评函-3'!F2</f>
        <v>在建建筑物价值</v>
      </c>
    </row>
    <row r="51" spans="1:2" s="1591" customFormat="1">
      <c r="A51" s="1589" t="s">
        <v>1244</v>
      </c>
      <c r="B51" s="1590">
        <f ca="1">'预评函-3'!F4</f>
        <v>431</v>
      </c>
    </row>
    <row r="52" spans="1:2" s="1591" customFormat="1">
      <c r="A52" s="1589" t="s">
        <v>1245</v>
      </c>
      <c r="B52" s="1590">
        <f ca="1">'预评函-3'!G4</f>
        <v>40198</v>
      </c>
    </row>
    <row r="53" spans="1:2" s="1591" customFormat="1">
      <c r="A53" s="1589" t="s">
        <v>1273</v>
      </c>
      <c r="B53" s="1590" t="str">
        <f ca="1">'预评函-3'!F5</f>
        <v>肆佰叁拾壹万元整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04"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9" t="s">
        <v>860</v>
      </c>
      <c r="C54" s="2016" t="s">
        <v>1276</v>
      </c>
    </row>
    <row r="55" spans="1:4">
      <c r="A55" s="3004"/>
      <c r="B55" s="2019" t="s">
        <v>861</v>
      </c>
      <c r="C55" s="2016" t="s">
        <v>1277</v>
      </c>
    </row>
    <row r="56" spans="1:4">
      <c r="A56" s="3004"/>
      <c r="B56" s="2019" t="s">
        <v>862</v>
      </c>
      <c r="C56" s="2016" t="s">
        <v>1281</v>
      </c>
    </row>
    <row r="57" spans="1:4">
      <c r="A57" s="3004"/>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29" customWidth="1"/>
    <col min="2" max="2" width="11.625" style="2029" customWidth="1"/>
    <col min="3" max="3" width="11.5" style="2029" customWidth="1"/>
    <col min="4" max="4" width="11.3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0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06"/>
      <c r="D1" s="3006"/>
      <c r="E1" s="3006"/>
      <c r="F1" s="3006"/>
      <c r="G1" s="3006"/>
      <c r="H1" s="3006"/>
      <c r="I1" s="300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44011</v>
      </c>
      <c r="C3" s="2034" t="s">
        <v>1773</v>
      </c>
      <c r="D3" s="2033">
        <f>B3</f>
        <v>44011</v>
      </c>
      <c r="E3" s="2023"/>
      <c r="F3" s="2023"/>
      <c r="G3" s="2023"/>
      <c r="H3" s="2023"/>
      <c r="I3" s="2023"/>
      <c r="J3" s="2023"/>
      <c r="K3" s="2024"/>
      <c r="L3" s="2025"/>
      <c r="M3" s="2025"/>
      <c r="N3" s="2026"/>
      <c r="O3" s="2027"/>
      <c r="P3" s="2026"/>
      <c r="Q3" s="2026"/>
      <c r="R3" s="2026"/>
      <c r="S3" s="2028"/>
    </row>
    <row r="4" spans="1:19" ht="18" customHeight="1" thickBot="1">
      <c r="A4" s="2035" t="s">
        <v>1774</v>
      </c>
      <c r="B4" s="2036" t="s">
        <v>3051</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3052</v>
      </c>
      <c r="C8" s="2053"/>
      <c r="D8" s="3008" t="s">
        <v>1779</v>
      </c>
      <c r="E8" s="2054" t="s">
        <v>3053</v>
      </c>
      <c r="F8" s="2055"/>
      <c r="G8" s="2023"/>
      <c r="H8" s="2023"/>
      <c r="I8" s="2023"/>
      <c r="J8" s="2039"/>
      <c r="K8" s="2040"/>
      <c r="L8" s="2025"/>
      <c r="M8" s="2025"/>
      <c r="N8" s="2026"/>
      <c r="O8" s="2027"/>
      <c r="P8" s="2026"/>
      <c r="Q8" s="2026"/>
      <c r="R8" s="2026"/>
    </row>
    <row r="9" spans="1:19" ht="18" customHeight="1" thickBot="1">
      <c r="A9" s="2037" t="s">
        <v>1780</v>
      </c>
      <c r="B9" s="2056" t="s">
        <v>3053</v>
      </c>
      <c r="C9" s="2057"/>
      <c r="D9" s="3009"/>
      <c r="E9" s="2056"/>
      <c r="F9" s="2058"/>
      <c r="G9" s="2059"/>
      <c r="H9" s="2059"/>
      <c r="I9" s="2059"/>
      <c r="J9" s="2039"/>
      <c r="K9" s="2051"/>
      <c r="L9" s="2025"/>
      <c r="M9" s="2025"/>
      <c r="N9" s="2026"/>
      <c r="O9" s="2027"/>
      <c r="P9" s="2026"/>
      <c r="Q9" s="2026"/>
      <c r="R9" s="2026"/>
    </row>
    <row r="10" spans="1:19" ht="18" customHeight="1" thickTop="1">
      <c r="A10" s="2060" t="s">
        <v>1781</v>
      </c>
      <c r="B10" s="2061" t="s">
        <v>3054</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3055</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3056</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23.74</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15"/>
      <c r="C16" s="3016"/>
      <c r="D16" s="3017"/>
      <c r="E16" s="2083" t="s">
        <v>1796</v>
      </c>
      <c r="F16" s="3018"/>
      <c r="G16" s="3019"/>
      <c r="H16" s="3019"/>
      <c r="I16" s="3020"/>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21" t="s">
        <v>1800</v>
      </c>
      <c r="F17" s="3022"/>
      <c r="G17" s="3022"/>
      <c r="H17" s="3022"/>
      <c r="I17" s="3023"/>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24" t="s">
        <v>1803</v>
      </c>
      <c r="F18" s="3025"/>
      <c r="G18" s="3025"/>
      <c r="H18" s="3025"/>
      <c r="I18" s="3026"/>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3057</v>
      </c>
      <c r="D19" s="2090" t="s">
        <v>1806</v>
      </c>
      <c r="E19" s="2091" t="s">
        <v>3061</v>
      </c>
      <c r="F19" s="2092" t="str">
        <f>IF(AND(C19="是",E19="否"),"是否提供他项权证或相关说明","")</f>
        <v>是否提供他项权证或相关说明</v>
      </c>
      <c r="G19" s="2093" t="s">
        <v>3061</v>
      </c>
      <c r="H19" s="2039"/>
      <c r="I19" s="2039"/>
      <c r="J19" s="2039"/>
      <c r="K19" s="2051"/>
      <c r="L19" s="2025"/>
      <c r="M19" s="2025"/>
      <c r="N19" s="2082"/>
      <c r="O19" s="2081"/>
      <c r="P19" s="2082"/>
      <c r="Q19" s="2026"/>
      <c r="R19" s="2026"/>
      <c r="S19" s="2026"/>
      <c r="T19" s="2026"/>
      <c r="U19" s="2026"/>
      <c r="V19" s="2026"/>
    </row>
    <row r="20" spans="1:22" ht="18" customHeight="1">
      <c r="A20" s="2094" t="s">
        <v>1807</v>
      </c>
      <c r="B20" s="3011" t="s">
        <v>1808</v>
      </c>
      <c r="C20" s="3012"/>
      <c r="D20" s="3013" t="s">
        <v>1809</v>
      </c>
      <c r="E20" s="3014"/>
      <c r="F20" s="2095" t="s">
        <v>1810</v>
      </c>
      <c r="G20" s="2039"/>
      <c r="H20" s="2039"/>
      <c r="I20" s="2039"/>
      <c r="J20" s="2039"/>
      <c r="K20" s="3010"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3058</v>
      </c>
      <c r="D21" s="2098"/>
      <c r="E21" s="2099" t="s">
        <v>70</v>
      </c>
      <c r="F21" s="2100"/>
      <c r="G21" s="2039"/>
      <c r="H21" s="2039"/>
      <c r="I21" s="2039"/>
      <c r="J21" s="2039"/>
      <c r="K21" s="301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1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28" t="s">
        <v>1821</v>
      </c>
      <c r="B27" s="2060" t="s">
        <v>1822</v>
      </c>
      <c r="C27" s="2117" t="s">
        <v>3059</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28"/>
      <c r="B28" s="2032" t="s">
        <v>1823</v>
      </c>
      <c r="C28" s="2119" t="s">
        <v>3060</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28"/>
      <c r="B29" s="2032" t="s">
        <v>1824</v>
      </c>
      <c r="C29" s="2122" t="s">
        <v>3061</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29"/>
      <c r="B30" s="2032" t="s">
        <v>1825</v>
      </c>
      <c r="C30" s="3030"/>
      <c r="D30" s="3031"/>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32" t="s">
        <v>1826</v>
      </c>
      <c r="B31" s="2124" t="s">
        <v>3062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33"/>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33"/>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3063</v>
      </c>
      <c r="C34" s="2131" t="s">
        <v>3064</v>
      </c>
      <c r="D34" s="2131" t="s">
        <v>3065</v>
      </c>
      <c r="E34" s="2131" t="s">
        <v>3066</v>
      </c>
      <c r="F34" s="2131" t="s">
        <v>3067</v>
      </c>
      <c r="G34" s="2131" t="s">
        <v>3068</v>
      </c>
      <c r="H34" s="2131"/>
      <c r="I34" s="2039"/>
      <c r="J34" s="2039"/>
      <c r="K34" s="1793">
        <f>COUNTIF(B34:H34,"——")</f>
        <v>0</v>
      </c>
      <c r="L34" s="2072" t="s">
        <v>1828</v>
      </c>
      <c r="M34" s="2072" t="s">
        <v>1829</v>
      </c>
      <c r="N34" s="2072" t="s">
        <v>1830</v>
      </c>
      <c r="O34" s="2072" t="s">
        <v>1831</v>
      </c>
      <c r="P34" s="2072" t="s">
        <v>1832</v>
      </c>
      <c r="Q34" s="2072" t="s">
        <v>1833</v>
      </c>
      <c r="R34" s="2072" t="s">
        <v>1834</v>
      </c>
      <c r="S34" s="3027" t="s">
        <v>1835</v>
      </c>
      <c r="T34" s="2132" t="str">
        <f>NUMBERSTRING(7-K34,1)&amp;"通"</f>
        <v>七通</v>
      </c>
      <c r="U34" s="2026"/>
      <c r="V34" s="2026"/>
    </row>
    <row r="35" spans="1:22" ht="18" customHeight="1">
      <c r="A35" s="2133"/>
      <c r="B35" s="3034" t="s">
        <v>1836</v>
      </c>
      <c r="C35" s="3034"/>
      <c r="D35" s="3034"/>
      <c r="E35" s="3034"/>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7"/>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1892</v>
      </c>
      <c r="I9" s="2189" t="s">
        <v>3069</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2.75">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3057</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0"/>
      <c r="C1" s="1390"/>
      <c r="D1" s="1390"/>
      <c r="E1" s="1390"/>
      <c r="F1" s="1390"/>
      <c r="G1" s="1390"/>
      <c r="H1" s="1390"/>
      <c r="I1" s="1390"/>
      <c r="J1" s="1390"/>
      <c r="K1" s="1390"/>
      <c r="L1" s="1390"/>
      <c r="M1" s="1390"/>
      <c r="N1" s="1390"/>
      <c r="O1" s="1390"/>
      <c r="P1" s="1390"/>
    </row>
    <row r="2" spans="1:16" ht="15">
      <c r="A2" s="3046" t="s">
        <v>1932</v>
      </c>
      <c r="B2" s="3046"/>
      <c r="C2" s="3046"/>
      <c r="D2" s="965" t="s">
        <v>1908</v>
      </c>
      <c r="E2" s="2225" t="s">
        <v>1909</v>
      </c>
      <c r="F2" s="1390"/>
      <c r="G2" s="2226"/>
      <c r="H2" s="2227"/>
      <c r="I2" s="2228" t="s">
        <v>1933</v>
      </c>
      <c r="J2" s="1390"/>
      <c r="K2" s="1390"/>
      <c r="L2" s="1390"/>
      <c r="M2" s="1390"/>
      <c r="N2" s="1425"/>
      <c r="O2" s="1390"/>
      <c r="P2" s="1390"/>
    </row>
    <row r="3" spans="1:16" ht="15.75" thickBot="1">
      <c r="A3" s="3047" t="s">
        <v>1906</v>
      </c>
      <c r="B3" s="3047"/>
      <c r="C3" s="3047"/>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5">
      <c r="A4" s="3048"/>
      <c r="B4" s="3049"/>
      <c r="C4" s="3050"/>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c r="A5" s="47" t="s">
        <v>1910</v>
      </c>
      <c r="B5" s="3051" t="s">
        <v>1911</v>
      </c>
      <c r="C5" s="3051"/>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51" t="s">
        <v>1912</v>
      </c>
      <c r="C6" s="3051"/>
      <c r="D6" s="48">
        <f>ROUND($D$3*E6/$E$3,2)</f>
        <v>11.01</v>
      </c>
      <c r="E6" s="49">
        <f>E3-E5</f>
        <v>107.22</v>
      </c>
      <c r="F6" s="1390"/>
      <c r="G6" s="2233" t="s">
        <v>1913</v>
      </c>
      <c r="H6" s="1397" t="s">
        <v>1914</v>
      </c>
      <c r="I6" s="937">
        <f>ROUND(F31/D31,2)</f>
        <v>9.74</v>
      </c>
      <c r="J6" s="1390"/>
      <c r="K6" s="1390"/>
      <c r="L6" s="1390"/>
      <c r="M6" s="1390"/>
      <c r="N6" s="1390"/>
      <c r="O6" s="1390"/>
      <c r="P6" s="1390"/>
    </row>
    <row r="7" spans="1:16" ht="15">
      <c r="A7" s="3043"/>
      <c r="B7" s="3044"/>
      <c r="C7" s="3045"/>
      <c r="D7" s="2229" t="s">
        <v>1908</v>
      </c>
      <c r="E7" s="2234" t="s">
        <v>1915</v>
      </c>
      <c r="F7" s="1390"/>
      <c r="G7" s="2226" t="s">
        <v>1916</v>
      </c>
      <c r="H7" s="64"/>
      <c r="I7" s="420"/>
      <c r="J7" s="1390"/>
      <c r="K7" s="1390"/>
      <c r="L7" s="1390"/>
      <c r="M7" s="1390"/>
      <c r="N7" s="1390"/>
      <c r="O7" s="1390"/>
      <c r="P7" s="1390"/>
    </row>
    <row r="8" spans="1:16">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c r="A9" s="2236"/>
      <c r="B9" s="2237"/>
      <c r="C9" s="48" t="s">
        <v>1920</v>
      </c>
      <c r="D9" s="48">
        <f t="shared" si="0"/>
        <v>0</v>
      </c>
      <c r="E9" s="52">
        <v>0</v>
      </c>
      <c r="F9" s="1390"/>
      <c r="G9" s="2235"/>
      <c r="H9" s="2235"/>
      <c r="I9" s="1390"/>
      <c r="J9" s="1390"/>
      <c r="K9" s="1390"/>
      <c r="L9" s="1390"/>
      <c r="M9" s="1390"/>
      <c r="N9" s="1390"/>
      <c r="O9" s="1390"/>
      <c r="P9" s="1390"/>
    </row>
    <row r="10" spans="1:16">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1924</v>
      </c>
      <c r="D16" s="50">
        <f>SUM(D8:D15)</f>
        <v>11.01</v>
      </c>
      <c r="E16" s="53">
        <f>SUM(E8:E15)</f>
        <v>107.22</v>
      </c>
      <c r="F16" s="1390"/>
      <c r="G16" s="2235"/>
      <c r="H16" s="2238" t="s">
        <v>1936</v>
      </c>
      <c r="I16" s="2239"/>
      <c r="J16" s="1390"/>
      <c r="K16" s="3040" t="s">
        <v>1936</v>
      </c>
      <c r="L16" s="3041"/>
      <c r="M16" s="3041"/>
      <c r="N16" s="3041"/>
      <c r="O16" s="3041"/>
      <c r="P16" s="3042"/>
    </row>
    <row r="17" spans="1:19" ht="15">
      <c r="A17" s="2240" t="s">
        <v>1937</v>
      </c>
      <c r="B17" s="2241" t="s">
        <v>1938</v>
      </c>
      <c r="C17" s="2242" t="s">
        <v>1939</v>
      </c>
      <c r="D17" s="2243" t="s">
        <v>1927</v>
      </c>
      <c r="E17" s="2244" t="s">
        <v>1928</v>
      </c>
      <c r="F17" s="2245"/>
      <c r="G17" s="2246"/>
      <c r="H17" s="2247" t="s">
        <v>1940</v>
      </c>
      <c r="I17" s="2248" t="s">
        <v>1925</v>
      </c>
      <c r="J17" s="1390"/>
      <c r="K17" s="3037" t="s">
        <v>1941</v>
      </c>
      <c r="L17" s="3038"/>
      <c r="M17" s="3039"/>
      <c r="N17" s="3037" t="s">
        <v>1942</v>
      </c>
      <c r="O17" s="3038"/>
      <c r="P17" s="3039"/>
      <c r="R17" s="2226" t="s">
        <v>1943</v>
      </c>
      <c r="S17" s="64"/>
    </row>
    <row r="18" spans="1:19" ht="15">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c r="A19" s="2257"/>
      <c r="B19" s="50" t="s">
        <v>1926</v>
      </c>
      <c r="C19" s="2952" t="s">
        <v>3070</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1962</v>
      </c>
      <c r="B2" s="1264">
        <f>项目基本情况!D3</f>
        <v>44011</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3071</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23.74</v>
      </c>
      <c r="G6" s="73">
        <f>IF(ISERROR(ROUND(POWER(1+H6,D6-F6)*(POWER(1+H6,F6)-1)/(POWER(1+H6,D6)-1),3)),0,ROUND(POWER(1+H6,D6-F6)*(POWER(1+H6,F6)-1)/(POWER(1+H6,D6)-1),3))</f>
        <v>0.752</v>
      </c>
      <c r="H6" s="800">
        <v>0.05</v>
      </c>
      <c r="I6" s="800">
        <v>5.5E-2</v>
      </c>
      <c r="J6" s="74">
        <v>8.5000000000000006E-2</v>
      </c>
      <c r="K6" s="1249">
        <f>SUMIF('数据-汇总表'!C$19:C$33,A6,'数据-汇总表'!E$19:E$33)</f>
        <v>107.22</v>
      </c>
      <c r="L6" s="801">
        <v>3500</v>
      </c>
      <c r="M6" s="75">
        <f t="shared" ref="M6:M14" si="0">ROUND(K6*L6/10000,0)</f>
        <v>38</v>
      </c>
      <c r="N6" s="799">
        <f>ROUND(L22*0.2+M22*0.8,2)</f>
        <v>0.83</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78">
        <v>8</v>
      </c>
      <c r="V6" s="79">
        <v>0.03</v>
      </c>
      <c r="W6" s="79">
        <v>0.05</v>
      </c>
      <c r="X6" s="1259"/>
      <c r="Y6" s="80">
        <f>N6</f>
        <v>0.83</v>
      </c>
      <c r="Z6" s="81"/>
      <c r="AA6" s="74"/>
      <c r="AB6" s="74"/>
      <c r="AC6" s="1259"/>
      <c r="AD6" s="82"/>
      <c r="AE6" s="1260">
        <f ca="1">IF(AN6="",0,SUMIF(INDIRECT("'"&amp;AN6&amp;"'"&amp;"!E:E"),$AE$5,INDIRECT("'"&amp;AN6&amp;"'"&amp;"!F:F")))</f>
        <v>23.74</v>
      </c>
      <c r="AF6" s="1802"/>
      <c r="AG6" s="147">
        <f>IF(AF6="",0,AE6-AF6)</f>
        <v>0</v>
      </c>
      <c r="AH6" s="83"/>
      <c r="AI6" s="85">
        <v>365</v>
      </c>
      <c r="AJ6" s="86"/>
      <c r="AK6" s="87">
        <v>0.01</v>
      </c>
      <c r="AL6" s="88">
        <v>1.5E-3</v>
      </c>
      <c r="AM6" s="89">
        <v>0.01</v>
      </c>
      <c r="AN6" s="2307" t="s">
        <v>3072</v>
      </c>
      <c r="AO6" s="55">
        <f ca="1">SUMIF(INDIRECT("'"&amp;AN6&amp;"'"&amp;"!A:A"),"总价",INDIRECT("'"&amp;AN6&amp;"'"&amp;"!B:B"))</f>
        <v>417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2010</v>
      </c>
      <c r="B16" s="97"/>
      <c r="C16" s="1003"/>
      <c r="D16" s="2312"/>
      <c r="E16" s="97"/>
      <c r="F16" s="97"/>
      <c r="G16" s="98">
        <f>ROUND(SUMPRODUCT(G6:G13,K6:K13)/SUMPRODUCT((G6:G13&gt;0)*(K6:K13)),3)</f>
        <v>0.752</v>
      </c>
      <c r="H16" s="99">
        <f>ROUND(SUMPRODUCT(H6:H13,K6:K13)/SUMPRODUCT((H6:H13&gt;0)*(K6:K13)),3)</f>
        <v>0.05</v>
      </c>
      <c r="I16" s="100"/>
      <c r="J16" s="100"/>
      <c r="K16" s="101">
        <f>SUM(K6:K15)</f>
        <v>107.22</v>
      </c>
      <c r="L16" s="102">
        <f>ROUND(M16*10000/SUM(K6:K14),0)</f>
        <v>3544</v>
      </c>
      <c r="M16" s="102">
        <f>SUM(M6:M14)</f>
        <v>38</v>
      </c>
      <c r="N16" s="103">
        <f>ROUND(SUMPRODUCT(M6:M14,N6:N14)/M16,3)</f>
        <v>0.83</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2017</v>
      </c>
      <c r="B22" s="114">
        <f>B19+B20</f>
        <v>2</v>
      </c>
      <c r="C22" s="2275"/>
      <c r="D22" s="2276"/>
      <c r="E22" s="2275"/>
      <c r="F22" s="2275"/>
      <c r="G22" s="2275"/>
      <c r="H22" s="2275"/>
      <c r="I22" s="2275"/>
      <c r="J22" s="2275"/>
      <c r="K22" s="168"/>
      <c r="L22" s="2275">
        <f>ROUND(1-(2020-1994)/60,2)</f>
        <v>0.56999999999999995</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2077</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4">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1.25"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3" t="s">
        <v>2094</v>
      </c>
      <c r="C8" s="2373" t="s">
        <v>2095</v>
      </c>
      <c r="D8" s="2374"/>
      <c r="E8" s="2374"/>
      <c r="F8" s="1131"/>
      <c r="G8" s="1131"/>
      <c r="H8" s="2365"/>
      <c r="I8" s="2365"/>
      <c r="J8" s="2365"/>
      <c r="K8" s="2365"/>
      <c r="L8" s="2365"/>
      <c r="M8" s="2365"/>
      <c r="N8" s="2365"/>
      <c r="O8" s="2365"/>
      <c r="P8" s="2365"/>
      <c r="Q8" s="2365"/>
      <c r="R8" s="2365"/>
    </row>
    <row r="9" spans="1:29" ht="27">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7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7"/>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7"/>
      <c r="D19" s="2368"/>
      <c r="E19" s="2404"/>
      <c r="F19" s="1793"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3" t="s">
        <v>2110</v>
      </c>
      <c r="G20" s="136" t="str">
        <f>G6</f>
        <v>估价对象所在区域基础设施水平</v>
      </c>
    </row>
    <row r="21" spans="1:18" ht="28.5">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E27" sqref="E27"/>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1024.48</v>
      </c>
      <c r="C1" s="1740"/>
      <c r="D1" s="1740"/>
      <c r="E1" s="1740"/>
      <c r="F1" s="1740"/>
      <c r="G1" s="1738"/>
    </row>
    <row r="2" spans="1:10" ht="16.5">
      <c r="A2" s="1741" t="s">
        <v>1348</v>
      </c>
      <c r="B2" s="1741">
        <f>SUM(C14:C23)</f>
        <v>11.01</v>
      </c>
      <c r="C2" s="1740"/>
      <c r="D2" s="1740"/>
      <c r="E2" s="1740"/>
      <c r="F2" s="1740"/>
      <c r="G2" s="1738"/>
    </row>
    <row r="3" spans="1:10" ht="16.5">
      <c r="A3" s="1741" t="s">
        <v>1357</v>
      </c>
      <c r="B3" s="1742">
        <f>项目基本情况!D3</f>
        <v>44011</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4083</v>
      </c>
      <c r="C5" s="1741">
        <f ca="1">ROUND(B5*10000/$B$1,0)</f>
        <v>39854</v>
      </c>
      <c r="D5" s="1741">
        <f ca="1">ROUND(B5*10000/$B$2,0)</f>
        <v>3708447</v>
      </c>
      <c r="E5" s="1740"/>
      <c r="F5" s="1738"/>
      <c r="G5" s="1738"/>
    </row>
    <row r="6" spans="1:10" ht="16.5">
      <c r="A6" s="1741" t="s">
        <v>1351</v>
      </c>
      <c r="B6" s="1741">
        <f ca="1">SUM(G14:G23)</f>
        <v>4083</v>
      </c>
      <c r="C6" s="1741">
        <f ca="1">ROUND(B6*10000/$B$1,0)</f>
        <v>39854</v>
      </c>
      <c r="D6" s="1741">
        <f ca="1">ROUND(B6*10000/$B$2,0)</f>
        <v>3708447</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107.22</v>
      </c>
      <c r="C14" s="1739">
        <f>结果表!C118</f>
        <v>11.01</v>
      </c>
      <c r="D14" s="1739">
        <f ca="1">结果表!H118</f>
        <v>431</v>
      </c>
      <c r="E14" s="1739">
        <f ca="1">ROUND(D14*10000/B14,0)</f>
        <v>40198</v>
      </c>
      <c r="F14" s="1739">
        <f ca="1">ROUND(D14*10000/C14,0)</f>
        <v>391462</v>
      </c>
      <c r="G14" s="1739">
        <f ca="1">结果表!D122</f>
        <v>431</v>
      </c>
      <c r="H14" s="1739" t="str">
        <f>结果表!D124</f>
        <v>——</v>
      </c>
      <c r="I14" s="1739" t="str">
        <f>结果表!D126</f>
        <v>——</v>
      </c>
      <c r="J14" s="1738"/>
    </row>
    <row r="15" spans="1:10" ht="16.5">
      <c r="A15" s="1737" t="s">
        <v>1344</v>
      </c>
      <c r="B15" s="1744">
        <f>典型户型修正!B22-典型户型修正!B24</f>
        <v>917.26</v>
      </c>
      <c r="C15" s="1744"/>
      <c r="D15" s="1744">
        <f ca="1">典型户型修正!S22-典型户型修正!S24</f>
        <v>3652</v>
      </c>
      <c r="E15" s="1739">
        <f t="shared" ref="E15:E23" ca="1" si="0">ROUND(D15*10000/B15,0)</f>
        <v>39814</v>
      </c>
      <c r="F15" s="1739" t="e">
        <f t="shared" ref="F15:F23" ca="1" si="1">ROUND(D15*10000/C15,0)</f>
        <v>#DIV/0!</v>
      </c>
      <c r="G15" s="1745">
        <f ca="1">D15</f>
        <v>3652</v>
      </c>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3" sqref="H33"/>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126" t="str">
        <f>项目基本情况!S2</f>
        <v>北京市出让国有建设用地使用权及在建建筑物房地产</v>
      </c>
      <c r="B2" s="3127"/>
      <c r="C2" s="3127"/>
      <c r="D2" s="3127"/>
      <c r="E2" s="3127"/>
      <c r="F2" s="3127"/>
      <c r="G2" s="3127"/>
      <c r="H2" s="3127"/>
      <c r="I2" s="3128"/>
    </row>
    <row r="3" spans="1:12" ht="12.75">
      <c r="A3" s="3129" t="s">
        <v>2117</v>
      </c>
      <c r="B3" s="3130"/>
      <c r="C3" s="3130"/>
      <c r="D3" s="3130"/>
      <c r="E3" s="3130"/>
      <c r="F3" s="3130"/>
      <c r="G3" s="3130"/>
      <c r="H3" s="3130"/>
      <c r="I3" s="3130"/>
    </row>
    <row r="4" spans="1:12" ht="14.25">
      <c r="A4" s="2423" t="s">
        <v>2118</v>
      </c>
      <c r="B4" s="2424" t="s">
        <v>2119</v>
      </c>
      <c r="C4" s="2425" t="s">
        <v>3112</v>
      </c>
      <c r="D4" s="2425" t="s">
        <v>3140</v>
      </c>
      <c r="E4" s="3110" t="s">
        <v>2120</v>
      </c>
      <c r="F4" s="3123"/>
      <c r="G4" s="3123"/>
      <c r="H4" s="3123"/>
      <c r="I4" s="3111"/>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2121</v>
      </c>
      <c r="B5" s="3027">
        <v>25</v>
      </c>
      <c r="C5" s="3131"/>
      <c r="D5" s="3119"/>
      <c r="E5" s="140" t="s">
        <v>2122</v>
      </c>
      <c r="F5" s="2427"/>
      <c r="G5" s="2427"/>
      <c r="H5" s="2427"/>
      <c r="I5" s="1829"/>
    </row>
    <row r="6" spans="1:12" ht="12.75">
      <c r="A6" s="3101"/>
      <c r="B6" s="3027"/>
      <c r="C6" s="3133"/>
      <c r="D6" s="3119"/>
      <c r="E6" s="140" t="s">
        <v>2123</v>
      </c>
      <c r="F6" s="2427"/>
      <c r="G6" s="2427"/>
      <c r="H6" s="2427"/>
      <c r="I6" s="1829"/>
    </row>
    <row r="7" spans="1:12" ht="12.75">
      <c r="A7" s="3101"/>
      <c r="B7" s="3027"/>
      <c r="C7" s="3132"/>
      <c r="D7" s="3119"/>
      <c r="E7" s="140" t="s">
        <v>2124</v>
      </c>
      <c r="F7" s="2427"/>
      <c r="G7" s="2427"/>
      <c r="H7" s="2427"/>
      <c r="I7" s="1829"/>
    </row>
    <row r="8" spans="1:12" ht="12.75">
      <c r="A8" s="3101" t="s">
        <v>2125</v>
      </c>
      <c r="B8" s="3027">
        <v>15</v>
      </c>
      <c r="C8" s="3131"/>
      <c r="D8" s="3119"/>
      <c r="E8" s="140" t="s">
        <v>2126</v>
      </c>
      <c r="F8" s="2427"/>
      <c r="G8" s="2427"/>
      <c r="H8" s="2427"/>
      <c r="I8" s="1829"/>
    </row>
    <row r="9" spans="1:12" ht="12.75">
      <c r="A9" s="3101"/>
      <c r="B9" s="3027"/>
      <c r="C9" s="3132"/>
      <c r="D9" s="3119"/>
      <c r="E9" s="140" t="s">
        <v>2127</v>
      </c>
      <c r="F9" s="2427"/>
      <c r="G9" s="2427"/>
      <c r="H9" s="2427"/>
      <c r="I9" s="1829"/>
    </row>
    <row r="10" spans="1:12" ht="12.75">
      <c r="A10" s="3101" t="s">
        <v>2128</v>
      </c>
      <c r="B10" s="3027">
        <v>15</v>
      </c>
      <c r="C10" s="3131"/>
      <c r="D10" s="3119"/>
      <c r="E10" s="140" t="s">
        <v>2129</v>
      </c>
      <c r="F10" s="2427"/>
      <c r="G10" s="2427"/>
      <c r="H10" s="2427"/>
      <c r="I10" s="1829"/>
    </row>
    <row r="11" spans="1:12" ht="12.75">
      <c r="A11" s="3101"/>
      <c r="B11" s="3027"/>
      <c r="C11" s="3132"/>
      <c r="D11" s="3119"/>
      <c r="E11" s="140" t="s">
        <v>2130</v>
      </c>
      <c r="F11" s="2427"/>
      <c r="G11" s="2427"/>
      <c r="H11" s="2427"/>
      <c r="I11" s="1829"/>
    </row>
    <row r="12" spans="1:12" ht="12.75">
      <c r="A12" s="3101" t="s">
        <v>2131</v>
      </c>
      <c r="B12" s="3027">
        <v>15</v>
      </c>
      <c r="C12" s="3131"/>
      <c r="D12" s="3119"/>
      <c r="E12" s="140" t="s">
        <v>2132</v>
      </c>
      <c r="F12" s="2427"/>
      <c r="G12" s="2427"/>
      <c r="H12" s="2427"/>
      <c r="I12" s="1829"/>
    </row>
    <row r="13" spans="1:12" ht="12.75">
      <c r="A13" s="3101"/>
      <c r="B13" s="3027"/>
      <c r="C13" s="3132"/>
      <c r="D13" s="3119"/>
      <c r="E13" s="140" t="s">
        <v>2133</v>
      </c>
      <c r="F13" s="2427"/>
      <c r="G13" s="2427"/>
      <c r="H13" s="2427"/>
      <c r="I13" s="1829"/>
    </row>
    <row r="14" spans="1:12" ht="12.75">
      <c r="A14" s="3101" t="s">
        <v>2134</v>
      </c>
      <c r="B14" s="3027">
        <v>30</v>
      </c>
      <c r="C14" s="3131">
        <v>5</v>
      </c>
      <c r="D14" s="3119">
        <v>5</v>
      </c>
      <c r="E14" s="140" t="s">
        <v>2135</v>
      </c>
      <c r="F14" s="2427"/>
      <c r="G14" s="2427"/>
      <c r="H14" s="2427"/>
      <c r="I14" s="1829"/>
    </row>
    <row r="15" spans="1:12" ht="12.75">
      <c r="A15" s="3101"/>
      <c r="B15" s="3027"/>
      <c r="C15" s="3133"/>
      <c r="D15" s="3119"/>
      <c r="E15" s="140" t="s">
        <v>2136</v>
      </c>
      <c r="F15" s="2427"/>
      <c r="G15" s="2427"/>
      <c r="H15" s="2427"/>
      <c r="I15" s="1829"/>
    </row>
    <row r="16" spans="1:12" ht="12.75">
      <c r="A16" s="3101"/>
      <c r="B16" s="3027"/>
      <c r="C16" s="3132"/>
      <c r="D16" s="3119"/>
      <c r="E16" s="140" t="s">
        <v>2137</v>
      </c>
      <c r="F16" s="2427"/>
      <c r="G16" s="2427"/>
      <c r="H16" s="2427"/>
      <c r="I16" s="1829"/>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5">
      <c r="A19" s="2432" t="s">
        <v>2143</v>
      </c>
      <c r="B19" s="2433" t="s">
        <v>2144</v>
      </c>
      <c r="C19" s="143">
        <f ca="1">SUMIF(INDIRECT("'"&amp;C4&amp;"'"&amp;"!A:A"),结果表!B19,INDIRECT("'"&amp;C4&amp;"'"&amp;"!B:B"))</f>
        <v>447</v>
      </c>
      <c r="D19" s="144">
        <f ca="1">SUMIF(INDIRECT("'"&amp;D4&amp;"'"&amp;"!A:A"),结果表!B19,INDIRECT("'"&amp;D4&amp;"'"&amp;"!B:B"))</f>
        <v>414</v>
      </c>
      <c r="E19" s="2432" t="s">
        <v>2145</v>
      </c>
      <c r="F19" s="2433" t="s">
        <v>2144</v>
      </c>
      <c r="G19" s="145">
        <f ca="1">ROUND(C19*$C$18+D19*$D$18,0)</f>
        <v>431</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5">
      <c r="A20" s="2435"/>
      <c r="B20" s="1245" t="s">
        <v>2148</v>
      </c>
      <c r="C20" s="146">
        <f ca="1">SUMIF(INDIRECT("'"&amp;C4&amp;"'"&amp;"!A:A"),结果表!B20,INDIRECT("'"&amp;C4&amp;"'"&amp;"!B:B"))</f>
        <v>41659</v>
      </c>
      <c r="D20" s="147">
        <f ca="1">SUMIF(INDIRECT("'"&amp;D4&amp;"'"&amp;"!A:A"),结果表!B20,INDIRECT("'"&amp;D4&amp;"'"&amp;"!B:B"))</f>
        <v>38654</v>
      </c>
      <c r="E20" s="2435"/>
      <c r="F20" s="1245" t="s">
        <v>2148</v>
      </c>
      <c r="G20" s="148">
        <f ca="1">ROUND(C20*$C$18+D20*$D$18,0)</f>
        <v>40157</v>
      </c>
      <c r="H20" s="978" t="s">
        <v>2149</v>
      </c>
      <c r="I20" s="138"/>
    </row>
    <row r="21" spans="1:35" ht="15" customHeight="1" thickBot="1">
      <c r="A21" s="998"/>
      <c r="B21" s="2436" t="s">
        <v>2150</v>
      </c>
      <c r="C21" s="787">
        <f ca="1">ROUND(C19*10000/L19,0)</f>
        <v>405995</v>
      </c>
      <c r="D21" s="788">
        <f ca="1">ROUND(D19*10000/L19,0)</f>
        <v>376022</v>
      </c>
      <c r="E21" s="998"/>
      <c r="F21" s="2436" t="s">
        <v>2150</v>
      </c>
      <c r="G21" s="149">
        <f ca="1">ROUND(G19*10000/L19,0)</f>
        <v>391462</v>
      </c>
      <c r="H21" s="2437" t="s">
        <v>2149</v>
      </c>
      <c r="I21" s="138"/>
    </row>
    <row r="22" spans="1:35" ht="15" thickBot="1">
      <c r="A22" s="2279" t="s">
        <v>2151</v>
      </c>
      <c r="B22" s="2438"/>
      <c r="C22" s="2439"/>
      <c r="D22" s="789">
        <f ca="1">IF(C19&lt;D19,D19/C19-1,C19/D19-1)</f>
        <v>7.9710144927536142E-2</v>
      </c>
      <c r="E22" s="138"/>
      <c r="F22" s="138"/>
      <c r="G22" s="138"/>
      <c r="H22" s="138"/>
      <c r="I22" s="138"/>
    </row>
    <row r="23" spans="1:35" ht="13.5" thickBot="1">
      <c r="A23" s="2416"/>
      <c r="B23" s="2416"/>
      <c r="C23" s="2416"/>
      <c r="D23" s="2416"/>
      <c r="E23" s="138"/>
      <c r="F23" s="138"/>
      <c r="G23" s="138"/>
      <c r="H23" s="138"/>
      <c r="I23" s="138"/>
    </row>
    <row r="24" spans="1:35" ht="14.25">
      <c r="A24" s="3140" t="s">
        <v>2152</v>
      </c>
      <c r="B24" s="2433" t="s">
        <v>2144</v>
      </c>
      <c r="C24" s="145">
        <f>IF(B30=0,0,D30)</f>
        <v>0</v>
      </c>
      <c r="D24" s="2440"/>
      <c r="E24" s="138"/>
      <c r="F24" s="138"/>
      <c r="G24" s="138"/>
      <c r="H24" s="138"/>
      <c r="I24" s="138"/>
    </row>
    <row r="25" spans="1:35" ht="14.25">
      <c r="A25" s="3141"/>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2158</v>
      </c>
      <c r="B32" s="2446"/>
      <c r="C32" s="153">
        <f ca="1">IF(D32="总价",G19-C24,G20-C25)</f>
        <v>431</v>
      </c>
      <c r="D32" s="2447" t="s">
        <v>2159</v>
      </c>
      <c r="E32" s="138"/>
      <c r="F32" s="138"/>
      <c r="G32" s="138"/>
      <c r="H32" s="138"/>
      <c r="I32" s="138"/>
    </row>
    <row r="33" spans="1:15" ht="15">
      <c r="A33" s="955" t="s">
        <v>2160</v>
      </c>
      <c r="B33" s="2448"/>
      <c r="C33" s="2449" t="s">
        <v>3123</v>
      </c>
      <c r="D33" s="2450" t="s">
        <v>3124</v>
      </c>
      <c r="E33" s="2451" t="s">
        <v>2161</v>
      </c>
      <c r="F33" s="2452" t="str">
        <f>IF(D32="楼面单价","取值（单价）","取值（总价）")</f>
        <v>取值（总价）</v>
      </c>
      <c r="G33" s="138"/>
      <c r="H33" s="138"/>
      <c r="I33" s="138"/>
    </row>
    <row r="34" spans="1:15" ht="15">
      <c r="A34" s="2453"/>
      <c r="B34" s="2454" t="s">
        <v>2162</v>
      </c>
      <c r="C34" s="157">
        <f ca="1">IF(C33="自定义",F34,C32-C35)</f>
        <v>0</v>
      </c>
      <c r="D34" s="1053">
        <f ca="1">IF(C33="自定义",ROUND(C34/C32,3),IF(C33="收益比率",SUMIF(INDIRECT("'"&amp;D33&amp;"'"&amp;"!b:b"),"土地收益比率",INDIRECT("'"&amp;D33&amp;"'"&amp;"!c:c")),SUMIF(INDIRECT("'"&amp;D33&amp;"'"&amp;"!b:b"),"土地成本比率",INDIRECT("'"&amp;D33&amp;"'"&amp;"!c:c"))))</f>
        <v>0</v>
      </c>
      <c r="E34" s="2455" t="s">
        <v>2163</v>
      </c>
      <c r="F34" s="1734"/>
      <c r="G34" s="138"/>
      <c r="H34" s="138"/>
      <c r="I34" s="138"/>
    </row>
    <row r="35" spans="1:15" ht="15.75" thickBot="1">
      <c r="A35" s="2456"/>
      <c r="B35" s="2457" t="s">
        <v>2164</v>
      </c>
      <c r="C35" s="1439">
        <f ca="1">IF(C33="自定义",F35,ROUND(C32*D35,0))</f>
        <v>431</v>
      </c>
      <c r="D35" s="1440">
        <f ca="1">IF(C33="自定义",ROUND(C35/C32,3),IF(C33="收益比率",SUMIF(INDIRECT("'"&amp;D33&amp;"'"&amp;"!b:b"),"建筑物收益比率",INDIRECT("'"&amp;D33&amp;"'"&amp;"!c:c")),SUMIF(INDIRECT("'"&amp;D33&amp;"'"&amp;"!b:b"),"建筑物成本比率",INDIRECT("'"&amp;D33&amp;"'"&amp;"!c:c"))))</f>
        <v>1</v>
      </c>
      <c r="E35" s="2458" t="s">
        <v>2165</v>
      </c>
      <c r="F35" s="163"/>
      <c r="G35" s="138"/>
      <c r="H35" s="138"/>
      <c r="I35" s="138"/>
    </row>
    <row r="36" spans="1:15" ht="15.75" thickBot="1">
      <c r="A36" s="3120" t="s">
        <v>2166</v>
      </c>
      <c r="B36" s="2459" t="s">
        <v>2167</v>
      </c>
      <c r="C36" s="154"/>
      <c r="D36" s="2460"/>
      <c r="E36" s="2461"/>
      <c r="F36" s="2462"/>
      <c r="G36" s="138"/>
      <c r="H36" s="138"/>
      <c r="I36" s="138"/>
    </row>
    <row r="37" spans="1:15" ht="15.75" thickBot="1">
      <c r="A37" s="3121"/>
      <c r="B37" s="2265" t="s">
        <v>2168</v>
      </c>
      <c r="C37" s="156"/>
      <c r="D37" s="1390"/>
      <c r="E37" s="1390"/>
      <c r="F37" s="2462"/>
      <c r="G37" s="138"/>
      <c r="H37" s="138"/>
      <c r="I37" s="138"/>
    </row>
    <row r="38" spans="1:15" ht="15.75" thickBot="1">
      <c r="A38" s="3122"/>
      <c r="B38" s="2463" t="s">
        <v>2169</v>
      </c>
      <c r="C38" s="725"/>
      <c r="D38" s="2464" t="s">
        <v>2170</v>
      </c>
      <c r="E38" s="1390"/>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37" t="s">
        <v>2180</v>
      </c>
      <c r="B45" s="3138"/>
      <c r="C45" s="3139"/>
      <c r="D45" s="164">
        <f ca="1">ROUND(H101*F45,0)</f>
        <v>431</v>
      </c>
      <c r="E45" s="165" t="s">
        <v>2181</v>
      </c>
      <c r="F45" s="166">
        <v>1</v>
      </c>
      <c r="G45" s="167" t="s">
        <v>2182</v>
      </c>
      <c r="H45" s="138"/>
      <c r="I45" s="138"/>
      <c r="J45" s="3056" t="s">
        <v>2183</v>
      </c>
      <c r="K45" s="3056"/>
      <c r="L45" s="3056"/>
      <c r="M45" s="3056"/>
      <c r="N45" s="3056"/>
      <c r="O45" s="3056"/>
    </row>
    <row r="46" spans="1:15" ht="14.25" customHeight="1">
      <c r="A46" s="3134" t="s">
        <v>2184</v>
      </c>
      <c r="B46" s="3135"/>
      <c r="C46" s="3135"/>
      <c r="D46" s="3135"/>
      <c r="E46" s="3135"/>
      <c r="F46" s="3135"/>
      <c r="G46" s="3136"/>
      <c r="H46" s="2478"/>
      <c r="I46" s="168"/>
      <c r="J46" s="1807">
        <v>1</v>
      </c>
      <c r="K46" s="3056" t="s">
        <v>2185</v>
      </c>
      <c r="L46" s="3056"/>
      <c r="M46" s="3057"/>
      <c r="N46" s="3057"/>
      <c r="O46" s="3057"/>
    </row>
    <row r="47" spans="1:15" ht="12" customHeight="1">
      <c r="A47" s="169" t="s">
        <v>2186</v>
      </c>
      <c r="B47" s="170"/>
      <c r="C47" s="171"/>
      <c r="D47" s="172" t="s">
        <v>2187</v>
      </c>
      <c r="E47" s="24" t="s">
        <v>2188</v>
      </c>
      <c r="F47" s="173" t="s">
        <v>2189</v>
      </c>
      <c r="G47" s="174" t="s">
        <v>2190</v>
      </c>
      <c r="H47" s="2478"/>
      <c r="I47" s="168"/>
      <c r="J47" s="1807">
        <v>2</v>
      </c>
      <c r="K47" s="3056" t="s">
        <v>2191</v>
      </c>
      <c r="L47" s="3056"/>
      <c r="M47" s="3058">
        <f>'数据-取费表'!B2</f>
        <v>44011</v>
      </c>
      <c r="N47" s="3058"/>
      <c r="O47" s="3058"/>
    </row>
    <row r="48" spans="1:15" ht="25.5">
      <c r="A48" s="3124" t="s">
        <v>2192</v>
      </c>
      <c r="B48" s="3125"/>
      <c r="C48" s="3125"/>
      <c r="D48" s="140">
        <f>IF(H48="情况1",0,IF(H48="情况2",D52,IF(H48="情况3",D53,IF(H48="情况4",D54))))</f>
        <v>0</v>
      </c>
      <c r="E48" s="1796" t="str">
        <f>IF(H48="情况4","(销售额-原购置价)×税（费）率","销售额×税（费）率")</f>
        <v>销售额×税（费）率</v>
      </c>
      <c r="F48" s="175" t="str">
        <f>IF(H48="情况1","免征",'数据-取费表'!B41)</f>
        <v>免征</v>
      </c>
      <c r="G48" s="2479" t="s">
        <v>2193</v>
      </c>
      <c r="H48" s="2480" t="s">
        <v>2194</v>
      </c>
      <c r="I48" s="2478"/>
      <c r="J48" s="1807">
        <v>3</v>
      </c>
      <c r="K48" s="3056" t="s">
        <v>2195</v>
      </c>
      <c r="L48" s="3056"/>
      <c r="M48" s="3059">
        <f ca="1">H101</f>
        <v>431</v>
      </c>
      <c r="N48" s="3059"/>
      <c r="O48" s="3059"/>
    </row>
    <row r="49" spans="1:35" ht="25.5" customHeight="1">
      <c r="A49" s="176" t="s">
        <v>2196</v>
      </c>
      <c r="B49" s="3104" t="s">
        <v>2197</v>
      </c>
      <c r="C49" s="3104"/>
      <c r="D49" s="177">
        <v>0</v>
      </c>
      <c r="E49" s="23" t="s">
        <v>2198</v>
      </c>
      <c r="F49" s="28" t="s">
        <v>34</v>
      </c>
      <c r="G49" s="3085"/>
      <c r="H49" s="138"/>
      <c r="I49" s="2481"/>
      <c r="J49" s="1807">
        <v>4</v>
      </c>
      <c r="K49" s="3056" t="str">
        <f>IF(项目基本情况!E8="房地产抵押价值","房地产抵押价值","抵押担保权已注销时的房地产抵押价值")</f>
        <v>房地产抵押价值</v>
      </c>
      <c r="L49" s="3056"/>
      <c r="M49" s="3059">
        <f ca="1">IF(项目基本情况!E8="房地产抵押价值",H107,H109)</f>
        <v>431</v>
      </c>
      <c r="N49" s="3059"/>
      <c r="O49" s="3059"/>
    </row>
    <row r="50" spans="1:35" ht="25.5" customHeight="1">
      <c r="A50" s="178"/>
      <c r="B50" s="3104" t="s">
        <v>2199</v>
      </c>
      <c r="C50" s="3104"/>
      <c r="D50" s="179"/>
      <c r="E50" s="31"/>
      <c r="F50" s="180"/>
      <c r="G50" s="3086"/>
      <c r="H50" s="138"/>
      <c r="I50" s="2481"/>
      <c r="J50" s="3056" t="s">
        <v>2200</v>
      </c>
      <c r="K50" s="3056"/>
      <c r="L50" s="3056"/>
      <c r="M50" s="3056"/>
      <c r="N50" s="3056"/>
      <c r="O50" s="3056"/>
    </row>
    <row r="51" spans="1:35" ht="12" customHeight="1">
      <c r="A51" s="181"/>
      <c r="B51" s="3104" t="s">
        <v>2201</v>
      </c>
      <c r="C51" s="3104"/>
      <c r="D51" s="182"/>
      <c r="E51" s="30"/>
      <c r="F51" s="180"/>
      <c r="G51" s="3087"/>
      <c r="H51" s="138"/>
      <c r="I51" s="2481"/>
      <c r="J51" s="2482" t="s">
        <v>2202</v>
      </c>
      <c r="K51" s="3056" t="s">
        <v>2203</v>
      </c>
      <c r="L51" s="3056"/>
      <c r="M51" s="2482" t="s">
        <v>2204</v>
      </c>
      <c r="N51" s="2482" t="s">
        <v>2205</v>
      </c>
      <c r="O51" s="2482" t="s">
        <v>2206</v>
      </c>
    </row>
    <row r="52" spans="1:35" ht="24" customHeight="1">
      <c r="A52" s="183" t="s">
        <v>2207</v>
      </c>
      <c r="B52" s="3104" t="s">
        <v>2208</v>
      </c>
      <c r="C52" s="3104"/>
      <c r="D52" s="182">
        <f ca="1">ROUND(D45*'数据-取费表'!B41/(1+'数据-取费表'!C42),0)</f>
        <v>23</v>
      </c>
      <c r="E52" s="11" t="s">
        <v>2209</v>
      </c>
      <c r="F52" s="184">
        <f>'数据-取费表'!B41</f>
        <v>5.6000000000000001E-2</v>
      </c>
      <c r="G52" s="2483"/>
      <c r="H52" s="138"/>
      <c r="I52" s="2481"/>
      <c r="J52" s="1807">
        <v>1</v>
      </c>
      <c r="K52" s="3079" t="s">
        <v>2210</v>
      </c>
      <c r="L52" s="3079"/>
      <c r="M52" s="1749">
        <f>D48</f>
        <v>0</v>
      </c>
      <c r="N52" s="1807" t="str">
        <f>E48</f>
        <v>销售额×税（费）率</v>
      </c>
      <c r="O52" s="1750" t="str">
        <f>F48</f>
        <v>免征</v>
      </c>
    </row>
    <row r="53" spans="1:35" ht="12" customHeight="1">
      <c r="A53" s="183" t="s">
        <v>2211</v>
      </c>
      <c r="B53" s="3105" t="s">
        <v>2212</v>
      </c>
      <c r="C53" s="3106"/>
      <c r="D53" s="182">
        <f ca="1">ROUND(D45*'数据-取费表'!B41/(1+'数据-取费表'!C42),0)</f>
        <v>23</v>
      </c>
      <c r="E53" s="11" t="s">
        <v>2209</v>
      </c>
      <c r="F53" s="184">
        <f>'数据-取费表'!B41</f>
        <v>5.6000000000000001E-2</v>
      </c>
      <c r="G53" s="2483"/>
      <c r="H53" s="138"/>
      <c r="I53" s="2481"/>
      <c r="J53" s="1807">
        <v>2</v>
      </c>
      <c r="K53" s="3079" t="s">
        <v>2213</v>
      </c>
      <c r="L53" s="3079"/>
      <c r="M53" s="1749">
        <f t="shared" ref="M53:O54" ca="1" si="0">D55</f>
        <v>0</v>
      </c>
      <c r="N53" s="1807" t="str">
        <f t="shared" si="0"/>
        <v>销售额×税（费）率</v>
      </c>
      <c r="O53" s="1750">
        <f t="shared" si="0"/>
        <v>5.0000000000000001E-4</v>
      </c>
    </row>
    <row r="54" spans="1:35" ht="12" customHeight="1">
      <c r="A54" s="183" t="s">
        <v>2214</v>
      </c>
      <c r="B54" s="3105" t="s">
        <v>2215</v>
      </c>
      <c r="C54" s="3106"/>
      <c r="D54" s="182">
        <f ca="1">C68</f>
        <v>23</v>
      </c>
      <c r="E54" s="30" t="s">
        <v>2216</v>
      </c>
      <c r="F54" s="184">
        <f>'数据-取费表'!B41</f>
        <v>5.6000000000000001E-2</v>
      </c>
      <c r="G54" s="2483"/>
      <c r="H54" s="2484"/>
      <c r="I54" s="2481"/>
      <c r="J54" s="1807">
        <v>3</v>
      </c>
      <c r="K54" s="3079" t="s">
        <v>2217</v>
      </c>
      <c r="L54" s="3079"/>
      <c r="M54" s="1749">
        <f t="shared" ca="1" si="0"/>
        <v>244</v>
      </c>
      <c r="N54" s="1807" t="str">
        <f t="shared" si="0"/>
        <v>增值额×税（费）率</v>
      </c>
      <c r="O54" s="1751" t="str">
        <f t="shared" si="0"/>
        <v>——</v>
      </c>
    </row>
    <row r="55" spans="1:35" ht="24" customHeight="1">
      <c r="A55" s="3143" t="s">
        <v>2218</v>
      </c>
      <c r="B55" s="3125"/>
      <c r="C55" s="3125"/>
      <c r="D55" s="185">
        <f ca="1">IF(H55="个人住宅",0,ROUND(D45*I55,0))</f>
        <v>0</v>
      </c>
      <c r="E55" s="11" t="s">
        <v>2219</v>
      </c>
      <c r="F55" s="184">
        <f>IF(H55="正常",I55,"免征")</f>
        <v>5.0000000000000001E-4</v>
      </c>
      <c r="G55" s="2483"/>
      <c r="H55" s="2480" t="s">
        <v>2220</v>
      </c>
      <c r="I55" s="186">
        <f>'数据-取费表'!B49</f>
        <v>5.0000000000000001E-4</v>
      </c>
      <c r="J55" s="1807" t="str">
        <f>IF(H59="非个人房产","",4)</f>
        <v/>
      </c>
      <c r="K55" s="3079" t="str">
        <f>IF(H59="非个人房产","——","个人所得税")</f>
        <v>——</v>
      </c>
      <c r="L55" s="3079"/>
      <c r="M55" s="1752" t="str">
        <f>D59</f>
        <v>——</v>
      </c>
      <c r="N55" s="1805" t="str">
        <f>E59</f>
        <v>——</v>
      </c>
      <c r="O55" s="1753" t="str">
        <f>F59</f>
        <v>——</v>
      </c>
    </row>
    <row r="56" spans="1:35" ht="24.75">
      <c r="A56" s="3143" t="s">
        <v>2221</v>
      </c>
      <c r="B56" s="3125"/>
      <c r="C56" s="3125"/>
      <c r="D56" s="185">
        <f ca="1">IF(H56="个人住宅",D57,D58)</f>
        <v>244</v>
      </c>
      <c r="E56" s="11" t="s">
        <v>2222</v>
      </c>
      <c r="F56" s="184" t="str">
        <f>IF(H56="正常",F58,"免征")</f>
        <v>——</v>
      </c>
      <c r="G56" s="2485" t="s">
        <v>2223</v>
      </c>
      <c r="H56" s="2486" t="s">
        <v>2220</v>
      </c>
      <c r="I56" s="2487"/>
      <c r="J56" s="1807" t="str">
        <f>IF(项目基本情况!K6="上海银行",IF(J55="",4,J55+1),"")</f>
        <v/>
      </c>
      <c r="K56" s="3062" t="str">
        <f>IF(项目基本情况!K6="上海银行","其他处置费用","")</f>
        <v/>
      </c>
      <c r="L56" s="3063"/>
      <c r="M56" s="1749" t="str">
        <f>IF(项目基本情况!K6="上海银行",M69,"")</f>
        <v/>
      </c>
      <c r="N56" s="3065" t="str">
        <f>IF(项目基本情况!K6="上海银行","包含处置中涉及的律师、诉讼、拍卖、评估等费用","")</f>
        <v/>
      </c>
      <c r="O56" s="3066"/>
    </row>
    <row r="57" spans="1:35" ht="12.75">
      <c r="A57" s="183" t="s">
        <v>2196</v>
      </c>
      <c r="B57" s="3110" t="s">
        <v>2224</v>
      </c>
      <c r="C57" s="3111"/>
      <c r="D57" s="187">
        <v>0</v>
      </c>
      <c r="E57" s="23" t="s">
        <v>2198</v>
      </c>
      <c r="F57" s="155"/>
      <c r="G57" s="2483"/>
      <c r="H57" s="2487"/>
      <c r="I57" s="2487"/>
      <c r="J57" s="3079">
        <f>IF(AND(J55="",J56=""),4,IF(项目基本情况!K6="上海银行",结果表!J56+1,结果表!J55+1))</f>
        <v>4</v>
      </c>
      <c r="K57" s="3079" t="s">
        <v>2225</v>
      </c>
      <c r="L57" s="2488" t="s">
        <v>2226</v>
      </c>
      <c r="M57" s="1754"/>
      <c r="N57" s="1755">
        <f ca="1">SUMIF(M52:M56,"&lt;9e307")</f>
        <v>244</v>
      </c>
      <c r="O57" s="2489"/>
      <c r="P57" s="1748">
        <f ca="1">N57/M49</f>
        <v>0.56612529002320189</v>
      </c>
    </row>
    <row r="58" spans="1:35" ht="24.75">
      <c r="A58" s="183" t="s">
        <v>2207</v>
      </c>
      <c r="B58" s="3110" t="s">
        <v>2227</v>
      </c>
      <c r="C58" s="3123"/>
      <c r="D58" s="185">
        <f ca="1">IF(H58="转让取得",C81,C97)</f>
        <v>244</v>
      </c>
      <c r="E58" s="11" t="s">
        <v>2222</v>
      </c>
      <c r="F58" s="24" t="s">
        <v>34</v>
      </c>
      <c r="G58" s="2483"/>
      <c r="H58" s="2486" t="s">
        <v>2228</v>
      </c>
      <c r="I58" s="2487"/>
      <c r="J58" s="3079"/>
      <c r="K58" s="3079"/>
      <c r="L58" s="2488" t="s">
        <v>2229</v>
      </c>
      <c r="M58" s="1756"/>
      <c r="N58" s="2490" t="str">
        <f ca="1">NUMBERSTRING(INT(N57*10000),2)&amp;"元整"</f>
        <v>贰佰肆拾肆万元整</v>
      </c>
      <c r="O58" s="2491"/>
    </row>
    <row r="59" spans="1:35" ht="24.75" thickBot="1">
      <c r="A59" s="3083" t="s">
        <v>2230</v>
      </c>
      <c r="B59" s="3084"/>
      <c r="C59" s="3084"/>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081">
        <f>J57+1</f>
        <v>5</v>
      </c>
      <c r="K59" s="3079" t="s">
        <v>2232</v>
      </c>
      <c r="L59" s="1807" t="s">
        <v>2226</v>
      </c>
      <c r="M59" s="1757"/>
      <c r="N59" s="1758">
        <f ca="1">M49-N57</f>
        <v>187</v>
      </c>
      <c r="O59" s="2493"/>
    </row>
    <row r="60" spans="1:35" ht="12" customHeight="1">
      <c r="A60" s="2494"/>
      <c r="B60" s="2416"/>
      <c r="C60" s="2416"/>
      <c r="D60" s="2416"/>
      <c r="E60" s="2164"/>
      <c r="F60" s="2487"/>
      <c r="G60" s="2487"/>
      <c r="H60" s="2495"/>
      <c r="I60" s="138"/>
      <c r="J60" s="3082"/>
      <c r="K60" s="3079"/>
      <c r="L60" s="2488" t="s">
        <v>2229</v>
      </c>
      <c r="M60" s="1756"/>
      <c r="N60" s="2490" t="str">
        <f ca="1">NUMBERSTRING(INT(N59*10000),2)&amp;"元整"</f>
        <v>壹佰捌拾柒万元整</v>
      </c>
      <c r="O60" s="2491"/>
    </row>
    <row r="61" spans="1:35" ht="13.5" thickBot="1">
      <c r="A61" s="3142" t="s">
        <v>2233</v>
      </c>
      <c r="B61" s="3142"/>
      <c r="C61" s="3142"/>
      <c r="D61" s="3142"/>
      <c r="E61" s="3142"/>
      <c r="F61" s="2487"/>
      <c r="G61" s="2487"/>
      <c r="H61" s="2495"/>
      <c r="I61" s="138"/>
      <c r="J61" s="1807">
        <f>J59+1</f>
        <v>6</v>
      </c>
      <c r="K61" s="3079" t="s">
        <v>2234</v>
      </c>
      <c r="L61" s="3079"/>
      <c r="M61" s="1759"/>
      <c r="N61" s="1760">
        <f ca="1">ROUND(N59*10000/'数据-汇总表'!E3,0)</f>
        <v>17441</v>
      </c>
      <c r="O61" s="2496"/>
    </row>
    <row r="62" spans="1:35" ht="12.75">
      <c r="A62" s="3099" t="s">
        <v>2235</v>
      </c>
      <c r="B62" s="3100"/>
      <c r="C62" s="1799"/>
      <c r="D62" s="1799" t="s">
        <v>2236</v>
      </c>
      <c r="E62" s="192" t="s">
        <v>2237</v>
      </c>
      <c r="F62" s="2487"/>
      <c r="G62" s="2487"/>
      <c r="H62" s="2495"/>
      <c r="I62" s="138"/>
    </row>
    <row r="63" spans="1:35" ht="12.75">
      <c r="A63" s="203" t="s">
        <v>775</v>
      </c>
      <c r="B63" s="193" t="s">
        <v>2238</v>
      </c>
      <c r="C63" s="194">
        <f ca="1">ROUND((C64+C65)/(1+'数据-取费表'!C42),0)</f>
        <v>410</v>
      </c>
      <c r="D63" s="195"/>
      <c r="E63" s="196"/>
      <c r="F63" s="2487"/>
      <c r="G63" s="2487"/>
      <c r="H63" s="2495"/>
      <c r="I63" s="138"/>
      <c r="J63" s="3064" t="s">
        <v>2239</v>
      </c>
      <c r="K63" s="2497" t="s">
        <v>2240</v>
      </c>
      <c r="L63" s="1747">
        <f ca="1">IF(M49&gt;10000,M49*0.5%,IF(AND(M49&gt;1000,M49&lt;=10000),M49*1%,IF(AND(M49&gt;100,M49&lt;=1000),M49*3%,IF(AND(M49&gt;10,M49&lt;=100),M49*5%,M49*8%))))</f>
        <v>12.93</v>
      </c>
      <c r="M63" s="24">
        <f ca="1">ROUND(L63,1)</f>
        <v>12.9</v>
      </c>
      <c r="Z63" s="2421"/>
      <c r="AI63" s="2422"/>
    </row>
    <row r="64" spans="1:35" ht="14.25" customHeight="1">
      <c r="A64" s="197" t="s">
        <v>770</v>
      </c>
      <c r="B64" s="198" t="s">
        <v>2241</v>
      </c>
      <c r="C64" s="199">
        <f ca="1">D45</f>
        <v>431</v>
      </c>
      <c r="D64" s="200" t="s">
        <v>32</v>
      </c>
      <c r="E64" s="201"/>
      <c r="F64" s="2487"/>
      <c r="G64" s="2487"/>
      <c r="H64" s="2495"/>
      <c r="I64" s="138"/>
      <c r="J64" s="3064"/>
      <c r="K64" s="2497" t="s">
        <v>2242</v>
      </c>
      <c r="L64" s="1747">
        <f ca="1">IF(M49&gt;2000,M49*0.5%,IF(AND(M49&gt;1000,M49&lt;=2000),M49*0.6%,IF(AND(M49&gt;500,M49&lt;=1000),M49*0.7%,IF(AND(M49&gt;200,M49&lt;=500),M49*0.8%,IF(AND(M49&gt;100,M49&lt;=200),M49*0.9%,IF(AND(M49&gt;50,M49&lt;=100),M49*1%,IF(AND(M49&gt;20,M49&lt;=50),M49*1.5%,IF(AND(M49&gt;10,M49&lt;=20),M49*2%,IF(AND(M49&gt;1,M49&lt;=10),M49*2.5%)))))))))</f>
        <v>3.448</v>
      </c>
      <c r="M64" s="24">
        <f t="shared" ref="M64:M65" ca="1" si="1">ROUND(L64,1)</f>
        <v>3.4</v>
      </c>
      <c r="N64" s="138" t="s">
        <v>2243</v>
      </c>
      <c r="Z64" s="2421"/>
      <c r="AI64" s="2422"/>
    </row>
    <row r="65" spans="1:35" ht="14.25" customHeight="1">
      <c r="A65" s="197" t="s">
        <v>771</v>
      </c>
      <c r="B65" s="198" t="s">
        <v>2244</v>
      </c>
      <c r="C65" s="202"/>
      <c r="D65" s="200"/>
      <c r="E65" s="201"/>
      <c r="F65" s="2487"/>
      <c r="G65" s="2487"/>
      <c r="H65" s="2495"/>
      <c r="I65" s="138"/>
      <c r="J65" s="3064"/>
      <c r="K65" s="2497" t="s">
        <v>2245</v>
      </c>
      <c r="L65" s="1747">
        <f ca="1">IF(M49&gt;1000,M49*0.1%,IF(AND(M49&gt;500,M49&lt;=1000),M49*0.5%,IF(AND(M49&gt;50,M49&lt;=500),M49*1%,IF(AND(M49&gt;1,M49&lt;=50),M49*1.5%))))</f>
        <v>4.3100000000000005</v>
      </c>
      <c r="M65" s="24">
        <f t="shared" ca="1" si="1"/>
        <v>4.3</v>
      </c>
      <c r="N65" s="138" t="s">
        <v>2243</v>
      </c>
      <c r="Z65" s="2421"/>
      <c r="AI65" s="2422"/>
    </row>
    <row r="66" spans="1:35" ht="14.25" customHeight="1">
      <c r="A66" s="203" t="s">
        <v>772</v>
      </c>
      <c r="B66" s="204" t="s">
        <v>2246</v>
      </c>
      <c r="C66" s="205"/>
      <c r="D66" s="206" t="s">
        <v>32</v>
      </c>
      <c r="E66" s="1771" t="s">
        <v>1366</v>
      </c>
      <c r="F66" s="2487"/>
      <c r="G66" s="2487"/>
      <c r="H66" s="2495"/>
      <c r="I66" s="138"/>
      <c r="J66" s="3064"/>
      <c r="K66" s="2497" t="s">
        <v>2247</v>
      </c>
      <c r="L66" s="1747">
        <f ca="1">M49*0.5%</f>
        <v>2.1550000000000002</v>
      </c>
      <c r="M66" s="24">
        <f ca="1">IF(L66&gt;0.5,0.5,ROUND(L66,0))</f>
        <v>0.5</v>
      </c>
      <c r="N66" s="138" t="s">
        <v>2248</v>
      </c>
      <c r="Z66" s="2421"/>
      <c r="AI66" s="2422"/>
    </row>
    <row r="67" spans="1:35" ht="14.25" customHeight="1">
      <c r="A67" s="203" t="s">
        <v>773</v>
      </c>
      <c r="B67" s="204" t="s">
        <v>2249</v>
      </c>
      <c r="C67" s="207">
        <f ca="1">C63-C66</f>
        <v>410</v>
      </c>
      <c r="D67" s="200" t="s">
        <v>32</v>
      </c>
      <c r="E67" s="201"/>
      <c r="F67" s="2487"/>
      <c r="G67" s="2487"/>
      <c r="H67" s="2495"/>
      <c r="I67" s="138"/>
      <c r="J67" s="3064"/>
      <c r="K67" s="2497" t="s">
        <v>2250</v>
      </c>
      <c r="L67" s="1747">
        <f ca="1">IF(M49&gt;=10000,(8.25+(M49-10000)*0.01%),IF(AND(M49&gt;=8000,M49&lt;10000),(7.85+(M49-8000)*0.02%),IF(AND(M49&gt;=5000,M49&lt;8000),(6.65+(M49-5000)*0.04%),IF(AND(M49&gt;=2000,M49&lt;5000),(4.25+(PM49-2000)*0.08%),IF(AND(M49&gt;=1000,M49&lt;2000),(2.75+(M49-1000)*0.15%),IF(AND(M49&gt;=100,M49&lt;1000),(0.5+(M49-100)*0.25%),IF(AND(M49&gt;0,M49&lt;100),M49*0.5%)))))))</f>
        <v>1.3275000000000001</v>
      </c>
      <c r="M67" s="24">
        <f ca="1">ROUND(L67*0.9,1)</f>
        <v>1.2</v>
      </c>
      <c r="Z67" s="2421"/>
      <c r="AI67" s="2422"/>
    </row>
    <row r="68" spans="1:35" ht="14.25" customHeight="1" thickBot="1">
      <c r="A68" s="208" t="s">
        <v>774</v>
      </c>
      <c r="B68" s="209" t="s">
        <v>2251</v>
      </c>
      <c r="C68" s="210">
        <f ca="1">IF(C67&lt;=0,0,ROUND(C67*D68,0))</f>
        <v>23</v>
      </c>
      <c r="D68" s="211">
        <f>'数据-取费表'!B41</f>
        <v>5.6000000000000001E-2</v>
      </c>
      <c r="E68" s="212"/>
      <c r="F68" s="2487"/>
      <c r="G68" s="2487"/>
      <c r="H68" s="2495"/>
      <c r="I68" s="138"/>
      <c r="J68" s="3064"/>
      <c r="K68" s="2497" t="s">
        <v>2252</v>
      </c>
      <c r="L68" s="1747">
        <f ca="1">IF(M49&gt;10000,M49*0.5%,IF(AND(M49&gt;5000,M49&lt;=10000),M49*1%,IF(AND(M49&gt;1000,M49&lt;=5000),M49*2%,IF(AND(M49&gt;200,M49&lt;=1000),M49*3%,M49*5%))))</f>
        <v>12.93</v>
      </c>
      <c r="M68" s="24">
        <f ca="1">ROUND(L68,1)</f>
        <v>12.9</v>
      </c>
      <c r="Z68" s="2421"/>
      <c r="AI68" s="2422"/>
    </row>
    <row r="69" spans="1:35" s="2444" customFormat="1" ht="16.5" customHeight="1">
      <c r="A69" s="2498"/>
      <c r="B69" s="2499"/>
      <c r="C69" s="2500"/>
      <c r="D69" s="2501"/>
      <c r="E69" s="2502"/>
      <c r="F69" s="2164"/>
      <c r="G69" s="2164"/>
      <c r="H69" s="2163"/>
      <c r="I69" s="2416"/>
      <c r="J69" s="3064"/>
      <c r="K69" s="2497" t="s">
        <v>2253</v>
      </c>
      <c r="L69" s="2503"/>
      <c r="M69" s="24">
        <f ca="1">ROUND(SUM(M63:M68),0)</f>
        <v>35</v>
      </c>
      <c r="N69" s="1748">
        <f ca="1">M69/M49</f>
        <v>8.1206496519721574E-2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08" t="s">
        <v>2254</v>
      </c>
      <c r="B70" s="3109"/>
      <c r="C70" s="3109"/>
      <c r="D70" s="3109"/>
      <c r="E70" s="3109"/>
      <c r="F70" s="3109"/>
      <c r="G70" s="3109"/>
      <c r="H70" s="310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9" t="s">
        <v>2235</v>
      </c>
      <c r="B71" s="3100"/>
      <c r="C71" s="1799"/>
      <c r="D71" s="179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410</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05" t="s">
        <v>2263</v>
      </c>
      <c r="F76" s="3104"/>
      <c r="G76" s="3104"/>
      <c r="H76" s="310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v>
      </c>
      <c r="D78" s="226">
        <f>'数据-取费表'!B43</f>
        <v>6.000000000000001E-3</v>
      </c>
      <c r="E78" s="3096" t="s">
        <v>2268</v>
      </c>
      <c r="F78" s="3097"/>
      <c r="G78" s="3097"/>
      <c r="H78" s="309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408</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8" t="s">
        <v>2272</v>
      </c>
      <c r="B83" s="3109"/>
      <c r="C83" s="3109"/>
      <c r="D83" s="3109"/>
      <c r="E83" s="3109"/>
      <c r="F83" s="3109"/>
      <c r="G83" s="3109"/>
      <c r="H83" s="310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9" t="s">
        <v>2235</v>
      </c>
      <c r="B84" s="3100"/>
      <c r="C84" s="1799"/>
      <c r="D84" s="179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410</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2</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96" t="s">
        <v>2281</v>
      </c>
      <c r="F91" s="3097"/>
      <c r="G91" s="3097"/>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96" t="s">
        <v>2285</v>
      </c>
      <c r="F92" s="3097"/>
      <c r="G92" s="3097"/>
      <c r="H92" s="309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v>
      </c>
      <c r="D93" s="226">
        <f>'数据-取费表'!B43</f>
        <v>6.000000000000001E-3</v>
      </c>
      <c r="E93" s="3096" t="s">
        <v>2268</v>
      </c>
      <c r="F93" s="3097"/>
      <c r="G93" s="3097"/>
      <c r="H93" s="309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44" t="s">
        <v>2289</v>
      </c>
      <c r="F94" s="3145"/>
      <c r="G94" s="3145"/>
      <c r="H94" s="314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408</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244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48" t="s">
        <v>2291</v>
      </c>
      <c r="B100" s="3049"/>
      <c r="C100" s="3049"/>
      <c r="D100" s="3080"/>
      <c r="E100" s="3049" t="s">
        <v>2292</v>
      </c>
      <c r="F100" s="3049"/>
      <c r="G100" s="3049"/>
      <c r="H100" s="3080"/>
      <c r="I100" s="138"/>
    </row>
    <row r="101" spans="1:35" ht="18.75" customHeight="1">
      <c r="A101" s="3088" t="s">
        <v>2293</v>
      </c>
      <c r="B101" s="3089"/>
      <c r="C101" s="734" t="str">
        <f>C4</f>
        <v>比较法-办公</v>
      </c>
      <c r="D101" s="735" t="str">
        <f>D4</f>
        <v>收益法 (元)</v>
      </c>
      <c r="E101" s="3060" t="s">
        <v>2294</v>
      </c>
      <c r="F101" s="3061"/>
      <c r="G101" s="2518" t="s">
        <v>2295</v>
      </c>
      <c r="H101" s="1043">
        <f ca="1">H118</f>
        <v>431</v>
      </c>
      <c r="I101" s="138"/>
    </row>
    <row r="102" spans="1:35" ht="18.75" customHeight="1">
      <c r="A102" s="3090" t="s">
        <v>2296</v>
      </c>
      <c r="B102" s="2518" t="s">
        <v>2295</v>
      </c>
      <c r="C102" s="734">
        <f ca="1">C19</f>
        <v>447</v>
      </c>
      <c r="D102" s="735">
        <f ca="1">D19</f>
        <v>414</v>
      </c>
      <c r="E102" s="3060"/>
      <c r="F102" s="3061"/>
      <c r="G102" s="2518" t="s">
        <v>2297</v>
      </c>
      <c r="H102" s="371">
        <f ca="1">I118</f>
        <v>40198</v>
      </c>
      <c r="I102" s="138"/>
    </row>
    <row r="103" spans="1:35" ht="42.75" customHeight="1">
      <c r="A103" s="3090"/>
      <c r="B103" s="2518" t="s">
        <v>2297</v>
      </c>
      <c r="C103" s="736">
        <f ca="1">C20</f>
        <v>41659</v>
      </c>
      <c r="D103" s="737">
        <f ca="1">D20</f>
        <v>38654</v>
      </c>
      <c r="E103" s="3054" t="s">
        <v>2298</v>
      </c>
      <c r="F103" s="3055"/>
      <c r="G103" s="2519" t="s">
        <v>2299</v>
      </c>
      <c r="H103" s="1043">
        <f>IF(D36="正常操作",H104+H105+H106,H105+H106)</f>
        <v>0</v>
      </c>
      <c r="I103" s="138"/>
    </row>
    <row r="104" spans="1:35" ht="18.75" customHeight="1">
      <c r="A104" s="3090" t="s">
        <v>2300</v>
      </c>
      <c r="B104" s="2520" t="s">
        <v>2295</v>
      </c>
      <c r="C104" s="738">
        <f ca="1">H118</f>
        <v>431</v>
      </c>
      <c r="D104" s="739"/>
      <c r="E104" s="2265" t="s">
        <v>2301</v>
      </c>
      <c r="F104" s="2256"/>
      <c r="G104" s="2519" t="s">
        <v>2299</v>
      </c>
      <c r="H104" s="1044">
        <f>IF(D36="同一抵押权人同一抵押物续贷",C36&amp;"（未扣减，详见特别提示）",C36)</f>
        <v>0</v>
      </c>
      <c r="I104" s="138"/>
    </row>
    <row r="105" spans="1:35" ht="18.75" customHeight="1" thickBot="1">
      <c r="A105" s="3102"/>
      <c r="B105" s="2521" t="s">
        <v>2297</v>
      </c>
      <c r="C105" s="740">
        <f ca="1">I118</f>
        <v>40198</v>
      </c>
      <c r="D105" s="741"/>
      <c r="E105" s="2265" t="s">
        <v>2302</v>
      </c>
      <c r="F105" s="2256"/>
      <c r="G105" s="2519" t="s">
        <v>2299</v>
      </c>
      <c r="H105" s="1044">
        <f>C37</f>
        <v>0</v>
      </c>
      <c r="I105" s="138"/>
    </row>
    <row r="106" spans="1:35" ht="18.75" customHeight="1">
      <c r="A106" s="2416" t="s">
        <v>2303</v>
      </c>
      <c r="B106" s="2416"/>
      <c r="C106" s="2416"/>
      <c r="D106" s="2416"/>
      <c r="E106" s="2522" t="s">
        <v>2304</v>
      </c>
      <c r="F106" s="2256"/>
      <c r="G106" s="2519" t="s">
        <v>2299</v>
      </c>
      <c r="H106" s="1044">
        <f>C38</f>
        <v>0</v>
      </c>
      <c r="I106" s="138"/>
    </row>
    <row r="107" spans="1:35" ht="18.75" customHeight="1">
      <c r="A107" s="138"/>
      <c r="B107" s="138"/>
      <c r="C107" s="138"/>
      <c r="D107" s="138"/>
      <c r="E107" s="3091" t="str">
        <f>IF(项目基本情况!E8="已注销","——","3.房地产抵押价值")</f>
        <v>3.房地产抵押价值</v>
      </c>
      <c r="F107" s="3061"/>
      <c r="G107" s="2518" t="s">
        <v>2295</v>
      </c>
      <c r="H107" s="1043">
        <f ca="1">IF(E107="——","——",H101-H103)</f>
        <v>431</v>
      </c>
      <c r="I107" s="138"/>
    </row>
    <row r="108" spans="1:35" ht="18.75" customHeight="1">
      <c r="A108" s="138"/>
      <c r="B108" s="138"/>
      <c r="C108" s="138"/>
      <c r="D108" s="138"/>
      <c r="E108" s="3091"/>
      <c r="F108" s="3061"/>
      <c r="G108" s="2518" t="s">
        <v>2297</v>
      </c>
      <c r="H108" s="371">
        <f ca="1">ROUND(H107*10000/'数据-汇总表'!E3,0)</f>
        <v>40198</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8" t="s">
        <v>2295</v>
      </c>
      <c r="H109" s="348" t="str">
        <f>IF(E109="——","——",H101-H105-H106)</f>
        <v>——</v>
      </c>
      <c r="I109" s="138"/>
    </row>
    <row r="110" spans="1:35" ht="18.75" customHeight="1">
      <c r="A110" s="138"/>
      <c r="B110" s="138"/>
      <c r="C110" s="138"/>
      <c r="D110" s="138"/>
      <c r="E110" s="3091"/>
      <c r="F110" s="3061"/>
      <c r="G110" s="2518" t="s">
        <v>2297</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8" t="s">
        <v>2295</v>
      </c>
      <c r="H111" s="1043" t="str">
        <f>IF(E111="——","——",N59)</f>
        <v>——</v>
      </c>
      <c r="I111" s="138"/>
    </row>
    <row r="112" spans="1:35" ht="18.75" customHeight="1" thickBot="1">
      <c r="A112" s="138"/>
      <c r="B112" s="138"/>
      <c r="C112" s="138"/>
      <c r="D112" s="138"/>
      <c r="E112" s="3094"/>
      <c r="F112" s="3095"/>
      <c r="G112" s="2523" t="s">
        <v>2297</v>
      </c>
      <c r="H112" s="788" t="str">
        <f>IF(E111="——","——",N61)</f>
        <v>——</v>
      </c>
      <c r="I112" s="138"/>
    </row>
    <row r="113" spans="1:11" ht="18.75" customHeight="1">
      <c r="A113" s="138"/>
      <c r="B113" s="138"/>
      <c r="C113" s="138"/>
      <c r="D113" s="138"/>
      <c r="E113" s="3103" t="s">
        <v>2303</v>
      </c>
      <c r="F113" s="3103"/>
      <c r="G113" s="3103"/>
      <c r="H113" s="3103"/>
      <c r="I113" s="138"/>
    </row>
    <row r="114" spans="1:11" ht="3.75" customHeight="1">
      <c r="A114" s="2416"/>
      <c r="B114" s="2416"/>
      <c r="C114" s="2416"/>
      <c r="D114" s="2416"/>
      <c r="E114" s="2494"/>
      <c r="F114" s="2494"/>
      <c r="G114" s="2494"/>
      <c r="H114" s="2494"/>
      <c r="I114" s="2416"/>
    </row>
    <row r="115" spans="1:11" ht="18.75" customHeight="1">
      <c r="A115" s="3116" t="s">
        <v>2305</v>
      </c>
      <c r="B115" s="3117"/>
      <c r="C115" s="3117"/>
      <c r="D115" s="3117"/>
      <c r="E115" s="3117"/>
      <c r="F115" s="3117"/>
      <c r="G115" s="3117"/>
      <c r="H115" s="3117"/>
      <c r="I115" s="3118"/>
    </row>
    <row r="116" spans="1:11" ht="27" customHeight="1">
      <c r="A116" s="3027" t="s">
        <v>2306</v>
      </c>
      <c r="B116" s="3070" t="s">
        <v>2307</v>
      </c>
      <c r="C116" s="3070" t="s">
        <v>2308</v>
      </c>
      <c r="D116" s="3076" t="s">
        <v>2309</v>
      </c>
      <c r="E116" s="3077"/>
      <c r="F116" s="3112" t="s">
        <v>2310</v>
      </c>
      <c r="G116" s="3112"/>
      <c r="H116" s="3027" t="s">
        <v>2311</v>
      </c>
      <c r="I116" s="3027"/>
    </row>
    <row r="117" spans="1:11" ht="18.75" customHeight="1">
      <c r="A117" s="3027"/>
      <c r="B117" s="3071"/>
      <c r="C117" s="3071"/>
      <c r="D117" s="1793" t="s">
        <v>2312</v>
      </c>
      <c r="E117" s="1793" t="s">
        <v>2313</v>
      </c>
      <c r="F117" s="1793" t="s">
        <v>2312</v>
      </c>
      <c r="G117" s="1793" t="s">
        <v>2314</v>
      </c>
      <c r="H117" s="1793" t="s">
        <v>2312</v>
      </c>
      <c r="I117" s="1793" t="s">
        <v>2314</v>
      </c>
    </row>
    <row r="118" spans="1:11" ht="24.75" customHeight="1">
      <c r="A118" s="2524" t="str">
        <f>项目基本情况!S2</f>
        <v>北京市出让国有建设用地使用权及在建建筑物房地产</v>
      </c>
      <c r="B118" s="1793">
        <f>M18</f>
        <v>107.22</v>
      </c>
      <c r="C118" s="1793">
        <f>M19</f>
        <v>11.01</v>
      </c>
      <c r="D118" s="1793">
        <f ca="1">ROUND(IF(D32="总价",C34,E118*B118/10000),0)</f>
        <v>0</v>
      </c>
      <c r="E118" s="1793">
        <f ca="1">ROUND(IF(C33="自定义",IF(D32="楼面单价",C34,D118*10000/B118),I118-G118),0)</f>
        <v>0</v>
      </c>
      <c r="F118" s="1793">
        <f ca="1">ROUND(IF(D32="总价",C35,G118*B118/10000),0)</f>
        <v>431</v>
      </c>
      <c r="G118" s="1793">
        <f ca="1">ROUND(IF(D32="楼面单价",C35,F118*10000/B118),0)</f>
        <v>40198</v>
      </c>
      <c r="H118" s="1793">
        <f ca="1">ROUND(IF(D32="总价",C32,I118*B118/10000),0)</f>
        <v>431</v>
      </c>
      <c r="I118" s="1793">
        <f ca="1">ROUND(IF(D32="楼面单价",C32,H118*10000/B118),0)</f>
        <v>40198</v>
      </c>
    </row>
    <row r="119" spans="1:11" ht="18.75" customHeight="1">
      <c r="A119" s="3027" t="s">
        <v>2315</v>
      </c>
      <c r="B119" s="3027"/>
      <c r="C119" s="3027"/>
      <c r="D119" s="3072" t="str">
        <f ca="1">NUMBERSTRING(INT(D118*10000),2)&amp;"元整"</f>
        <v>零元整</v>
      </c>
      <c r="E119" s="3073"/>
      <c r="F119" s="3072" t="str">
        <f ca="1">NUMBERSTRING(INT(F118*10000),2)&amp;"元整"</f>
        <v>肆佰叁拾壹万元整</v>
      </c>
      <c r="G119" s="3073"/>
      <c r="H119" s="3072" t="str">
        <f ca="1">NUMBERSTRING(INT(H118*10000),2)&amp;"元整"</f>
        <v>肆佰叁拾壹万元整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1" t="str">
        <f>IF(D120=0,"故，本次评估不存在"&amp;A120,"故，本次评估"&amp;A120&amp;"为人民币"&amp;D120&amp;"万元整。")</f>
        <v>故，本次评估不存在估价师知悉的法定优先受偿款</v>
      </c>
    </row>
    <row r="121" spans="1:11" ht="18.75" customHeight="1">
      <c r="A121" s="3113" t="s">
        <v>2315</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431</v>
      </c>
      <c r="E122" s="3068"/>
      <c r="F122" s="3068"/>
      <c r="G122" s="3068"/>
      <c r="H122" s="3068"/>
      <c r="I122" s="3069"/>
    </row>
    <row r="123" spans="1:11" ht="18.75" customHeight="1">
      <c r="A123" s="3027" t="s">
        <v>2315</v>
      </c>
      <c r="B123" s="3027"/>
      <c r="C123" s="3027"/>
      <c r="D123" s="3072" t="str">
        <f ca="1">NUMBERSTRING(INT(D122*10000),2)&amp;"元整"</f>
        <v>肆佰叁拾壹万元整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2315</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2315</v>
      </c>
      <c r="B127" s="3027"/>
      <c r="C127" s="3027"/>
      <c r="D127" s="3072" t="e">
        <f>NUMBERSTRING(INT(D126*10000),2)&amp;"元整"</f>
        <v>#VALUE!</v>
      </c>
      <c r="E127" s="3074"/>
      <c r="F127" s="3074"/>
      <c r="G127" s="3074"/>
      <c r="H127" s="3074"/>
      <c r="I127" s="3073"/>
    </row>
    <row r="128" spans="1:11" ht="21.75" customHeight="1">
      <c r="A128" s="3075" t="s">
        <v>2316</v>
      </c>
      <c r="B128" s="3075"/>
      <c r="C128" s="3075"/>
      <c r="D128" s="3075"/>
      <c r="E128" s="3075"/>
      <c r="F128" s="3075"/>
      <c r="G128" s="3075"/>
      <c r="H128" s="3075"/>
      <c r="I128" s="307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2319</v>
      </c>
      <c r="G135" s="2542"/>
      <c r="H135" s="2542"/>
      <c r="I135" s="2543" t="s">
        <v>2320</v>
      </c>
    </row>
    <row r="136" spans="1:35" ht="21.75" customHeight="1">
      <c r="A136" s="793"/>
      <c r="B136" s="2544"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2322</v>
      </c>
    </row>
    <row r="139" spans="1:35" ht="21.75" customHeight="1">
      <c r="A139" s="793"/>
      <c r="B139" s="2544" t="s">
        <v>2323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7">
        <f>MATCH(B1,'数据-取费表'!A6:A16,0)+5</f>
        <v>7</v>
      </c>
    </row>
    <row r="2" spans="1:9" s="244" customFormat="1" ht="18" customHeight="1">
      <c r="A2" s="245" t="s">
        <v>2325</v>
      </c>
      <c r="B2" s="246">
        <f ca="1">IF(D2="——",C52,C52-E2)</f>
        <v>44</v>
      </c>
      <c r="C2" s="243" t="s">
        <v>2326</v>
      </c>
      <c r="D2" s="2547" t="s">
        <v>70</v>
      </c>
      <c r="E2" s="1438"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4104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0</v>
      </c>
      <c r="D5" s="255" t="s">
        <v>2332</v>
      </c>
      <c r="E5" s="256" t="s">
        <v>2333</v>
      </c>
      <c r="F5" s="256" t="s">
        <v>2334</v>
      </c>
      <c r="G5" s="257"/>
    </row>
    <row r="6" spans="1:9" s="258" customFormat="1" ht="13.5" customHeight="1">
      <c r="A6" s="947" t="s">
        <v>2335</v>
      </c>
      <c r="B6" s="259" t="s">
        <v>2336</v>
      </c>
      <c r="C6" s="260">
        <f ca="1">基准地价修正!B2</f>
        <v>0</v>
      </c>
      <c r="D6" s="261"/>
      <c r="E6" s="262"/>
      <c r="F6" s="262"/>
      <c r="G6" s="263"/>
    </row>
    <row r="7" spans="1:9" s="258" customFormat="1" ht="13.5" customHeight="1">
      <c r="A7" s="947" t="s">
        <v>2337</v>
      </c>
      <c r="B7" s="259" t="s">
        <v>2338</v>
      </c>
      <c r="C7" s="264">
        <f ca="1">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50" t="s">
        <v>3119</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0</v>
      </c>
      <c r="F9" s="265"/>
      <c r="G9" s="2551"/>
      <c r="H9" s="1388"/>
      <c r="I9" s="2552" t="s">
        <v>2342</v>
      </c>
    </row>
    <row r="10" spans="1:9" s="258" customFormat="1" ht="13.5" customHeight="1">
      <c r="A10" s="948" t="s">
        <v>801</v>
      </c>
      <c r="B10" s="268" t="s">
        <v>2343</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t="str">
        <f>IF(G19="已包含在土地取得成本中","0",ROUND(D19*E19/10000,0))</f>
        <v>0</v>
      </c>
      <c r="D19" s="1034">
        <f ca="1">D9+D10</f>
        <v>107.22</v>
      </c>
      <c r="E19" s="255">
        <f>'数据-取费表'!B31</f>
        <v>200</v>
      </c>
      <c r="F19" s="275"/>
      <c r="G19" s="2550" t="s">
        <v>3120</v>
      </c>
    </row>
    <row r="20" spans="1:7" s="258" customFormat="1" ht="13.5" customHeight="1">
      <c r="A20" s="299" t="s">
        <v>2356</v>
      </c>
      <c r="B20" s="254" t="s">
        <v>2357</v>
      </c>
      <c r="C20" s="276">
        <f ca="1">ROUND((C5+C19)*F20,0)</f>
        <v>0</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2">
        <f ca="1">ROUND(SUM(C23:C25),0)</f>
        <v>0</v>
      </c>
      <c r="D22" s="279">
        <f ca="1">C26</f>
        <v>5.0000000000000001E-4</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0</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5.0000000000000001E-4</v>
      </c>
      <c r="D26" s="282"/>
      <c r="E26" s="285"/>
      <c r="F26" s="283"/>
      <c r="G26" s="287"/>
    </row>
    <row r="27" spans="1:7" s="258" customFormat="1" ht="24.75">
      <c r="A27" s="299" t="s">
        <v>2375</v>
      </c>
      <c r="B27" s="288" t="s">
        <v>2376</v>
      </c>
      <c r="C27" s="289">
        <f ca="1">C28</f>
        <v>0</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ROUND((C5+C19+C20)*F27*'数据-取费表'!B21/'数据-取费表'!B20,0)</f>
        <v>0</v>
      </c>
      <c r="D28" s="279"/>
      <c r="E28" s="280"/>
      <c r="F28" s="290"/>
      <c r="G28" s="291"/>
    </row>
    <row r="29" spans="1:7" s="258" customFormat="1" ht="13.5" customHeight="1">
      <c r="A29" s="949" t="s">
        <v>792</v>
      </c>
      <c r="B29" s="292" t="s">
        <v>2380</v>
      </c>
      <c r="C29" s="282">
        <f ca="1">ROUND(C21*F27*'数据-取费表'!B21/'数据-取费表'!B20,4)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42</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2389</v>
      </c>
    </row>
    <row r="35" spans="1:7" ht="13.5" customHeight="1">
      <c r="A35" s="949" t="s">
        <v>796</v>
      </c>
      <c r="B35" s="259" t="s">
        <v>2390</v>
      </c>
      <c r="C35" s="264">
        <f ca="1">ROUND(C34*F35,0)</f>
        <v>1</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2</v>
      </c>
      <c r="D37" s="261">
        <f ca="1">D19</f>
        <v>107.22</v>
      </c>
      <c r="E37" s="293">
        <f>'数据-取费表'!B35</f>
        <v>200</v>
      </c>
      <c r="F37" s="303"/>
      <c r="G37" s="305" t="s">
        <v>2395</v>
      </c>
    </row>
    <row r="38" spans="1:7" ht="13.5" customHeight="1">
      <c r="A38" s="949"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0</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2</v>
      </c>
      <c r="D42" s="282"/>
      <c r="E42" s="282"/>
      <c r="F42" s="283"/>
      <c r="G42" s="3147" t="s">
        <v>2407</v>
      </c>
    </row>
    <row r="43" spans="1:7" ht="13.5" customHeight="1">
      <c r="A43" s="949" t="s">
        <v>792</v>
      </c>
      <c r="B43" s="259" t="s">
        <v>2408</v>
      </c>
      <c r="C43" s="282">
        <f ca="1">ROUND(IF('数据-取费表'!B22&lt;=1,C39*F22*'数据-取费表'!B21/2,C39*(POWER((1+F22),'数据-取费表'!B21/2)-1)),0)</f>
        <v>0</v>
      </c>
      <c r="D43" s="282"/>
      <c r="E43" s="282"/>
      <c r="F43" s="283"/>
      <c r="G43" s="3148"/>
    </row>
    <row r="44" spans="1:7" ht="13.5" customHeight="1">
      <c r="A44" s="949" t="s">
        <v>793</v>
      </c>
      <c r="B44" s="259" t="s">
        <v>2409</v>
      </c>
      <c r="C44" s="282">
        <f ca="1">ROUND(IF('数据-取费表'!B22&lt;=1,C40*F22*'数据-取费表'!B21/2,C40*(POWER((1+F22),'数据-取费表'!B21/2)-1)),4)</f>
        <v>5.0000000000000001E-4</v>
      </c>
      <c r="D44" s="282"/>
      <c r="E44" s="282"/>
      <c r="F44" s="283"/>
      <c r="G44" s="3149"/>
    </row>
    <row r="45" spans="1:7" s="258" customFormat="1" ht="13.5" customHeight="1">
      <c r="A45" s="299" t="s">
        <v>2410</v>
      </c>
      <c r="B45" s="288" t="s">
        <v>2376</v>
      </c>
      <c r="C45" s="289">
        <f ca="1">C46</f>
        <v>6</v>
      </c>
      <c r="D45" s="279">
        <f ca="1">C47</f>
        <v>1.5E-3</v>
      </c>
      <c r="E45" s="280" t="s">
        <v>2402</v>
      </c>
      <c r="F45" s="290"/>
      <c r="G45" s="291" t="s">
        <v>2411</v>
      </c>
    </row>
    <row r="46" spans="1:7" s="258" customFormat="1" ht="13.5" customHeight="1">
      <c r="A46" s="949" t="s">
        <v>791</v>
      </c>
      <c r="B46" s="292" t="s">
        <v>2412</v>
      </c>
      <c r="C46" s="293">
        <f ca="1">ROUND((C33+C39)*F27,0)</f>
        <v>6</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1726">
        <f>ROUND(F30/(1+'数据-取费表'!C42),4)</f>
        <v>5.33E-2</v>
      </c>
      <c r="D48" s="280" t="s">
        <v>2402</v>
      </c>
      <c r="E48" s="276"/>
      <c r="F48" s="281"/>
      <c r="G48" s="278" t="s">
        <v>2415</v>
      </c>
    </row>
    <row r="49" spans="1:7" ht="16.5" customHeight="1">
      <c r="A49" s="299" t="s">
        <v>2381</v>
      </c>
      <c r="B49" s="254" t="s">
        <v>2416</v>
      </c>
      <c r="C49" s="276">
        <f ca="1">ROUND((C33+C39+C41+C45)/(1-C40-D41-D45-C48),0)</f>
        <v>53</v>
      </c>
      <c r="D49" s="276"/>
      <c r="E49" s="276"/>
      <c r="F49" s="308"/>
      <c r="G49" s="278" t="s">
        <v>2417</v>
      </c>
    </row>
    <row r="50" spans="1:7" s="302" customFormat="1" ht="24">
      <c r="A50" s="299" t="s">
        <v>2418</v>
      </c>
      <c r="B50" s="254" t="s">
        <v>2419</v>
      </c>
      <c r="C50" s="276"/>
      <c r="D50" s="276"/>
      <c r="E50" s="276"/>
      <c r="F50" s="308">
        <f>IF('数据-取费表'!B24=0,'数据-取费表'!N16,1)</f>
        <v>0.83</v>
      </c>
      <c r="G50" s="291" t="s">
        <v>2420</v>
      </c>
    </row>
    <row r="51" spans="1:7" ht="16.5" customHeight="1">
      <c r="A51" s="299" t="s">
        <v>2421</v>
      </c>
      <c r="B51" s="254" t="s">
        <v>2422</v>
      </c>
      <c r="C51" s="276">
        <f ca="1">ROUND(C49*F50,0)</f>
        <v>44</v>
      </c>
      <c r="D51" s="276"/>
      <c r="E51" s="276"/>
      <c r="F51" s="308"/>
      <c r="G51" s="278" t="s">
        <v>2423</v>
      </c>
    </row>
    <row r="52" spans="1:7" s="252" customFormat="1" ht="16.5" thickBot="1">
      <c r="A52" s="309" t="s">
        <v>2424</v>
      </c>
      <c r="B52" s="310"/>
      <c r="C52" s="311">
        <f ca="1">C31+C51</f>
        <v>44</v>
      </c>
      <c r="D52" s="310"/>
      <c r="E52" s="310"/>
      <c r="F52" s="310"/>
      <c r="G52" s="312"/>
    </row>
    <row r="55" spans="1:7" ht="15">
      <c r="B55" s="314" t="s">
        <v>2425</v>
      </c>
      <c r="C55" s="315"/>
    </row>
    <row r="56" spans="1:7">
      <c r="B56" s="317" t="s">
        <v>1507</v>
      </c>
      <c r="C56" s="319">
        <f ca="1">1-C57</f>
        <v>0</v>
      </c>
    </row>
    <row r="57" spans="1:7">
      <c r="B57" s="317" t="s">
        <v>1508</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北京市出让国有建设用地使用权及在建建筑物房地产抵押价值预评估</v>
      </c>
      <c r="C37" s="2961"/>
      <c r="D37" s="2961"/>
      <c r="E37" s="2961"/>
      <c r="F37" s="2961"/>
      <c r="G37" s="2961"/>
      <c r="H37" s="2961"/>
      <c r="I37" s="2961"/>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3"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50</v>
      </c>
      <c r="C2" s="243" t="s">
        <v>2326</v>
      </c>
      <c r="D2" s="2547" t="s">
        <v>70</v>
      </c>
      <c r="E2" s="1438"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4663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21444</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21444</v>
      </c>
      <c r="D8" s="266"/>
      <c r="E8" s="264"/>
      <c r="F8" s="265"/>
      <c r="G8" s="2550"/>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2343</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21444</v>
      </c>
      <c r="D19" s="1034">
        <f ca="1">D9+D10</f>
        <v>107.22</v>
      </c>
      <c r="E19" s="255">
        <f>'数据-取费表'!B31</f>
        <v>200</v>
      </c>
      <c r="F19" s="275"/>
      <c r="G19" s="2550"/>
    </row>
    <row r="20" spans="1:7" s="258" customFormat="1" ht="13.5" customHeight="1">
      <c r="A20" s="299" t="s">
        <v>2437</v>
      </c>
      <c r="B20" s="254" t="s">
        <v>2438</v>
      </c>
      <c r="C20" s="276">
        <f ca="1">ROUND((C5+C19)*F20,0)</f>
        <v>429</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78">
        <f ca="1">ROUND(SUM(C23:C25),0)</f>
        <v>4192</v>
      </c>
      <c r="D22" s="279">
        <f ca="1">C26</f>
        <v>5.0000000000000001E-4</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2086</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2086</v>
      </c>
      <c r="D24" s="282"/>
      <c r="E24" s="282"/>
      <c r="F24" s="283"/>
      <c r="G24" s="284" t="s">
        <v>2449</v>
      </c>
    </row>
    <row r="25" spans="1:7" s="258" customFormat="1" ht="24">
      <c r="A25" s="949" t="s">
        <v>2339</v>
      </c>
      <c r="B25" s="259" t="s">
        <v>2450</v>
      </c>
      <c r="C25" s="1379">
        <f ca="1">ROUND(IF('数据-取费表'!B22&lt;=1,C20*F22*'数据-取费表'!B22/2,C20*(POWER((1+F22),'数据-取费表'!B22/2)-1)),0)</f>
        <v>20</v>
      </c>
      <c r="D25" s="282"/>
      <c r="E25" s="285"/>
      <c r="F25" s="283"/>
      <c r="G25" s="286" t="s">
        <v>2451</v>
      </c>
    </row>
    <row r="26" spans="1:7" s="258" customFormat="1">
      <c r="A26" s="949" t="s">
        <v>795</v>
      </c>
      <c r="B26" s="259" t="s">
        <v>2374</v>
      </c>
      <c r="C26" s="282">
        <f ca="1">ROUND(IF('数据-取费表'!B22&lt;=1,F21*F22*'数据-取费表'!B22/2,F21*(POWER((1+F22),'数据-取费表'!B22/2)-1)),4)</f>
        <v>5.0000000000000001E-4</v>
      </c>
      <c r="D26" s="282"/>
      <c r="E26" s="285"/>
      <c r="F26" s="283"/>
      <c r="G26" s="287"/>
    </row>
    <row r="27" spans="1:7" s="258" customFormat="1" ht="24.75">
      <c r="A27" s="299" t="s">
        <v>2375</v>
      </c>
      <c r="B27" s="288" t="s">
        <v>2376</v>
      </c>
      <c r="C27" s="289">
        <f ca="1">C28</f>
        <v>6498</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ROUND((C5+C19+C20)*F27,0)</f>
        <v>6498</v>
      </c>
      <c r="D28" s="279"/>
      <c r="E28" s="280"/>
      <c r="F28" s="290"/>
      <c r="G28" s="291"/>
    </row>
    <row r="29" spans="1:7" s="258" customFormat="1" ht="13.5" customHeight="1">
      <c r="A29" s="949"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57780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413601</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2390</v>
      </c>
      <c r="C35" s="264">
        <f ca="1">ROUND(C34*F35,0)</f>
        <v>11258</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21444</v>
      </c>
      <c r="D37" s="261">
        <f ca="1">D19</f>
        <v>107.22</v>
      </c>
      <c r="E37" s="293">
        <f>'数据-取费表'!B35</f>
        <v>200</v>
      </c>
      <c r="F37" s="303"/>
      <c r="G37" s="305"/>
    </row>
    <row r="38" spans="1:7" ht="13.5" customHeight="1">
      <c r="A38" s="949" t="s">
        <v>799</v>
      </c>
      <c r="B38" s="259" t="s">
        <v>2396</v>
      </c>
      <c r="C38" s="264">
        <f ca="1">ROUND(C34*F38,0)</f>
        <v>5629</v>
      </c>
      <c r="D38" s="264"/>
      <c r="E38" s="264"/>
      <c r="F38" s="303">
        <f>'数据-取费表'!B36</f>
        <v>1.4999999999999999E-2</v>
      </c>
      <c r="G38" s="263" t="s">
        <v>2391</v>
      </c>
    </row>
    <row r="39" spans="1:7" s="258" customFormat="1" ht="13.5" customHeight="1">
      <c r="A39" s="299" t="s">
        <v>2397</v>
      </c>
      <c r="B39" s="254" t="s">
        <v>2398</v>
      </c>
      <c r="C39" s="276">
        <f ca="1">ROUND(C33*F20,0)</f>
        <v>4136</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19842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19646</v>
      </c>
      <c r="D42" s="282"/>
      <c r="E42" s="282"/>
      <c r="F42" s="283"/>
      <c r="G42" s="3147" t="s">
        <v>2454</v>
      </c>
    </row>
    <row r="43" spans="1:7" ht="13.5" customHeight="1">
      <c r="A43" s="949" t="s">
        <v>792</v>
      </c>
      <c r="B43" s="259" t="s">
        <v>2408</v>
      </c>
      <c r="C43" s="282">
        <f ca="1">ROUND(IF('数据-取费表'!B22&lt;=1,C39*F22*'数据-取费表'!B20/2,C39*(POWER((1+F22),'数据-取费表'!B20/2)-1)),0)</f>
        <v>196</v>
      </c>
      <c r="D43" s="282"/>
      <c r="E43" s="282"/>
      <c r="F43" s="283"/>
      <c r="G43" s="3148"/>
    </row>
    <row r="44" spans="1:7" ht="13.5" customHeight="1">
      <c r="A44" s="949" t="s">
        <v>793</v>
      </c>
      <c r="B44" s="259" t="s">
        <v>2409</v>
      </c>
      <c r="C44" s="282">
        <f ca="1">ROUND(IF('数据-取费表'!B22&lt;=1,C40*F22*'数据-取费表'!B20/2,C40*(POWER((1+F22),'数据-取费表'!B20/2)-1)),4)</f>
        <v>5.0000000000000001E-4</v>
      </c>
      <c r="D44" s="282"/>
      <c r="E44" s="282"/>
      <c r="F44" s="283"/>
      <c r="G44" s="3149"/>
    </row>
    <row r="45" spans="1:7" s="258" customFormat="1" ht="13.5" customHeight="1">
      <c r="A45" s="299" t="s">
        <v>2410</v>
      </c>
      <c r="B45" s="288" t="s">
        <v>2376</v>
      </c>
      <c r="C45" s="289">
        <f ca="1">C46</f>
        <v>62661</v>
      </c>
      <c r="D45" s="279">
        <f ca="1">C47</f>
        <v>1.5E-3</v>
      </c>
      <c r="E45" s="280" t="s">
        <v>2402</v>
      </c>
      <c r="F45" s="290"/>
      <c r="G45" s="291" t="s">
        <v>2411</v>
      </c>
    </row>
    <row r="46" spans="1:7" s="258" customFormat="1" ht="13.5" customHeight="1">
      <c r="A46" s="949" t="s">
        <v>791</v>
      </c>
      <c r="B46" s="292" t="s">
        <v>2412</v>
      </c>
      <c r="C46" s="293">
        <f ca="1">ROUND((C33+C39)*F27,0)</f>
        <v>62661</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535188</v>
      </c>
      <c r="D49" s="276"/>
      <c r="E49" s="276"/>
      <c r="F49" s="308"/>
      <c r="G49" s="278" t="s">
        <v>2417</v>
      </c>
    </row>
    <row r="50" spans="1:7" s="302" customFormat="1">
      <c r="A50" s="299" t="s">
        <v>2418</v>
      </c>
      <c r="B50" s="254" t="s">
        <v>2419</v>
      </c>
      <c r="C50" s="276"/>
      <c r="D50" s="276"/>
      <c r="E50" s="276"/>
      <c r="F50" s="308">
        <f>IF('数据-取费表'!B24=0,'数据-取费表'!N16,1)</f>
        <v>0.83</v>
      </c>
      <c r="G50" s="291"/>
    </row>
    <row r="51" spans="1:7" ht="16.5" customHeight="1">
      <c r="A51" s="299" t="s">
        <v>2421</v>
      </c>
      <c r="B51" s="254" t="s">
        <v>2456</v>
      </c>
      <c r="C51" s="276">
        <f ca="1">ROUND(C49*F50,0)</f>
        <v>444206</v>
      </c>
      <c r="D51" s="276"/>
      <c r="E51" s="276"/>
      <c r="F51" s="308"/>
      <c r="G51" s="278" t="s">
        <v>2423</v>
      </c>
    </row>
    <row r="52" spans="1:7" s="252" customFormat="1" ht="16.5" thickBot="1">
      <c r="A52" s="309" t="s">
        <v>2424</v>
      </c>
      <c r="B52" s="310"/>
      <c r="C52" s="311">
        <f ca="1">C31+C51</f>
        <v>501986</v>
      </c>
      <c r="D52" s="310"/>
      <c r="E52" s="310"/>
      <c r="F52" s="310"/>
      <c r="G52" s="312"/>
    </row>
    <row r="55" spans="1:7" ht="15">
      <c r="B55" s="314" t="s">
        <v>2425</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-2</v>
      </c>
      <c r="C2" s="320" t="s">
        <v>2458</v>
      </c>
      <c r="D2" s="320"/>
      <c r="E2" s="320"/>
      <c r="F2" s="320"/>
      <c r="G2" s="320"/>
      <c r="H2" s="320"/>
      <c r="I2" s="320"/>
      <c r="J2" s="320"/>
      <c r="K2" s="320"/>
    </row>
    <row r="3" spans="1:33" ht="18" customHeight="1" thickBot="1">
      <c r="A3" s="247" t="s">
        <v>2327</v>
      </c>
      <c r="B3" s="248">
        <f ca="1">ROUND(B2*10000/IF(C1="",'数据-汇总表'!E3,INDIRECT("'数据-取费表'!K"&amp;$K$1)),0)</f>
        <v>-187</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4" t="s">
        <v>2463</v>
      </c>
      <c r="D5" s="2554" t="s">
        <v>2464</v>
      </c>
      <c r="E5" s="2554" t="s">
        <v>2465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1329</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2479</v>
      </c>
      <c r="C12" s="24">
        <f ca="1">ROUND(C11*F12,0)</f>
        <v>0</v>
      </c>
      <c r="D12" s="971"/>
      <c r="E12" s="375"/>
      <c r="F12" s="974">
        <f>'数据-取费表'!B33</f>
        <v>0.03</v>
      </c>
      <c r="G12" s="8" t="s">
        <v>2480</v>
      </c>
      <c r="H12" s="966"/>
      <c r="I12" s="966"/>
      <c r="J12" s="966"/>
      <c r="K12" s="967"/>
    </row>
    <row r="13" spans="1:33" s="973" customFormat="1" ht="13.5" customHeight="1">
      <c r="A13" s="969" t="s">
        <v>1331</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1332</v>
      </c>
      <c r="B14" s="970" t="s">
        <v>2483</v>
      </c>
      <c r="C14" s="24">
        <f ca="1">ROUND(D14*E14*F11/10000,0)</f>
        <v>0</v>
      </c>
      <c r="D14" s="1031">
        <f ca="1">IF(C1="",'数据-汇总表'!E3,INDIRECT("'数据-取费表'!K"&amp;$K$1)+INDIRECT("'数据-取费表'!S"&amp;$K$1))</f>
        <v>107.22</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107.22</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2490</v>
      </c>
      <c r="C18" s="24">
        <f ca="1">C19+C20-IF(C1="",'数据-取费表'!B29,IF(G18="已全部缴纳",C19+C20,H18))</f>
        <v>2</v>
      </c>
      <c r="D18" s="1031"/>
      <c r="E18" s="24"/>
      <c r="F18" s="974"/>
      <c r="G18" s="2556"/>
      <c r="H18" s="1575"/>
      <c r="I18" s="2557"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2493</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2494</v>
      </c>
      <c r="C21" s="984">
        <f ca="1">C16+C17+C18</f>
        <v>2</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0.01</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0.01</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2507</v>
      </c>
      <c r="B28" s="2559" t="s">
        <v>2508</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0</v>
      </c>
      <c r="D30" s="328"/>
      <c r="E30" s="329"/>
      <c r="F30" s="334"/>
      <c r="G30" s="140"/>
      <c r="H30" s="977"/>
      <c r="I30" s="977"/>
      <c r="J30" s="977"/>
      <c r="K30" s="978"/>
    </row>
    <row r="31" spans="1:33" s="973" customFormat="1" ht="13.5" customHeight="1" thickBot="1">
      <c r="A31" s="2560"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-2</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64" zoomScale="90" zoomScaleNormal="90" workbookViewId="0">
      <selection activeCell="F51" sqref="F5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2684</v>
      </c>
      <c r="C1" s="1618" t="s">
        <v>2528</v>
      </c>
      <c r="D1" s="1619" t="s">
        <v>27</v>
      </c>
      <c r="E1" s="1628"/>
      <c r="F1" s="2584" t="s">
        <v>3108</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447</v>
      </c>
      <c r="C2" s="2586" t="s">
        <v>70</v>
      </c>
      <c r="D2" s="1363"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41659</v>
      </c>
      <c r="C3" s="400" t="s">
        <v>2642</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175" t="s">
        <v>2649</v>
      </c>
      <c r="Q4" s="3176"/>
      <c r="R4" s="3155" t="s">
        <v>2645</v>
      </c>
      <c r="S4" s="3156"/>
      <c r="T4" s="3155" t="s">
        <v>2646</v>
      </c>
      <c r="U4" s="3156"/>
      <c r="V4" s="3183" t="s">
        <v>2647</v>
      </c>
      <c r="W4" s="3183"/>
      <c r="X4" s="2670"/>
      <c r="Y4" s="3155" t="s">
        <v>2649</v>
      </c>
      <c r="Z4" s="3156"/>
      <c r="AA4" s="3150" t="s">
        <v>2645</v>
      </c>
      <c r="AB4" s="3150" t="s">
        <v>2646</v>
      </c>
      <c r="AC4" s="3168" t="s">
        <v>2647</v>
      </c>
    </row>
    <row r="5" spans="1:29" ht="15">
      <c r="A5" s="404"/>
      <c r="B5" s="405"/>
      <c r="C5" s="3161">
        <v>1408</v>
      </c>
      <c r="D5" s="3162"/>
      <c r="E5" s="3159" t="s">
        <v>2541</v>
      </c>
      <c r="F5" s="3160"/>
      <c r="G5" s="3161" t="s">
        <v>2542</v>
      </c>
      <c r="H5" s="3162"/>
      <c r="I5" s="3161" t="s">
        <v>2543</v>
      </c>
      <c r="J5" s="3162"/>
      <c r="K5" s="610"/>
      <c r="L5" s="1128"/>
      <c r="M5" s="1129"/>
      <c r="N5" s="1129"/>
      <c r="O5" s="1129"/>
      <c r="P5" s="3177"/>
      <c r="Q5" s="3178"/>
      <c r="R5" s="3157"/>
      <c r="S5" s="3158"/>
      <c r="T5" s="3157"/>
      <c r="U5" s="3158"/>
      <c r="V5" s="3184"/>
      <c r="W5" s="3184"/>
      <c r="X5" s="1811"/>
      <c r="Y5" s="3157"/>
      <c r="Z5" s="3158"/>
      <c r="AA5" s="3151"/>
      <c r="AB5" s="3151"/>
      <c r="AC5" s="3169"/>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179"/>
      <c r="Q6" s="3180"/>
      <c r="R6" s="3157"/>
      <c r="S6" s="3158"/>
      <c r="T6" s="3181"/>
      <c r="U6" s="3182"/>
      <c r="V6" s="3184"/>
      <c r="W6" s="3184"/>
      <c r="X6" s="1811"/>
      <c r="Y6" s="3181"/>
      <c r="Z6" s="3182"/>
      <c r="AA6" s="3152"/>
      <c r="AB6" s="3152"/>
      <c r="AC6" s="3170"/>
    </row>
    <row r="7" spans="1:29" s="117" customFormat="1" ht="15.75" thickBot="1">
      <c r="A7" s="408" t="s">
        <v>2546</v>
      </c>
      <c r="B7" s="409"/>
      <c r="C7" s="410">
        <f>'数据-取费表'!B2</f>
        <v>44011</v>
      </c>
      <c r="D7" s="411">
        <v>100</v>
      </c>
      <c r="E7" s="412">
        <v>43997</v>
      </c>
      <c r="F7" s="413">
        <f>SUMIF(59:59,YEAR(E7)&amp;"-"&amp;MONTH(E7),60:60)</f>
        <v>100</v>
      </c>
      <c r="G7" s="412">
        <v>43958</v>
      </c>
      <c r="H7" s="411">
        <f>SUMIF(59:59,YEAR(G7)&amp;"-"&amp;MONTH(G7),60:60)</f>
        <v>99.5</v>
      </c>
      <c r="I7" s="412">
        <v>44001</v>
      </c>
      <c r="J7" s="411">
        <f>SUMIF(59:59,YEAR(I7)&amp;"-"&amp;MONTH(I7),60:60)</f>
        <v>100</v>
      </c>
      <c r="K7" s="611"/>
      <c r="L7" s="1130"/>
      <c r="M7" s="1131"/>
      <c r="N7" s="1131"/>
      <c r="O7" s="1131"/>
      <c r="P7" s="3185" t="s">
        <v>2547</v>
      </c>
      <c r="Q7" s="3186"/>
      <c r="R7" s="768" t="s">
        <v>17</v>
      </c>
      <c r="S7" s="769">
        <f t="shared" ref="S7:S15" si="0">F7</f>
        <v>100</v>
      </c>
      <c r="T7" s="768" t="s">
        <v>17</v>
      </c>
      <c r="U7" s="769">
        <f t="shared" ref="U7:U15" si="1">H7</f>
        <v>99.5</v>
      </c>
      <c r="V7" s="768" t="s">
        <v>17</v>
      </c>
      <c r="W7" s="769">
        <f t="shared" ref="W7:W15" si="2">J7</f>
        <v>100</v>
      </c>
      <c r="X7" s="770"/>
      <c r="Y7" s="3153" t="s">
        <v>2547</v>
      </c>
      <c r="Z7" s="3154"/>
      <c r="AA7" s="771">
        <f>D7/F7</f>
        <v>1</v>
      </c>
      <c r="AB7" s="771">
        <f>D7/H7</f>
        <v>1.0050251256281406</v>
      </c>
      <c r="AC7" s="2671">
        <f>D7/J7</f>
        <v>1</v>
      </c>
    </row>
    <row r="8" spans="1:29" s="117" customFormat="1" ht="15.75" thickBot="1">
      <c r="A8" s="408" t="s">
        <v>2548</v>
      </c>
      <c r="B8" s="409"/>
      <c r="C8" s="414" t="s">
        <v>2650</v>
      </c>
      <c r="D8" s="411">
        <v>100</v>
      </c>
      <c r="E8" s="414" t="s">
        <v>2650</v>
      </c>
      <c r="F8" s="413">
        <f>SUMIF(62:62,E8,63:63)-SUMIF(62:62,C8,63:63)+100</f>
        <v>100</v>
      </c>
      <c r="G8" s="414" t="s">
        <v>2650</v>
      </c>
      <c r="H8" s="411">
        <f>SUMIF(62:62,G8,63:63)-SUMIF(62:62,C8,63:63)+100</f>
        <v>100</v>
      </c>
      <c r="I8" s="414" t="s">
        <v>2650</v>
      </c>
      <c r="J8" s="411">
        <f>SUMIF(62:62,I8,63:63)-SUMIF(62:62,C8,63:63)+100</f>
        <v>100</v>
      </c>
      <c r="K8" s="611"/>
      <c r="L8" s="1130"/>
      <c r="M8" s="1131"/>
      <c r="N8" s="1131"/>
      <c r="O8" s="1131"/>
      <c r="P8" s="3185" t="s">
        <v>2550</v>
      </c>
      <c r="Q8" s="3154"/>
      <c r="R8" s="768" t="s">
        <v>17</v>
      </c>
      <c r="S8" s="769">
        <f t="shared" si="0"/>
        <v>100</v>
      </c>
      <c r="T8" s="768" t="s">
        <v>17</v>
      </c>
      <c r="U8" s="769">
        <f t="shared" si="1"/>
        <v>100</v>
      </c>
      <c r="V8" s="768" t="s">
        <v>17</v>
      </c>
      <c r="W8" s="769">
        <f t="shared" si="2"/>
        <v>100</v>
      </c>
      <c r="X8" s="770"/>
      <c r="Y8" s="3153" t="s">
        <v>2550</v>
      </c>
      <c r="Z8" s="3154"/>
      <c r="AA8" s="771">
        <f t="shared" ref="AA8:AA47" si="3">D8/F8</f>
        <v>1</v>
      </c>
      <c r="AB8" s="771">
        <f t="shared" ref="AB8:AB47" si="4">D8/H8</f>
        <v>1</v>
      </c>
      <c r="AC8" s="2671">
        <f t="shared" ref="AC8:AC47" si="5">D8/J8</f>
        <v>1</v>
      </c>
    </row>
    <row r="9" spans="1:29" s="117" customFormat="1">
      <c r="A9" s="415" t="s">
        <v>2551</v>
      </c>
      <c r="B9" s="71" t="s">
        <v>2552</v>
      </c>
      <c r="C9" s="2953" t="s">
        <v>3073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67"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2671">
        <f t="shared" si="5"/>
        <v>1</v>
      </c>
    </row>
    <row r="10" spans="1:29" s="427" customFormat="1" ht="27.75" thickBot="1">
      <c r="A10" s="421"/>
      <c r="B10" s="422" t="s">
        <v>2555</v>
      </c>
      <c r="C10" s="423" t="s">
        <v>3074</v>
      </c>
      <c r="D10" s="136">
        <v>100</v>
      </c>
      <c r="E10" s="423" t="s">
        <v>3074</v>
      </c>
      <c r="F10" s="136">
        <f>SUMIF(66:66,E10,67:67)-SUMIF(66:66,C10,67:67)+100</f>
        <v>100</v>
      </c>
      <c r="G10" s="423" t="s">
        <v>3074</v>
      </c>
      <c r="H10" s="136">
        <f>SUMIF(66:66,G10,67:67)-SUMIF(66:66,C10,67:67)+100</f>
        <v>100</v>
      </c>
      <c r="I10" s="423" t="s">
        <v>3136</v>
      </c>
      <c r="J10" s="136">
        <f>SUMIF(66:66,I10,67:67)-SUMIF(66:66,C10,67:67)+100</f>
        <v>101</v>
      </c>
      <c r="K10" s="612">
        <v>1</v>
      </c>
      <c r="L10" s="1133"/>
      <c r="M10" s="1134"/>
      <c r="N10" s="1134"/>
      <c r="O10" s="1134"/>
      <c r="P10" s="3167"/>
      <c r="Q10" s="1793" t="str">
        <f t="shared" si="6"/>
        <v>土地使用年限（年）</v>
      </c>
      <c r="R10" s="768" t="s">
        <v>17</v>
      </c>
      <c r="S10" s="769">
        <f t="shared" si="0"/>
        <v>100</v>
      </c>
      <c r="T10" s="768" t="s">
        <v>17</v>
      </c>
      <c r="U10" s="769">
        <f t="shared" si="1"/>
        <v>100</v>
      </c>
      <c r="V10" s="768" t="s">
        <v>17</v>
      </c>
      <c r="W10" s="769">
        <f t="shared" si="2"/>
        <v>101</v>
      </c>
      <c r="X10" s="770"/>
      <c r="Y10" s="3027"/>
      <c r="Z10" s="55" t="str">
        <f t="shared" si="7"/>
        <v>土地使用年限（年）</v>
      </c>
      <c r="AA10" s="771">
        <f t="shared" si="3"/>
        <v>1</v>
      </c>
      <c r="AB10" s="771">
        <f t="shared" si="4"/>
        <v>1</v>
      </c>
      <c r="AC10" s="2671">
        <f t="shared" si="5"/>
        <v>0.99009900990099009</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67"/>
      <c r="Q11" s="1793" t="str">
        <f t="shared" si="6"/>
        <v>容积率</v>
      </c>
      <c r="R11" s="768" t="s">
        <v>17</v>
      </c>
      <c r="S11" s="769">
        <f t="shared" si="0"/>
        <v>100</v>
      </c>
      <c r="T11" s="768" t="s">
        <v>17</v>
      </c>
      <c r="U11" s="769">
        <f t="shared" si="1"/>
        <v>100</v>
      </c>
      <c r="V11" s="768" t="s">
        <v>17</v>
      </c>
      <c r="W11" s="769">
        <f t="shared" si="2"/>
        <v>100</v>
      </c>
      <c r="X11" s="770"/>
      <c r="Y11" s="3027"/>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67"/>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67"/>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67"/>
      <c r="Q14" s="1793">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87" t="s">
        <v>2558</v>
      </c>
      <c r="Q15" s="1808" t="str">
        <f t="shared" si="6"/>
        <v>办公集聚程度</v>
      </c>
      <c r="R15" s="772" t="s">
        <v>17</v>
      </c>
      <c r="S15" s="773">
        <f t="shared" si="0"/>
        <v>100</v>
      </c>
      <c r="T15" s="772" t="s">
        <v>17</v>
      </c>
      <c r="U15" s="773">
        <f t="shared" si="1"/>
        <v>100</v>
      </c>
      <c r="V15" s="772" t="s">
        <v>17</v>
      </c>
      <c r="W15" s="773">
        <f t="shared" si="2"/>
        <v>100</v>
      </c>
      <c r="X15" s="1811"/>
      <c r="Y15" s="3189" t="s">
        <v>2558</v>
      </c>
      <c r="Z15" s="1812" t="str">
        <f t="shared" si="7"/>
        <v>办公集聚程度</v>
      </c>
      <c r="AA15" s="1809">
        <f t="shared" si="3"/>
        <v>1</v>
      </c>
      <c r="AB15" s="1809">
        <f t="shared" si="4"/>
        <v>1</v>
      </c>
      <c r="AC15" s="2674">
        <f t="shared" si="5"/>
        <v>1</v>
      </c>
    </row>
    <row r="16" spans="1:29" ht="15">
      <c r="A16" s="428"/>
      <c r="B16" s="630"/>
      <c r="C16" s="2611" t="s">
        <v>3075</v>
      </c>
      <c r="D16" s="448"/>
      <c r="E16" s="2611" t="s">
        <v>3075</v>
      </c>
      <c r="F16" s="448"/>
      <c r="G16" s="2611" t="s">
        <v>3075</v>
      </c>
      <c r="H16" s="450"/>
      <c r="I16" s="2611" t="s">
        <v>3075</v>
      </c>
      <c r="J16" s="448"/>
      <c r="K16" s="615"/>
      <c r="L16" s="1138"/>
      <c r="M16" s="1129"/>
      <c r="N16" s="1129"/>
      <c r="O16" s="1129"/>
      <c r="P16" s="3188"/>
      <c r="Q16" s="1808"/>
      <c r="R16" s="772"/>
      <c r="S16" s="773"/>
      <c r="T16" s="772"/>
      <c r="U16" s="773"/>
      <c r="V16" s="772"/>
      <c r="W16" s="773"/>
      <c r="X16" s="1811"/>
      <c r="Y16" s="3190"/>
      <c r="Z16" s="1812"/>
      <c r="AA16" s="1809">
        <v>1</v>
      </c>
      <c r="AB16" s="1809">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188"/>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2674">
        <f t="shared" si="5"/>
        <v>1</v>
      </c>
    </row>
    <row r="18" spans="1:29" ht="15">
      <c r="A18" s="428"/>
      <c r="B18" s="632"/>
      <c r="C18" s="2676" t="s">
        <v>3076</v>
      </c>
      <c r="D18" s="450"/>
      <c r="E18" s="2676" t="s">
        <v>3076</v>
      </c>
      <c r="F18" s="450"/>
      <c r="G18" s="2676" t="s">
        <v>3076</v>
      </c>
      <c r="H18" s="448"/>
      <c r="I18" s="2676" t="s">
        <v>3076</v>
      </c>
      <c r="J18" s="448"/>
      <c r="K18" s="615"/>
      <c r="L18" s="1138"/>
      <c r="M18" s="1129"/>
      <c r="N18" s="1129"/>
      <c r="O18" s="1129"/>
      <c r="P18" s="3188"/>
      <c r="Q18" s="1808"/>
      <c r="R18" s="772"/>
      <c r="S18" s="773"/>
      <c r="T18" s="772"/>
      <c r="U18" s="773"/>
      <c r="V18" s="772"/>
      <c r="W18" s="773"/>
      <c r="X18" s="1811"/>
      <c r="Y18" s="3190"/>
      <c r="Z18" s="1812"/>
      <c r="AA18" s="1809">
        <v>1</v>
      </c>
      <c r="AB18" s="1809">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188"/>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2674">
        <f t="shared" si="5"/>
        <v>1</v>
      </c>
    </row>
    <row r="20" spans="1:29" ht="15">
      <c r="A20" s="428"/>
      <c r="B20" s="632"/>
      <c r="C20" s="2611" t="s">
        <v>3076</v>
      </c>
      <c r="D20" s="448"/>
      <c r="E20" s="2676" t="s">
        <v>3076</v>
      </c>
      <c r="F20" s="448"/>
      <c r="G20" s="2676" t="s">
        <v>3076</v>
      </c>
      <c r="H20" s="448"/>
      <c r="I20" s="2676" t="s">
        <v>3076</v>
      </c>
      <c r="J20" s="448"/>
      <c r="K20" s="615"/>
      <c r="L20" s="1138"/>
      <c r="M20" s="1129"/>
      <c r="N20" s="1129"/>
      <c r="O20" s="1129"/>
      <c r="P20" s="3188"/>
      <c r="Q20" s="1808"/>
      <c r="R20" s="772"/>
      <c r="S20" s="773"/>
      <c r="T20" s="772"/>
      <c r="U20" s="773"/>
      <c r="V20" s="772"/>
      <c r="W20" s="773"/>
      <c r="X20" s="1811"/>
      <c r="Y20" s="3190"/>
      <c r="Z20" s="1812"/>
      <c r="AA20" s="1809">
        <v>1</v>
      </c>
      <c r="AB20" s="1809">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88"/>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2674">
        <f t="shared" ref="AC21" si="10">D21/J21</f>
        <v>1</v>
      </c>
    </row>
    <row r="22" spans="1:29" ht="15">
      <c r="A22" s="428"/>
      <c r="B22" s="633"/>
      <c r="C22" s="2676" t="s">
        <v>3077</v>
      </c>
      <c r="D22" s="448"/>
      <c r="E22" s="2676" t="s">
        <v>3077</v>
      </c>
      <c r="F22" s="448"/>
      <c r="G22" s="2676" t="s">
        <v>3077</v>
      </c>
      <c r="H22" s="448"/>
      <c r="I22" s="2676" t="s">
        <v>3077</v>
      </c>
      <c r="J22" s="448"/>
      <c r="K22" s="1381"/>
      <c r="L22" s="1138"/>
      <c r="M22" s="1129"/>
      <c r="N22" s="1129"/>
      <c r="O22" s="1129"/>
      <c r="P22" s="3188"/>
      <c r="Q22" s="1808"/>
      <c r="R22" s="772"/>
      <c r="S22" s="773"/>
      <c r="T22" s="772"/>
      <c r="U22" s="773"/>
      <c r="V22" s="772"/>
      <c r="W22" s="773"/>
      <c r="X22" s="1811"/>
      <c r="Y22" s="3190"/>
      <c r="Z22" s="1812"/>
      <c r="AA22" s="1809">
        <v>1</v>
      </c>
      <c r="AB22" s="1809">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88"/>
      <c r="Q23" s="1808" t="str">
        <f>B23</f>
        <v>环境质量</v>
      </c>
      <c r="R23" s="772" t="s">
        <v>17</v>
      </c>
      <c r="S23" s="773">
        <f>F23</f>
        <v>100</v>
      </c>
      <c r="T23" s="772" t="s">
        <v>17</v>
      </c>
      <c r="U23" s="773">
        <f>H23</f>
        <v>100</v>
      </c>
      <c r="V23" s="772" t="s">
        <v>17</v>
      </c>
      <c r="W23" s="773">
        <f>J23</f>
        <v>100</v>
      </c>
      <c r="X23" s="1811"/>
      <c r="Y23" s="3190"/>
      <c r="Z23" s="1812" t="str">
        <f>Q23</f>
        <v>环境质量</v>
      </c>
      <c r="AA23" s="1809">
        <f t="shared" si="3"/>
        <v>1</v>
      </c>
      <c r="AB23" s="1809">
        <f t="shared" si="4"/>
        <v>1</v>
      </c>
      <c r="AC23" s="2674">
        <f t="shared" si="5"/>
        <v>1</v>
      </c>
    </row>
    <row r="24" spans="1:29" ht="15">
      <c r="A24" s="428"/>
      <c r="B24" s="633"/>
      <c r="C24" s="2611" t="s">
        <v>3075</v>
      </c>
      <c r="D24" s="448"/>
      <c r="E24" s="2611" t="s">
        <v>3075</v>
      </c>
      <c r="F24" s="448"/>
      <c r="G24" s="2611" t="s">
        <v>3075</v>
      </c>
      <c r="H24" s="448"/>
      <c r="I24" s="2611" t="s">
        <v>3075</v>
      </c>
      <c r="J24" s="448"/>
      <c r="K24" s="615"/>
      <c r="L24" s="1138"/>
      <c r="M24" s="1129"/>
      <c r="N24" s="1129"/>
      <c r="O24" s="1129"/>
      <c r="P24" s="3188"/>
      <c r="Q24" s="1808"/>
      <c r="R24" s="772"/>
      <c r="S24" s="773"/>
      <c r="T24" s="772"/>
      <c r="U24" s="773"/>
      <c r="V24" s="772"/>
      <c r="W24" s="773"/>
      <c r="X24" s="1811"/>
      <c r="Y24" s="3190"/>
      <c r="Z24" s="1812"/>
      <c r="AA24" s="1809">
        <v>1</v>
      </c>
      <c r="AB24" s="1809">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188"/>
      <c r="Q25" s="1808" t="str">
        <f>B25</f>
        <v>毗邻道路的类型与等级</v>
      </c>
      <c r="R25" s="772" t="s">
        <v>17</v>
      </c>
      <c r="S25" s="773">
        <f>F25</f>
        <v>100</v>
      </c>
      <c r="T25" s="772" t="s">
        <v>17</v>
      </c>
      <c r="U25" s="773">
        <f>H25</f>
        <v>100</v>
      </c>
      <c r="V25" s="772" t="s">
        <v>17</v>
      </c>
      <c r="W25" s="773">
        <f>J25</f>
        <v>100</v>
      </c>
      <c r="X25" s="1811"/>
      <c r="Y25" s="3190"/>
      <c r="Z25" s="1812" t="str">
        <f>Q25</f>
        <v>毗邻道路的类型与等级</v>
      </c>
      <c r="AA25" s="1809">
        <f t="shared" si="3"/>
        <v>1</v>
      </c>
      <c r="AB25" s="1809">
        <f t="shared" si="4"/>
        <v>1</v>
      </c>
      <c r="AC25" s="2674">
        <f t="shared" si="5"/>
        <v>1</v>
      </c>
    </row>
    <row r="26" spans="1:29" ht="15">
      <c r="A26" s="404"/>
      <c r="B26" s="632"/>
      <c r="C26" s="634" t="s">
        <v>3107</v>
      </c>
      <c r="D26" s="435"/>
      <c r="E26" s="634" t="s">
        <v>3107</v>
      </c>
      <c r="F26" s="435"/>
      <c r="G26" s="634" t="s">
        <v>3107</v>
      </c>
      <c r="H26" s="435"/>
      <c r="I26" s="634" t="s">
        <v>3107</v>
      </c>
      <c r="J26" s="435"/>
      <c r="K26" s="615"/>
      <c r="L26" s="1138"/>
      <c r="M26" s="1129"/>
      <c r="N26" s="1129"/>
      <c r="O26" s="1129"/>
      <c r="P26" s="3188"/>
      <c r="Q26" s="1808"/>
      <c r="R26" s="772"/>
      <c r="S26" s="773"/>
      <c r="T26" s="772"/>
      <c r="U26" s="773"/>
      <c r="V26" s="772"/>
      <c r="W26" s="773"/>
      <c r="X26" s="1811"/>
      <c r="Y26" s="3190"/>
      <c r="Z26" s="1812"/>
      <c r="AA26" s="1809">
        <v>1</v>
      </c>
      <c r="AB26" s="1809">
        <v>1</v>
      </c>
      <c r="AC26" s="2674">
        <v>1</v>
      </c>
    </row>
    <row r="27" spans="1:29" ht="15.75" thickBot="1">
      <c r="A27" s="428"/>
      <c r="B27" s="632" t="s">
        <v>2657</v>
      </c>
      <c r="C27" s="634" t="s">
        <v>3113</v>
      </c>
      <c r="D27" s="435">
        <v>100</v>
      </c>
      <c r="E27" s="634" t="s">
        <v>3113</v>
      </c>
      <c r="F27" s="435">
        <f>SUMIF(89:89,E27,90:90)-SUMIF(89:89,C27,90:90)+100</f>
        <v>100</v>
      </c>
      <c r="G27" s="634" t="s">
        <v>3104</v>
      </c>
      <c r="H27" s="435">
        <f>SUMIF(89:89,G27,90:90)-SUMIF(89:89,C27,90:90)+100</f>
        <v>98</v>
      </c>
      <c r="I27" s="634" t="s">
        <v>3113</v>
      </c>
      <c r="J27" s="435">
        <f>SUMIF(89:89,I27,90:90)-SUMIF(89:89,C27,90:90)+100</f>
        <v>100</v>
      </c>
      <c r="K27" s="612">
        <v>2</v>
      </c>
      <c r="L27" s="1138"/>
      <c r="M27" s="1129"/>
      <c r="N27" s="1129"/>
      <c r="O27" s="1129"/>
      <c r="P27" s="3188"/>
      <c r="Q27" s="1808" t="str">
        <f t="shared" ref="Q27:Q47" si="11">B27</f>
        <v>楼层</v>
      </c>
      <c r="R27" s="772" t="s">
        <v>17</v>
      </c>
      <c r="S27" s="773">
        <f>F27</f>
        <v>100</v>
      </c>
      <c r="T27" s="772" t="s">
        <v>17</v>
      </c>
      <c r="U27" s="773">
        <f>H27</f>
        <v>98</v>
      </c>
      <c r="V27" s="772" t="s">
        <v>17</v>
      </c>
      <c r="W27" s="773">
        <f>J27</f>
        <v>100</v>
      </c>
      <c r="X27" s="1811"/>
      <c r="Y27" s="3190"/>
      <c r="Z27" s="1812" t="str">
        <f>Q27</f>
        <v>楼层</v>
      </c>
      <c r="AA27" s="1809">
        <f t="shared" si="3"/>
        <v>1</v>
      </c>
      <c r="AB27" s="1809">
        <f t="shared" si="4"/>
        <v>1.0204081632653061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88"/>
      <c r="Q28" s="1793" t="str">
        <f t="shared" si="11"/>
        <v>朝向</v>
      </c>
      <c r="R28" s="768" t="s">
        <v>17</v>
      </c>
      <c r="S28" s="769">
        <f>F28</f>
        <v>100</v>
      </c>
      <c r="T28" s="768" t="s">
        <v>17</v>
      </c>
      <c r="U28" s="769">
        <f>H28</f>
        <v>100</v>
      </c>
      <c r="V28" s="768" t="s">
        <v>17</v>
      </c>
      <c r="W28" s="769">
        <f>J28</f>
        <v>100</v>
      </c>
      <c r="X28" s="770"/>
      <c r="Y28" s="3190"/>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88"/>
      <c r="Q29" s="1808">
        <f t="shared" si="11"/>
        <v>111</v>
      </c>
      <c r="R29" s="772" t="s">
        <v>17</v>
      </c>
      <c r="S29" s="773">
        <f t="shared" ref="S29:S47" si="12">F29</f>
        <v>100</v>
      </c>
      <c r="T29" s="772" t="s">
        <v>17</v>
      </c>
      <c r="U29" s="773">
        <f t="shared" ref="U29:U47" si="13">H29</f>
        <v>100</v>
      </c>
      <c r="V29" s="772" t="s">
        <v>17</v>
      </c>
      <c r="W29" s="773">
        <f t="shared" ref="W29:W47" si="14">J29</f>
        <v>100</v>
      </c>
      <c r="X29" s="1811"/>
      <c r="Y29" s="3190"/>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88"/>
      <c r="Q30" s="1808">
        <f t="shared" si="11"/>
        <v>111</v>
      </c>
      <c r="R30" s="772" t="s">
        <v>17</v>
      </c>
      <c r="S30" s="773">
        <f t="shared" si="12"/>
        <v>100</v>
      </c>
      <c r="T30" s="772" t="s">
        <v>17</v>
      </c>
      <c r="U30" s="773">
        <f t="shared" si="13"/>
        <v>100</v>
      </c>
      <c r="V30" s="772" t="s">
        <v>17</v>
      </c>
      <c r="W30" s="773">
        <f t="shared" si="14"/>
        <v>100</v>
      </c>
      <c r="X30" s="1811"/>
      <c r="Y30" s="3190"/>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88"/>
      <c r="Q31" s="1808">
        <f t="shared" si="11"/>
        <v>111</v>
      </c>
      <c r="R31" s="772" t="s">
        <v>17</v>
      </c>
      <c r="S31" s="773">
        <f t="shared" si="12"/>
        <v>100</v>
      </c>
      <c r="T31" s="772" t="s">
        <v>17</v>
      </c>
      <c r="U31" s="773">
        <f t="shared" si="13"/>
        <v>100</v>
      </c>
      <c r="V31" s="772" t="s">
        <v>17</v>
      </c>
      <c r="W31" s="773">
        <f t="shared" si="14"/>
        <v>100</v>
      </c>
      <c r="X31" s="1811"/>
      <c r="Y31" s="3190"/>
      <c r="Z31" s="1812">
        <f t="shared" si="15"/>
        <v>111</v>
      </c>
      <c r="AA31" s="1809">
        <f t="shared" si="3"/>
        <v>1</v>
      </c>
      <c r="AB31" s="1809">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88"/>
      <c r="Q32" s="1808">
        <f t="shared" si="11"/>
        <v>111</v>
      </c>
      <c r="R32" s="772" t="s">
        <v>17</v>
      </c>
      <c r="S32" s="773">
        <f t="shared" si="12"/>
        <v>100</v>
      </c>
      <c r="T32" s="772" t="s">
        <v>17</v>
      </c>
      <c r="U32" s="773">
        <f t="shared" si="13"/>
        <v>100</v>
      </c>
      <c r="V32" s="772" t="s">
        <v>17</v>
      </c>
      <c r="W32" s="773">
        <f t="shared" si="14"/>
        <v>100</v>
      </c>
      <c r="X32" s="1811"/>
      <c r="Y32" s="3190"/>
      <c r="Z32" s="1812">
        <f t="shared" si="15"/>
        <v>111</v>
      </c>
      <c r="AA32" s="1809">
        <f t="shared" si="3"/>
        <v>1</v>
      </c>
      <c r="AB32" s="1809">
        <f t="shared" si="4"/>
        <v>1</v>
      </c>
      <c r="AC32" s="2674">
        <f t="shared" si="5"/>
        <v>1</v>
      </c>
    </row>
    <row r="33" spans="1:29" ht="15">
      <c r="A33" s="440" t="s">
        <v>2561</v>
      </c>
      <c r="B33" s="71" t="s">
        <v>2691</v>
      </c>
      <c r="C33" s="2679" t="s">
        <v>3086</v>
      </c>
      <c r="D33" s="467">
        <v>100</v>
      </c>
      <c r="E33" s="2679" t="s">
        <v>3086</v>
      </c>
      <c r="F33" s="461">
        <f>SUMIF(101:101,E33,102:102)-SUMIF(101:101,C33,102:102)+100</f>
        <v>100</v>
      </c>
      <c r="G33" s="2679" t="s">
        <v>3086</v>
      </c>
      <c r="H33" s="435">
        <f>SUMIF(101:101,G33,102:102)-SUMIF(101:101,C33,102:102)+100</f>
        <v>100</v>
      </c>
      <c r="I33" s="2679" t="s">
        <v>3086</v>
      </c>
      <c r="J33" s="467">
        <f>SUMIF(101:101,I33,102:102)-SUMIF(101:101,C33,102:102)+100</f>
        <v>100</v>
      </c>
      <c r="K33" s="612">
        <v>1</v>
      </c>
      <c r="L33" s="1138"/>
      <c r="M33" s="1129"/>
      <c r="N33" s="1129"/>
      <c r="O33" s="1129"/>
      <c r="P33" s="3191" t="s">
        <v>2563</v>
      </c>
      <c r="Q33" s="1808" t="str">
        <f t="shared" si="11"/>
        <v>建筑类型</v>
      </c>
      <c r="R33" s="772" t="s">
        <v>17</v>
      </c>
      <c r="S33" s="773">
        <f t="shared" si="12"/>
        <v>100</v>
      </c>
      <c r="T33" s="772" t="s">
        <v>17</v>
      </c>
      <c r="U33" s="773">
        <f t="shared" si="13"/>
        <v>100</v>
      </c>
      <c r="V33" s="772" t="s">
        <v>17</v>
      </c>
      <c r="W33" s="773">
        <f t="shared" si="14"/>
        <v>100</v>
      </c>
      <c r="X33" s="1811"/>
      <c r="Y33" s="3194" t="s">
        <v>2563</v>
      </c>
      <c r="Z33" s="1812" t="str">
        <f t="shared" si="15"/>
        <v>建筑类型</v>
      </c>
      <c r="AA33" s="1809">
        <f t="shared" si="3"/>
        <v>1</v>
      </c>
      <c r="AB33" s="1809">
        <f t="shared" si="4"/>
        <v>1</v>
      </c>
      <c r="AC33" s="2674">
        <f t="shared" si="5"/>
        <v>1</v>
      </c>
    </row>
    <row r="34" spans="1:29" s="471" customFormat="1" ht="15">
      <c r="A34" s="468"/>
      <c r="B34" s="422" t="s">
        <v>2564</v>
      </c>
      <c r="C34" s="469">
        <f>'数据-汇总表'!F19</f>
        <v>107.22</v>
      </c>
      <c r="D34" s="136">
        <v>100</v>
      </c>
      <c r="E34" s="469">
        <f>'[1]比较法-办公'!$E$34</f>
        <v>340</v>
      </c>
      <c r="F34" s="425">
        <f>LOOKUP(E34,104:104,105:105)-LOOKUP(C34,104:104,105:105)+100</f>
        <v>101</v>
      </c>
      <c r="G34" s="469">
        <f>'[1]比较法-办公'!$G$34</f>
        <v>83.75</v>
      </c>
      <c r="H34" s="136">
        <f>LOOKUP(G34,104:104,105:105)-LOOKUP(C34,104:104,105:105)+100</f>
        <v>99</v>
      </c>
      <c r="I34" s="469">
        <f>'[1]比较法-办公'!$I$34</f>
        <v>275</v>
      </c>
      <c r="J34" s="136">
        <f>LOOKUP(I34,104:104,105:105)-LOOKUP(C34,104:104,105:105)+100</f>
        <v>100</v>
      </c>
      <c r="K34" s="613"/>
      <c r="L34" s="1136"/>
      <c r="M34" s="1139"/>
      <c r="N34" s="1139"/>
      <c r="O34" s="1139"/>
      <c r="P34" s="3192"/>
      <c r="Q34" s="774" t="str">
        <f t="shared" si="11"/>
        <v>项目建筑规模</v>
      </c>
      <c r="R34" s="775" t="s">
        <v>17</v>
      </c>
      <c r="S34" s="776">
        <f t="shared" si="12"/>
        <v>101</v>
      </c>
      <c r="T34" s="775" t="s">
        <v>17</v>
      </c>
      <c r="U34" s="776">
        <f t="shared" si="13"/>
        <v>99</v>
      </c>
      <c r="V34" s="775" t="s">
        <v>17</v>
      </c>
      <c r="W34" s="776">
        <f t="shared" si="14"/>
        <v>100</v>
      </c>
      <c r="X34" s="777"/>
      <c r="Y34" s="3194"/>
      <c r="Z34" s="778" t="str">
        <f t="shared" si="15"/>
        <v>项目建筑规模</v>
      </c>
      <c r="AA34" s="1809">
        <f t="shared" si="3"/>
        <v>0.99009900990099009</v>
      </c>
      <c r="AB34" s="1809">
        <f t="shared" si="4"/>
        <v>1.0101010101010102</v>
      </c>
      <c r="AC34" s="2674">
        <f t="shared" si="5"/>
        <v>1</v>
      </c>
    </row>
    <row r="35" spans="1:29" ht="15">
      <c r="A35" s="472"/>
      <c r="B35" s="422" t="s">
        <v>2565</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8"/>
      <c r="M35" s="1129"/>
      <c r="N35" s="1129"/>
      <c r="O35" s="1129"/>
      <c r="P35" s="3192"/>
      <c r="Q35" s="1808" t="str">
        <f t="shared" si="11"/>
        <v>建筑结构</v>
      </c>
      <c r="R35" s="772" t="s">
        <v>17</v>
      </c>
      <c r="S35" s="773">
        <f t="shared" si="12"/>
        <v>100</v>
      </c>
      <c r="T35" s="772" t="s">
        <v>17</v>
      </c>
      <c r="U35" s="773">
        <f t="shared" si="13"/>
        <v>100</v>
      </c>
      <c r="V35" s="772" t="s">
        <v>17</v>
      </c>
      <c r="W35" s="773">
        <f t="shared" si="14"/>
        <v>100</v>
      </c>
      <c r="X35" s="1811"/>
      <c r="Y35" s="3194"/>
      <c r="Z35" s="1812" t="str">
        <f t="shared" si="15"/>
        <v>建筑结构</v>
      </c>
      <c r="AA35" s="1809">
        <f t="shared" si="3"/>
        <v>1</v>
      </c>
      <c r="AB35" s="1809">
        <f t="shared" si="4"/>
        <v>1</v>
      </c>
      <c r="AC35" s="2674">
        <f t="shared" si="5"/>
        <v>1</v>
      </c>
    </row>
    <row r="36" spans="1:29" ht="15">
      <c r="A36" s="472"/>
      <c r="B36" s="422" t="s">
        <v>2659</v>
      </c>
      <c r="C36" s="460" t="s">
        <v>3105</v>
      </c>
      <c r="D36" s="435">
        <v>100</v>
      </c>
      <c r="E36" s="460" t="s">
        <v>3105</v>
      </c>
      <c r="F36" s="461">
        <f>SUMIF(108:108,E36,109:109)-SUMIF(108:108,C36,109:109)+100</f>
        <v>100</v>
      </c>
      <c r="G36" s="460" t="s">
        <v>3105</v>
      </c>
      <c r="H36" s="435">
        <f>SUMIF(108:108,G36,109:109)-SUMIF(108:108,C36,109:109)+100</f>
        <v>100</v>
      </c>
      <c r="I36" s="460" t="s">
        <v>3105</v>
      </c>
      <c r="J36" s="435">
        <f>SUMIF(108:108,I36,109:109)-SUMIF(108:108,C36,109:109)+100</f>
        <v>100</v>
      </c>
      <c r="K36" s="612">
        <v>1</v>
      </c>
      <c r="L36" s="1138"/>
      <c r="M36" s="1129"/>
      <c r="N36" s="1129"/>
      <c r="O36" s="1129"/>
      <c r="P36" s="3192"/>
      <c r="Q36" s="1808" t="str">
        <f t="shared" si="11"/>
        <v>公共部分装修</v>
      </c>
      <c r="R36" s="772" t="s">
        <v>17</v>
      </c>
      <c r="S36" s="773">
        <f t="shared" si="12"/>
        <v>100</v>
      </c>
      <c r="T36" s="772" t="s">
        <v>17</v>
      </c>
      <c r="U36" s="773">
        <f t="shared" si="13"/>
        <v>100</v>
      </c>
      <c r="V36" s="772" t="s">
        <v>17</v>
      </c>
      <c r="W36" s="773">
        <f t="shared" si="14"/>
        <v>100</v>
      </c>
      <c r="X36" s="1811"/>
      <c r="Y36" s="3194"/>
      <c r="Z36" s="1812" t="str">
        <f t="shared" si="15"/>
        <v>公共部分装修</v>
      </c>
      <c r="AA36" s="1809">
        <f t="shared" si="3"/>
        <v>1</v>
      </c>
      <c r="AB36" s="1809">
        <f t="shared" si="4"/>
        <v>1</v>
      </c>
      <c r="AC36" s="2674">
        <f t="shared" si="5"/>
        <v>1</v>
      </c>
    </row>
    <row r="37" spans="1:29" ht="15">
      <c r="A37" s="472"/>
      <c r="B37" s="422" t="s">
        <v>2660</v>
      </c>
      <c r="C37" s="474">
        <f>'[2]数据-取费表'!E20</f>
        <v>0.84</v>
      </c>
      <c r="D37" s="435">
        <v>100</v>
      </c>
      <c r="E37" s="474">
        <v>0.84</v>
      </c>
      <c r="F37" s="461">
        <f>LOOKUP(E37,111:111,112:112)-LOOKUP(C37,111:111,112:112)+100</f>
        <v>100</v>
      </c>
      <c r="G37" s="474">
        <f>E37</f>
        <v>0.84</v>
      </c>
      <c r="H37" s="461">
        <f>LOOKUP(G37,111:111,112:112)-LOOKUP(C37,111:111,112:112)+100</f>
        <v>100</v>
      </c>
      <c r="I37" s="474">
        <v>0.73</v>
      </c>
      <c r="J37" s="435">
        <f>LOOKUP(I37,111:111,112:112)-LOOKUP(C37,111:111,112:112)+100</f>
        <v>99</v>
      </c>
      <c r="K37" s="612">
        <v>1</v>
      </c>
      <c r="L37" s="1138"/>
      <c r="M37" s="1129"/>
      <c r="N37" s="1129"/>
      <c r="O37" s="1129"/>
      <c r="P37" s="3192"/>
      <c r="Q37" s="1808" t="str">
        <f t="shared" si="11"/>
        <v>成新度</v>
      </c>
      <c r="R37" s="772" t="s">
        <v>17</v>
      </c>
      <c r="S37" s="773">
        <f t="shared" si="12"/>
        <v>100</v>
      </c>
      <c r="T37" s="772" t="s">
        <v>17</v>
      </c>
      <c r="U37" s="773">
        <f t="shared" si="13"/>
        <v>100</v>
      </c>
      <c r="V37" s="772" t="s">
        <v>17</v>
      </c>
      <c r="W37" s="773">
        <f t="shared" si="14"/>
        <v>99</v>
      </c>
      <c r="X37" s="1811"/>
      <c r="Y37" s="3194"/>
      <c r="Z37" s="1812" t="str">
        <f t="shared" si="15"/>
        <v>成新度</v>
      </c>
      <c r="AA37" s="1809">
        <f t="shared" si="3"/>
        <v>1</v>
      </c>
      <c r="AB37" s="1809">
        <f t="shared" si="4"/>
        <v>1</v>
      </c>
      <c r="AC37" s="2674">
        <f t="shared" si="5"/>
        <v>1.0101010101010102</v>
      </c>
    </row>
    <row r="38" spans="1:29" s="117" customFormat="1" ht="15">
      <c r="A38" s="473"/>
      <c r="B38" s="422" t="s">
        <v>2692</v>
      </c>
      <c r="C38" s="460" t="s">
        <v>3096</v>
      </c>
      <c r="D38" s="136">
        <v>100</v>
      </c>
      <c r="E38" s="460" t="s">
        <v>3096</v>
      </c>
      <c r="F38" s="461">
        <f>SUMIF(113:113,E38,114:114)-SUMIF(113:113,C38,114:114)+100</f>
        <v>100</v>
      </c>
      <c r="G38" s="460" t="s">
        <v>3096</v>
      </c>
      <c r="H38" s="435">
        <f>SUMIF(113:113,G38,114:114)-SUMIF(113:113,C38,114:114)+100</f>
        <v>100</v>
      </c>
      <c r="I38" s="460" t="s">
        <v>3137</v>
      </c>
      <c r="J38" s="435">
        <f>SUMIF(113:113,I38,114:114)-SUMIF(113:113,C38,114:114)+100</f>
        <v>95</v>
      </c>
      <c r="K38" s="612">
        <v>5</v>
      </c>
      <c r="L38" s="1130"/>
      <c r="M38" s="1131"/>
      <c r="N38" s="1131"/>
      <c r="O38" s="1131"/>
      <c r="P38" s="3192"/>
      <c r="Q38" s="1793" t="str">
        <f t="shared" si="11"/>
        <v>写字楼等级</v>
      </c>
      <c r="R38" s="768" t="s">
        <v>17</v>
      </c>
      <c r="S38" s="769">
        <f t="shared" si="12"/>
        <v>100</v>
      </c>
      <c r="T38" s="768" t="s">
        <v>17</v>
      </c>
      <c r="U38" s="769">
        <f t="shared" si="13"/>
        <v>100</v>
      </c>
      <c r="V38" s="768" t="s">
        <v>17</v>
      </c>
      <c r="W38" s="769">
        <f t="shared" si="14"/>
        <v>95</v>
      </c>
      <c r="X38" s="770"/>
      <c r="Y38" s="3194"/>
      <c r="Z38" s="55" t="str">
        <f t="shared" si="15"/>
        <v>写字楼等级</v>
      </c>
      <c r="AA38" s="771">
        <f t="shared" si="3"/>
        <v>1</v>
      </c>
      <c r="AB38" s="771">
        <f t="shared" si="4"/>
        <v>1</v>
      </c>
      <c r="AC38" s="2671">
        <f t="shared" si="5"/>
        <v>1.0526315789473684</v>
      </c>
    </row>
    <row r="39" spans="1:29" ht="15">
      <c r="A39" s="472"/>
      <c r="B39" s="422" t="s">
        <v>2693</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8"/>
      <c r="M39" s="1129"/>
      <c r="N39" s="1129"/>
      <c r="O39" s="1129"/>
      <c r="P39" s="3192" t="s">
        <v>2563</v>
      </c>
      <c r="Q39" s="1808" t="str">
        <f t="shared" si="11"/>
        <v>物业管理</v>
      </c>
      <c r="R39" s="772" t="s">
        <v>17</v>
      </c>
      <c r="S39" s="773">
        <f t="shared" si="12"/>
        <v>100</v>
      </c>
      <c r="T39" s="772" t="s">
        <v>17</v>
      </c>
      <c r="U39" s="773">
        <f t="shared" si="13"/>
        <v>100</v>
      </c>
      <c r="V39" s="772" t="s">
        <v>17</v>
      </c>
      <c r="W39" s="773">
        <f t="shared" si="14"/>
        <v>100</v>
      </c>
      <c r="X39" s="1811"/>
      <c r="Y39" s="3194" t="s">
        <v>2563</v>
      </c>
      <c r="Z39" s="1812" t="str">
        <f t="shared" si="15"/>
        <v>物业管理</v>
      </c>
      <c r="AA39" s="1809">
        <f t="shared" si="3"/>
        <v>1</v>
      </c>
      <c r="AB39" s="1809">
        <f t="shared" si="4"/>
        <v>1</v>
      </c>
      <c r="AC39" s="2674">
        <f t="shared" si="5"/>
        <v>1</v>
      </c>
    </row>
    <row r="40" spans="1:29" ht="15">
      <c r="A40" s="472"/>
      <c r="B40" s="422" t="s">
        <v>2661</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1</v>
      </c>
      <c r="L40" s="1138"/>
      <c r="M40" s="1129"/>
      <c r="N40" s="1129"/>
      <c r="O40" s="1129"/>
      <c r="P40" s="3192"/>
      <c r="Q40" s="1808" t="str">
        <f t="shared" si="11"/>
        <v>市政基础设施</v>
      </c>
      <c r="R40" s="772" t="s">
        <v>17</v>
      </c>
      <c r="S40" s="773">
        <f t="shared" si="12"/>
        <v>100</v>
      </c>
      <c r="T40" s="772" t="s">
        <v>17</v>
      </c>
      <c r="U40" s="773">
        <f t="shared" si="13"/>
        <v>100</v>
      </c>
      <c r="V40" s="772" t="s">
        <v>17</v>
      </c>
      <c r="W40" s="773">
        <f t="shared" si="14"/>
        <v>100</v>
      </c>
      <c r="X40" s="1811"/>
      <c r="Y40" s="3194"/>
      <c r="Z40" s="1812" t="str">
        <f t="shared" si="15"/>
        <v>市政基础设施</v>
      </c>
      <c r="AA40" s="1809">
        <f t="shared" si="3"/>
        <v>1</v>
      </c>
      <c r="AB40" s="1809">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92"/>
      <c r="Q41" s="1808" t="str">
        <f t="shared" si="11"/>
        <v>层高</v>
      </c>
      <c r="R41" s="772" t="s">
        <v>17</v>
      </c>
      <c r="S41" s="773">
        <f t="shared" si="12"/>
        <v>100</v>
      </c>
      <c r="T41" s="772" t="s">
        <v>17</v>
      </c>
      <c r="U41" s="773">
        <f t="shared" si="13"/>
        <v>100</v>
      </c>
      <c r="V41" s="772" t="s">
        <v>17</v>
      </c>
      <c r="W41" s="773">
        <f t="shared" si="14"/>
        <v>100</v>
      </c>
      <c r="X41" s="1811"/>
      <c r="Y41" s="3194"/>
      <c r="Z41" s="1812" t="str">
        <f t="shared" si="15"/>
        <v>层高</v>
      </c>
      <c r="AA41" s="1809">
        <f t="shared" si="3"/>
        <v>1</v>
      </c>
      <c r="AB41" s="1809">
        <f t="shared" si="4"/>
        <v>1</v>
      </c>
      <c r="AC41" s="2674">
        <f t="shared" si="5"/>
        <v>1</v>
      </c>
    </row>
    <row r="42" spans="1:29" s="471" customFormat="1" ht="15" hidden="1">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92"/>
      <c r="Q42" s="774" t="str">
        <f t="shared" si="11"/>
        <v>单套建筑面积</v>
      </c>
      <c r="R42" s="775" t="s">
        <v>17</v>
      </c>
      <c r="S42" s="776">
        <f t="shared" si="12"/>
        <v>100</v>
      </c>
      <c r="T42" s="775" t="s">
        <v>17</v>
      </c>
      <c r="U42" s="776">
        <f t="shared" si="13"/>
        <v>100</v>
      </c>
      <c r="V42" s="775" t="s">
        <v>17</v>
      </c>
      <c r="W42" s="776">
        <f t="shared" si="14"/>
        <v>100</v>
      </c>
      <c r="X42" s="777"/>
      <c r="Y42" s="3194"/>
      <c r="Z42" s="778" t="str">
        <f t="shared" si="15"/>
        <v>单套建筑面积</v>
      </c>
      <c r="AA42" s="1809">
        <f t="shared" si="3"/>
        <v>1</v>
      </c>
      <c r="AB42" s="1809">
        <f t="shared" si="4"/>
        <v>1</v>
      </c>
      <c r="AC42" s="2674">
        <f t="shared" si="5"/>
        <v>1</v>
      </c>
    </row>
    <row r="43" spans="1:29" ht="15">
      <c r="A43" s="472"/>
      <c r="B43" s="422" t="s">
        <v>2666</v>
      </c>
      <c r="C43" s="460" t="s">
        <v>3105</v>
      </c>
      <c r="D43" s="435">
        <v>100</v>
      </c>
      <c r="E43" s="460" t="s">
        <v>3138</v>
      </c>
      <c r="F43" s="461">
        <f>SUMIF(123:123,E43,124:124)-SUMIF(123:123,C43,124:124)+100</f>
        <v>97</v>
      </c>
      <c r="G43" s="460" t="s">
        <v>3105</v>
      </c>
      <c r="H43" s="435">
        <f>SUMIF(123:123,G43,124:124)-SUMIF(123:123,C43,124:124)+100</f>
        <v>100</v>
      </c>
      <c r="I43" s="460" t="s">
        <v>3105</v>
      </c>
      <c r="J43" s="435">
        <f>SUMIF(123:123,I43,124:124)-SUMIF(123:123,C43,124:124)+100</f>
        <v>100</v>
      </c>
      <c r="K43" s="612">
        <v>3</v>
      </c>
      <c r="L43" s="1138"/>
      <c r="M43" s="1129"/>
      <c r="N43" s="1129"/>
      <c r="O43" s="1129"/>
      <c r="P43" s="3192"/>
      <c r="Q43" s="1808" t="str">
        <f t="shared" si="11"/>
        <v>内部装修</v>
      </c>
      <c r="R43" s="772" t="s">
        <v>17</v>
      </c>
      <c r="S43" s="773">
        <f t="shared" si="12"/>
        <v>97</v>
      </c>
      <c r="T43" s="772" t="s">
        <v>17</v>
      </c>
      <c r="U43" s="773">
        <f t="shared" si="13"/>
        <v>100</v>
      </c>
      <c r="V43" s="772" t="s">
        <v>17</v>
      </c>
      <c r="W43" s="773">
        <f t="shared" si="14"/>
        <v>100</v>
      </c>
      <c r="X43" s="1811"/>
      <c r="Y43" s="3194"/>
      <c r="Z43" s="1812" t="str">
        <f t="shared" si="15"/>
        <v>内部装修</v>
      </c>
      <c r="AA43" s="1809">
        <f t="shared" si="3"/>
        <v>1.0309278350515463</v>
      </c>
      <c r="AB43" s="1809">
        <f t="shared" si="4"/>
        <v>1</v>
      </c>
      <c r="AC43" s="2674">
        <f t="shared" si="5"/>
        <v>1</v>
      </c>
    </row>
    <row r="44" spans="1:29" ht="15.75" thickBot="1">
      <c r="A44" s="472"/>
      <c r="B44" s="422" t="s">
        <v>2574</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38"/>
      <c r="M44" s="1129"/>
      <c r="N44" s="1129"/>
      <c r="O44" s="1129"/>
      <c r="P44" s="3192"/>
      <c r="Q44" s="1808" t="str">
        <f t="shared" si="11"/>
        <v>内部装修维护情况</v>
      </c>
      <c r="R44" s="772" t="s">
        <v>17</v>
      </c>
      <c r="S44" s="773">
        <f t="shared" si="12"/>
        <v>100</v>
      </c>
      <c r="T44" s="772" t="s">
        <v>17</v>
      </c>
      <c r="U44" s="773">
        <f t="shared" si="13"/>
        <v>100</v>
      </c>
      <c r="V44" s="772" t="s">
        <v>17</v>
      </c>
      <c r="W44" s="773">
        <f t="shared" si="14"/>
        <v>100</v>
      </c>
      <c r="X44" s="1811"/>
      <c r="Y44" s="3194"/>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92"/>
      <c r="Q45" s="1793">
        <f t="shared" si="11"/>
        <v>111</v>
      </c>
      <c r="R45" s="768" t="s">
        <v>17</v>
      </c>
      <c r="S45" s="769">
        <f t="shared" si="12"/>
        <v>100</v>
      </c>
      <c r="T45" s="768" t="s">
        <v>17</v>
      </c>
      <c r="U45" s="769">
        <f t="shared" si="13"/>
        <v>100</v>
      </c>
      <c r="V45" s="768" t="s">
        <v>17</v>
      </c>
      <c r="W45" s="769">
        <f t="shared" si="14"/>
        <v>100</v>
      </c>
      <c r="X45" s="770"/>
      <c r="Y45" s="3194"/>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92"/>
      <c r="Q46" s="1808">
        <f t="shared" si="11"/>
        <v>111</v>
      </c>
      <c r="R46" s="772" t="s">
        <v>17</v>
      </c>
      <c r="S46" s="773">
        <f t="shared" si="12"/>
        <v>100</v>
      </c>
      <c r="T46" s="772" t="s">
        <v>17</v>
      </c>
      <c r="U46" s="773">
        <f t="shared" si="13"/>
        <v>100</v>
      </c>
      <c r="V46" s="772" t="s">
        <v>17</v>
      </c>
      <c r="W46" s="773">
        <f t="shared" si="14"/>
        <v>100</v>
      </c>
      <c r="X46" s="1811"/>
      <c r="Y46" s="3194"/>
      <c r="Z46" s="1812">
        <f t="shared" si="15"/>
        <v>111</v>
      </c>
      <c r="AA46" s="1809">
        <f t="shared" si="3"/>
        <v>1</v>
      </c>
      <c r="AB46" s="1809">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93"/>
      <c r="Q47" s="1808">
        <f t="shared" si="11"/>
        <v>111</v>
      </c>
      <c r="R47" s="772" t="s">
        <v>17</v>
      </c>
      <c r="S47" s="773">
        <f t="shared" si="12"/>
        <v>100</v>
      </c>
      <c r="T47" s="772" t="s">
        <v>17</v>
      </c>
      <c r="U47" s="773">
        <f t="shared" si="13"/>
        <v>100</v>
      </c>
      <c r="V47" s="772" t="s">
        <v>17</v>
      </c>
      <c r="W47" s="773">
        <f t="shared" si="14"/>
        <v>100</v>
      </c>
      <c r="X47" s="1811"/>
      <c r="Y47" s="3195"/>
      <c r="Z47" s="1812">
        <f t="shared" si="15"/>
        <v>111</v>
      </c>
      <c r="AA47" s="1809">
        <f t="shared" si="3"/>
        <v>1</v>
      </c>
      <c r="AB47" s="1809">
        <f t="shared" si="4"/>
        <v>1</v>
      </c>
      <c r="AC47" s="2674">
        <f t="shared" si="5"/>
        <v>1</v>
      </c>
    </row>
    <row r="48" spans="1:29" ht="15">
      <c r="A48" s="479" t="s">
        <v>2575</v>
      </c>
      <c r="B48" s="480"/>
      <c r="C48" s="1405" t="s">
        <v>1</v>
      </c>
      <c r="D48" s="1406"/>
      <c r="E48" s="1407">
        <f>'[1]比较法-办公'!$E$48</f>
        <v>39600</v>
      </c>
      <c r="F48" s="1408"/>
      <c r="G48" s="1409">
        <f>'[1]比较法-办公'!$G$48</f>
        <v>41382</v>
      </c>
      <c r="H48" s="1410"/>
      <c r="I48" s="1407">
        <f>'[1]比较法-办公'!$I$48</f>
        <v>39600</v>
      </c>
      <c r="J48" s="485"/>
      <c r="K48" s="781"/>
      <c r="L48" s="1141"/>
      <c r="M48" s="1129"/>
      <c r="N48" s="1129"/>
      <c r="O48" s="1129"/>
      <c r="P48" s="3167" t="str">
        <f>A48</f>
        <v>成交单价（元/平方米）</v>
      </c>
      <c r="Q48" s="3196"/>
      <c r="R48" s="3197">
        <f>E48</f>
        <v>39600</v>
      </c>
      <c r="S48" s="3197"/>
      <c r="T48" s="3197">
        <f>G48</f>
        <v>41382</v>
      </c>
      <c r="U48" s="3197"/>
      <c r="V48" s="3197">
        <f>I48</f>
        <v>39600</v>
      </c>
      <c r="W48" s="3197"/>
      <c r="X48" s="446"/>
      <c r="Y48" s="779"/>
      <c r="Z48" s="446"/>
      <c r="AA48" s="446"/>
      <c r="AB48" s="446"/>
      <c r="AC48" s="630"/>
    </row>
    <row r="49" spans="1:29" ht="15.75" thickBot="1">
      <c r="A49" s="486" t="s">
        <v>2667</v>
      </c>
      <c r="B49" s="487"/>
      <c r="C49" s="1411">
        <f>R50</f>
        <v>41659</v>
      </c>
      <c r="D49" s="1412"/>
      <c r="E49" s="1413">
        <f>R49</f>
        <v>40421</v>
      </c>
      <c r="F49" s="1413"/>
      <c r="G49" s="1411">
        <f>T49</f>
        <v>42867</v>
      </c>
      <c r="H49" s="1412"/>
      <c r="I49" s="1413">
        <f>V49</f>
        <v>41688</v>
      </c>
      <c r="J49" s="489"/>
      <c r="K49" s="782"/>
      <c r="L49" s="1141"/>
      <c r="M49" s="1129"/>
      <c r="N49" s="1129"/>
      <c r="O49" s="1129"/>
      <c r="P49" s="3167" t="str">
        <f>A49</f>
        <v>比较价值（元/平方米）</v>
      </c>
      <c r="Q49" s="3196"/>
      <c r="R49" s="3197">
        <f>IF(F1="售价",ROUND(PRODUCT(R48,AA7:AA47),0),ROUND(PRODUCT(R48,AA7:AA47),1))</f>
        <v>40421</v>
      </c>
      <c r="S49" s="3197"/>
      <c r="T49" s="3197">
        <f>IF(F1="售价",ROUND(PRODUCT(T48,AB7:AB47),0),ROUND(PRODUCT(T48,AB7:AB47),1))</f>
        <v>42867</v>
      </c>
      <c r="U49" s="3197"/>
      <c r="V49" s="3197">
        <f>IF(F1="售价",ROUND(PRODUCT(V48,AC7:AC47),0),ROUND(PRODUCT(V48,AC7:AC47),1))</f>
        <v>41688</v>
      </c>
      <c r="W49" s="3197"/>
      <c r="X49" s="446"/>
      <c r="Y49" s="446"/>
      <c r="Z49" s="446"/>
      <c r="AA49" s="446"/>
      <c r="AB49" s="446"/>
      <c r="AC49" s="630"/>
    </row>
    <row r="50" spans="1:29" ht="15.75" thickBot="1">
      <c r="A50" s="492" t="s">
        <v>2668</v>
      </c>
      <c r="B50" s="493"/>
      <c r="C50" s="1415">
        <f>R50</f>
        <v>41659</v>
      </c>
      <c r="D50" s="1415"/>
      <c r="E50" s="1415"/>
      <c r="F50" s="1415"/>
      <c r="G50" s="1415"/>
      <c r="H50" s="1415"/>
      <c r="I50" s="1415"/>
      <c r="J50" s="494"/>
      <c r="K50" s="783"/>
      <c r="L50" s="1141"/>
      <c r="M50" s="1129"/>
      <c r="N50" s="1129"/>
      <c r="O50" s="1129"/>
      <c r="P50" s="3198" t="str">
        <f>A50</f>
        <v>估价对象XX用房的比较价值（楼面单价，元/平方米）</v>
      </c>
      <c r="Q50" s="3199"/>
      <c r="R50" s="3200">
        <f>IF(F1="售价",ROUND(AVERAGE(R49:V49),0),ROUND(AVERAGE(R49:V49),1))</f>
        <v>41659</v>
      </c>
      <c r="S50" s="3200"/>
      <c r="T50" s="3200"/>
      <c r="U50" s="3200"/>
      <c r="V50" s="3200"/>
      <c r="W50" s="3200"/>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2.0732323232323324E-2</v>
      </c>
      <c r="F53" s="500" t="str">
        <f>IF(OR(E53&gt;=0.3,E53&lt;=-0.3),"超过30%","")</f>
        <v/>
      </c>
      <c r="G53" s="499">
        <f>IF(G48&lt;G49,G49/G48-1,G48/G49-1)</f>
        <v>3.5885167464114742E-2</v>
      </c>
      <c r="H53" s="500" t="str">
        <f>IF(OR(G53&gt;=0.3,G53&lt;=-0.3),"超过30%","")</f>
        <v/>
      </c>
      <c r="I53" s="499">
        <f>IF(I48&lt;I49,I49/I48-1,I48/I49-1)</f>
        <v>5.2727272727272734E-2</v>
      </c>
      <c r="J53" s="500" t="str">
        <f>IF(OR(I53&gt;=0.3,I53&lt;=-0.3),"超过30%","")</f>
        <v/>
      </c>
      <c r="K53" s="1103"/>
      <c r="L53" s="1104"/>
      <c r="M53" s="1142"/>
      <c r="N53" s="1142"/>
      <c r="O53" s="1142"/>
    </row>
    <row r="54" spans="1:29" ht="13.5" customHeight="1">
      <c r="A54" s="1142"/>
      <c r="B54" s="1142"/>
      <c r="C54" s="497" t="s">
        <v>2670</v>
      </c>
      <c r="D54" s="501"/>
      <c r="E54" s="499">
        <f>IF(E49&lt;G49,G49/E49-1,E49/G49-1)</f>
        <v>6.051309962643181E-2</v>
      </c>
      <c r="F54" s="500" t="str">
        <f>IF(OR(E54&gt;=0.2,E54&lt;=-0.2),"超过20%","")</f>
        <v/>
      </c>
      <c r="G54" s="499">
        <f>IF(G49&lt;I49,I49/G49-1,G49/I49-1)</f>
        <v>2.8281519861830695E-2</v>
      </c>
      <c r="H54" s="500" t="str">
        <f>IF(OR(G54&gt;=0.2,G54&lt;=-0.2),"超过20%","")</f>
        <v/>
      </c>
      <c r="I54" s="499">
        <f>IF(I49&lt;E49,E49/I49-1,I49/E49-1)</f>
        <v>3.1345092897256288E-2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4.4999999999999929E-2</v>
      </c>
      <c r="F55" s="500" t="str">
        <f>IF(OR(E55&gt;=0.3,E55&lt;=-0.3),"超过30%","")</f>
        <v/>
      </c>
      <c r="G55" s="499">
        <f>IF(G48&lt;I48,I48/G48-1,G48/I48-1)</f>
        <v>4.4999999999999929E-2</v>
      </c>
      <c r="H55" s="500" t="str">
        <f>IF(OR(G55&gt;=0.3,G55&lt;=-0.3),"超过30%","")</f>
        <v/>
      </c>
      <c r="I55" s="499">
        <f>IF(I48&lt;E48,E48/I48-1,I48/E48-1)</f>
        <v>0</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81"/>
      <c r="Q58" s="504"/>
    </row>
    <row r="59" spans="1:29" s="508" customFormat="1" ht="15">
      <c r="A59" s="505" t="s">
        <v>2546</v>
      </c>
      <c r="B59" s="506"/>
      <c r="C59" s="1572" t="str">
        <f>YEAR(C7)&amp;"-"&amp;MONTH(C7)</f>
        <v>2020-6</v>
      </c>
      <c r="D59" s="1573">
        <f>EDATE(C59,-1)</f>
        <v>43952</v>
      </c>
      <c r="E59" s="1573">
        <f>EDATE(D59,-1)</f>
        <v>43922</v>
      </c>
      <c r="F59" s="1573">
        <f t="shared" ref="F59:O59" si="16">EDATE(E59,-1)</f>
        <v>43891</v>
      </c>
      <c r="G59" s="1573">
        <f t="shared" si="16"/>
        <v>43862</v>
      </c>
      <c r="H59" s="1573">
        <f t="shared" si="16"/>
        <v>43831</v>
      </c>
      <c r="I59" s="1573">
        <f t="shared" si="16"/>
        <v>43800</v>
      </c>
      <c r="J59" s="1573">
        <f t="shared" si="16"/>
        <v>43770</v>
      </c>
      <c r="K59" s="1573">
        <f t="shared" si="16"/>
        <v>43739</v>
      </c>
      <c r="L59" s="1573">
        <f t="shared" si="16"/>
        <v>43709</v>
      </c>
      <c r="M59" s="1573">
        <f t="shared" si="16"/>
        <v>43678</v>
      </c>
      <c r="N59" s="1573">
        <f t="shared" si="16"/>
        <v>43647</v>
      </c>
      <c r="O59" s="1573">
        <f t="shared" si="16"/>
        <v>43617</v>
      </c>
      <c r="P59" s="1569"/>
    </row>
    <row r="60" spans="1:29" s="117" customFormat="1" ht="15">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2586</v>
      </c>
      <c r="B64" s="528" t="s">
        <v>2552</v>
      </c>
      <c r="C64" s="529" t="str">
        <f>C9</f>
        <v>办公</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75" thickTop="1">
      <c r="A68" s="534"/>
      <c r="B68" s="546" t="s">
        <v>2556</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ht="15">
      <c r="A69" s="534"/>
      <c r="B69" s="548"/>
      <c r="C69" s="549">
        <v>0</v>
      </c>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7.75" thickTop="1">
      <c r="A87" s="579"/>
      <c r="B87" s="538" t="s">
        <v>2697</v>
      </c>
      <c r="C87" s="2954" t="s">
        <v>3078</v>
      </c>
      <c r="D87" s="2954" t="s">
        <v>3079</v>
      </c>
      <c r="E87" s="2954" t="s">
        <v>3080</v>
      </c>
      <c r="F87" s="2954" t="s">
        <v>3081</v>
      </c>
      <c r="G87" s="2954" t="s">
        <v>3082</v>
      </c>
      <c r="H87" s="554"/>
      <c r="I87" s="554"/>
      <c r="J87" s="554"/>
      <c r="K87" s="554"/>
      <c r="L87" s="580"/>
      <c r="M87" s="581"/>
      <c r="N87" s="1149"/>
      <c r="O87" s="1149"/>
      <c r="P87" s="2684"/>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75" thickTop="1">
      <c r="A89" s="579"/>
      <c r="B89" s="538" t="str">
        <f>B27</f>
        <v>楼层</v>
      </c>
      <c r="C89" s="2954" t="s">
        <v>3083</v>
      </c>
      <c r="D89" s="2954" t="s">
        <v>3084</v>
      </c>
      <c r="E89" s="2954" t="s">
        <v>3085</v>
      </c>
      <c r="F89" s="2635"/>
      <c r="G89" s="554"/>
      <c r="H89" s="554"/>
      <c r="I89" s="554"/>
      <c r="J89" s="554"/>
      <c r="K89" s="554"/>
      <c r="L89" s="554"/>
      <c r="M89" s="581"/>
      <c r="N89" s="1149"/>
      <c r="O89" s="1149"/>
      <c r="P89" s="2684"/>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2561</v>
      </c>
      <c r="B101" s="528" t="s">
        <v>2610</v>
      </c>
      <c r="C101" s="2955" t="s">
        <v>3087</v>
      </c>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75" thickTop="1">
      <c r="A103" s="534"/>
      <c r="B103" s="538" t="s">
        <v>2611</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2612</v>
      </c>
      <c r="C106" s="2954" t="s">
        <v>3089</v>
      </c>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2614</v>
      </c>
      <c r="C108" s="2954" t="s">
        <v>3090</v>
      </c>
      <c r="D108" s="2954" t="s">
        <v>3091</v>
      </c>
      <c r="E108" s="2954" t="s">
        <v>3092</v>
      </c>
      <c r="F108" s="2956" t="s">
        <v>3093</v>
      </c>
      <c r="G108" s="583"/>
      <c r="H108" s="583"/>
      <c r="I108" s="583"/>
      <c r="J108" s="583"/>
      <c r="K108" s="584"/>
      <c r="L108" s="585"/>
      <c r="M108" s="586"/>
      <c r="N108" s="1150"/>
      <c r="O108" s="1150"/>
      <c r="P108" s="2684"/>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1"/>
      <c r="O112" s="1151"/>
      <c r="P112" s="2684"/>
      <c r="Q112" s="504"/>
    </row>
    <row r="113" spans="1:17" s="471" customFormat="1" ht="15" thickTop="1">
      <c r="A113" s="593"/>
      <c r="B113" s="538" t="s">
        <v>2698</v>
      </c>
      <c r="C113" s="2954" t="s">
        <v>3097</v>
      </c>
      <c r="D113" s="2954" t="s">
        <v>3098</v>
      </c>
      <c r="E113" s="554" t="s">
        <v>3099</v>
      </c>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2"/>
      <c r="O114" s="1152"/>
      <c r="P114" s="2685"/>
      <c r="Q114" s="559"/>
    </row>
    <row r="115" spans="1:17" ht="15" thickTop="1">
      <c r="A115" s="599"/>
      <c r="B115" s="538" t="s">
        <v>2615</v>
      </c>
      <c r="C115" s="2954" t="s">
        <v>3094</v>
      </c>
      <c r="D115" s="2954" t="s">
        <v>3095</v>
      </c>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2616</v>
      </c>
      <c r="C117" s="554" t="s">
        <v>3077</v>
      </c>
      <c r="D117" s="554" t="s">
        <v>3100</v>
      </c>
      <c r="E117" s="554" t="s">
        <v>3101</v>
      </c>
      <c r="F117" s="554" t="s">
        <v>3102</v>
      </c>
      <c r="G117" s="554" t="s">
        <v>3103</v>
      </c>
      <c r="H117" s="583"/>
      <c r="I117" s="583"/>
      <c r="J117" s="583"/>
      <c r="K117" s="584"/>
      <c r="L117" s="585"/>
      <c r="M117" s="586"/>
      <c r="N117" s="1150"/>
      <c r="O117" s="1150"/>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2699</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2618</v>
      </c>
      <c r="C123" s="2954" t="s">
        <v>3090</v>
      </c>
      <c r="D123" s="2954" t="s">
        <v>3091</v>
      </c>
      <c r="E123" s="2954" t="s">
        <v>3092</v>
      </c>
      <c r="F123" s="2956" t="s">
        <v>3093</v>
      </c>
      <c r="G123" s="583"/>
      <c r="H123" s="583"/>
      <c r="I123" s="583"/>
      <c r="J123" s="583"/>
      <c r="K123" s="584"/>
      <c r="L123" s="585"/>
      <c r="M123" s="586"/>
      <c r="N123" s="1150"/>
      <c r="O123" s="1150"/>
      <c r="P123" s="2684"/>
      <c r="Q123" s="504"/>
    </row>
    <row r="124" spans="1:17" ht="15.75" thickBot="1">
      <c r="A124" s="534"/>
      <c r="B124" s="543"/>
      <c r="C124" s="544">
        <v>100</v>
      </c>
      <c r="D124" s="544">
        <f t="shared" ref="D124:M124" si="31">C124-$K43</f>
        <v>97</v>
      </c>
      <c r="E124" s="544">
        <f t="shared" si="31"/>
        <v>94</v>
      </c>
      <c r="F124" s="544">
        <f t="shared" si="31"/>
        <v>91</v>
      </c>
      <c r="G124" s="544">
        <f t="shared" si="31"/>
        <v>88</v>
      </c>
      <c r="H124" s="544">
        <f t="shared" si="31"/>
        <v>85</v>
      </c>
      <c r="I124" s="544">
        <f t="shared" si="31"/>
        <v>82</v>
      </c>
      <c r="J124" s="544">
        <f t="shared" si="31"/>
        <v>79</v>
      </c>
      <c r="K124" s="544">
        <f t="shared" si="31"/>
        <v>76</v>
      </c>
      <c r="L124" s="544">
        <f t="shared" si="31"/>
        <v>73</v>
      </c>
      <c r="M124" s="545">
        <f t="shared" si="31"/>
        <v>70</v>
      </c>
      <c r="N124" s="1151"/>
      <c r="O124" s="1151"/>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t="s">
        <v>70</v>
      </c>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417</v>
      </c>
      <c r="C2" s="1843" t="s">
        <v>1510</v>
      </c>
      <c r="D2" s="1843"/>
      <c r="E2" s="1844"/>
      <c r="F2" s="1845"/>
      <c r="G2" s="1846"/>
      <c r="H2" s="1838"/>
      <c r="I2" s="1838"/>
      <c r="J2" s="1838"/>
      <c r="K2" s="1839"/>
      <c r="L2" s="1838"/>
      <c r="M2" s="1838"/>
    </row>
    <row r="3" spans="1:37" ht="18" customHeight="1" thickBot="1">
      <c r="A3" s="1847" t="s">
        <v>1511</v>
      </c>
      <c r="B3" s="1848">
        <f ca="1">IF(ISERROR(B2*10000/F43),0,ROUND(B2*10000/F43,0))</f>
        <v>38892</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30</v>
      </c>
      <c r="D5" s="1820" t="s">
        <v>1396</v>
      </c>
      <c r="E5" s="1291"/>
      <c r="F5" s="1292"/>
      <c r="G5" s="1849"/>
      <c r="H5" s="344">
        <v>1</v>
      </c>
      <c r="I5" s="345" t="s">
        <v>1395</v>
      </c>
      <c r="J5" s="1290">
        <f ca="1">J6+J10+J12</f>
        <v>0</v>
      </c>
      <c r="K5" s="1820" t="s">
        <v>1396</v>
      </c>
      <c r="L5" s="1291"/>
      <c r="M5" s="1292"/>
    </row>
    <row r="6" spans="1:37" ht="18" customHeight="1">
      <c r="A6" s="1289" t="s">
        <v>1031</v>
      </c>
      <c r="B6" s="3203" t="s">
        <v>1397</v>
      </c>
      <c r="C6" s="1294">
        <f ca="1">ROUND(F6*F8*F7*(1-F9)/10000,0)</f>
        <v>30</v>
      </c>
      <c r="D6" s="164" t="s">
        <v>3026</v>
      </c>
      <c r="E6" s="347" t="s">
        <v>1399</v>
      </c>
      <c r="F6" s="348">
        <f ca="1">INDIRECT("'数据-取费表'!u"&amp;$G$1)</f>
        <v>8</v>
      </c>
      <c r="G6" s="1849"/>
      <c r="H6" s="1289" t="s">
        <v>1031</v>
      </c>
      <c r="I6" s="3203" t="s">
        <v>1397</v>
      </c>
      <c r="J6" s="346">
        <f ca="1">ROUND(M6*M8*M7*(1-M9)/10000,0)</f>
        <v>0</v>
      </c>
      <c r="K6" s="164" t="s">
        <v>3025</v>
      </c>
      <c r="L6" s="347" t="s">
        <v>1399</v>
      </c>
      <c r="M6" s="348">
        <f ca="1">INDIRECT("'数据-取费表'!z"&amp;$G$1)</f>
        <v>0</v>
      </c>
    </row>
    <row r="7" spans="1:37" ht="18" customHeight="1">
      <c r="A7" s="1293"/>
      <c r="B7" s="3204"/>
      <c r="C7" s="1295"/>
      <c r="D7" s="352"/>
      <c r="E7" s="1296" t="s">
        <v>1400</v>
      </c>
      <c r="F7" s="348">
        <f ca="1">IF(INDIRECT("'数据-取费表'!ah"&amp;$G$1)="",INDIRECT("'数据-取费表'!k"&amp;$G$1),INDIRECT("'数据-取费表'!ah"&amp;$G$1))</f>
        <v>107.22</v>
      </c>
      <c r="G7" s="1849"/>
      <c r="H7" s="349"/>
      <c r="I7" s="3204"/>
      <c r="J7" s="351"/>
      <c r="K7" s="352"/>
      <c r="L7" s="347" t="s">
        <v>1400</v>
      </c>
      <c r="M7" s="348">
        <f ca="1">F7</f>
        <v>107.22</v>
      </c>
    </row>
    <row r="8" spans="1:37" ht="18" customHeight="1">
      <c r="A8" s="349"/>
      <c r="B8" s="3204"/>
      <c r="C8" s="351"/>
      <c r="D8" s="352"/>
      <c r="E8" s="347" t="s">
        <v>1401</v>
      </c>
      <c r="F8" s="348">
        <f ca="1">INDIRECT("'数据-取费表'!ai"&amp;$G$1)</f>
        <v>365</v>
      </c>
      <c r="G8" s="1849"/>
      <c r="H8" s="349"/>
      <c r="I8" s="3204"/>
      <c r="J8" s="351"/>
      <c r="K8" s="352"/>
      <c r="L8" s="347" t="s">
        <v>1401</v>
      </c>
      <c r="M8" s="348">
        <f ca="1">INDIRECT("'数据-取费表'!ai"&amp;$G$1)</f>
        <v>365</v>
      </c>
    </row>
    <row r="9" spans="1:37" ht="18" customHeight="1">
      <c r="A9" s="349"/>
      <c r="B9" s="3205"/>
      <c r="C9" s="351"/>
      <c r="D9" s="352"/>
      <c r="E9" s="347" t="s">
        <v>1402</v>
      </c>
      <c r="F9" s="357">
        <f ca="1">INDIRECT("'数据-取费表'!w"&amp;$G$1)</f>
        <v>0.05</v>
      </c>
      <c r="G9" s="1849"/>
      <c r="H9" s="349"/>
      <c r="I9" s="3205"/>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3035</v>
      </c>
      <c r="E10" s="358" t="s">
        <v>1404</v>
      </c>
      <c r="F10" s="1364" t="s">
        <v>3109</v>
      </c>
      <c r="G10" s="1849"/>
      <c r="H10" s="1289" t="s">
        <v>1035</v>
      </c>
      <c r="I10" s="1821" t="s">
        <v>1403</v>
      </c>
      <c r="J10" s="346">
        <f ca="1">ROUND(IF(M10="押一",J6/12*M11,IF(M10="押二",J6/12*2*M11,IF(M10="押三",J6/12*3*M11,J11*M11))),0)</f>
        <v>0</v>
      </c>
      <c r="K10" s="1822" t="s">
        <v>3034</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0.5</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5.0999999999999996</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3.43</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0.5</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24</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417</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38892</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-482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417</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3027</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5"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278</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23.74</v>
      </c>
      <c r="R52" s="1884" t="s">
        <v>1540</v>
      </c>
    </row>
    <row r="53" spans="1:18" s="1840" customFormat="1" ht="24.75" thickBot="1">
      <c r="A53" s="1403" t="s">
        <v>1133</v>
      </c>
      <c r="B53" s="1829" t="s">
        <v>1403</v>
      </c>
      <c r="C53" s="361">
        <f ca="1">ROUND(IF(F53="押一",C49/12*F11,IF(F53="押二",C49/12*2*F11,IF(F53="押三",C49/12*3*F11,C54*F11))),0)</f>
        <v>0</v>
      </c>
      <c r="D53" s="1822" t="s">
        <v>3034</v>
      </c>
      <c r="E53" s="358" t="s">
        <v>1404</v>
      </c>
      <c r="F53" s="1364"/>
      <c r="I53" s="1903" t="s">
        <v>1541</v>
      </c>
      <c r="J53" s="2950">
        <f ca="1">IF(M47="住宅",IF(D1="——",MAX(J51,L48),MAX(J51,L48-'数据-取费表'!B24)),IF(D1="——",MIN(J51,L48),MIN(J51,L48-'数据-取费表'!B24)))</f>
        <v>23.74</v>
      </c>
      <c r="K53" s="3201" t="s">
        <v>1542</v>
      </c>
      <c r="L53" s="3202"/>
      <c r="O53" s="1882" t="s">
        <v>1042</v>
      </c>
      <c r="P53" s="1883" t="s">
        <v>1543</v>
      </c>
      <c r="Q53" s="1884">
        <f ca="1">Q47+Q48</f>
        <v>417</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6">
        <f ca="1">C13</f>
        <v>44</v>
      </c>
      <c r="D56" s="1911"/>
      <c r="E56" s="1912"/>
      <c r="F56" s="1904"/>
      <c r="I56" s="1913" t="s">
        <v>1548</v>
      </c>
      <c r="J56" s="1914" t="s">
        <v>3057</v>
      </c>
      <c r="K56" s="1885" t="s">
        <v>1549</v>
      </c>
      <c r="L56" s="1888" t="str">
        <f ca="1">IF(L48&lt;J51,"——",L48-J53)</f>
        <v>——</v>
      </c>
      <c r="O56" s="1882" t="s">
        <v>1036</v>
      </c>
      <c r="P56" s="1883" t="s">
        <v>1522</v>
      </c>
      <c r="Q56" s="1884">
        <f ca="1">C40+J29</f>
        <v>417</v>
      </c>
      <c r="R56" s="1884" t="s">
        <v>1523</v>
      </c>
    </row>
    <row r="57" spans="1:18" s="1840" customFormat="1" ht="24.75"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417</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0.5</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417</v>
      </c>
      <c r="R65" s="1884" t="s">
        <v>1523</v>
      </c>
    </row>
    <row r="66" spans="1:18" s="1840" customFormat="1" ht="16.5"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v>
      </c>
      <c r="D67" s="1180" t="s">
        <v>1458</v>
      </c>
      <c r="E67" s="1185"/>
      <c r="F67" s="1186"/>
      <c r="O67" s="1892" t="s">
        <v>1038</v>
      </c>
      <c r="P67" s="1883" t="s">
        <v>1556</v>
      </c>
      <c r="Q67" s="1930">
        <f ca="1">L51</f>
        <v>278</v>
      </c>
      <c r="R67" s="1884" t="s">
        <v>1576</v>
      </c>
    </row>
    <row r="68" spans="1:18" s="1840" customFormat="1" ht="16.5" thickBot="1">
      <c r="A68" s="1164" t="s">
        <v>1028</v>
      </c>
      <c r="B68" s="1165" t="s">
        <v>1479</v>
      </c>
      <c r="C68" s="346">
        <f ca="1">ROUND(C67*(1-((1+F70)/(1+F68))^F69)/(F68-F70),0)</f>
        <v>-65</v>
      </c>
      <c r="D68" s="1182" t="s">
        <v>1463</v>
      </c>
      <c r="E68" s="1167" t="s">
        <v>1464</v>
      </c>
      <c r="F68" s="357">
        <f ca="1">F40</f>
        <v>5.5E-2</v>
      </c>
      <c r="O68" s="1892" t="s">
        <v>1039</v>
      </c>
      <c r="P68" s="1931" t="s">
        <v>1577</v>
      </c>
      <c r="Q68" s="1884">
        <f ca="1">ROUND(Q69-Q70*Q71,0)</f>
        <v>20</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24</v>
      </c>
      <c r="R69" s="1884" t="s">
        <v>1523</v>
      </c>
    </row>
    <row r="70" spans="1:18" s="1840" customFormat="1" ht="13.5" thickBot="1">
      <c r="A70" s="1171"/>
      <c r="B70" s="1172"/>
      <c r="C70" s="355"/>
      <c r="D70" s="1183"/>
      <c r="E70" s="1167" t="s">
        <v>1471</v>
      </c>
      <c r="F70" s="1273"/>
      <c r="O70" s="1892" t="s">
        <v>1045</v>
      </c>
      <c r="P70" s="1931" t="s">
        <v>1579</v>
      </c>
      <c r="Q70" s="1884">
        <f ca="1">C13</f>
        <v>44</v>
      </c>
      <c r="R70" s="1884" t="s">
        <v>1523</v>
      </c>
    </row>
    <row r="71" spans="1:18" s="1840" customFormat="1" ht="13.5" thickBot="1">
      <c r="A71" s="1188" t="s">
        <v>1029</v>
      </c>
      <c r="B71" s="1189" t="s">
        <v>1481</v>
      </c>
      <c r="C71" s="382">
        <f ca="1">ROUND(C68*10000/F71,0)</f>
        <v>-6062</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4</v>
      </c>
      <c r="D75" s="1840"/>
      <c r="E75" s="1840"/>
      <c r="F75" s="1840"/>
      <c r="K75" s="1866"/>
      <c r="L75" s="1840"/>
      <c r="O75" s="1882" t="s">
        <v>1042</v>
      </c>
      <c r="P75" s="1883" t="s">
        <v>1543</v>
      </c>
      <c r="Q75" s="1884">
        <f ca="1">Q65+Q66</f>
        <v>417</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0.83299999999999996</v>
      </c>
    </row>
    <row r="80" spans="1:18">
      <c r="B80" s="386" t="s">
        <v>1505</v>
      </c>
      <c r="C80" s="318">
        <f ca="1">ROUND(C75/C39,3)</f>
        <v>0.16700000000000001</v>
      </c>
    </row>
    <row r="81" spans="2:3">
      <c r="B81" s="314" t="s">
        <v>1506</v>
      </c>
      <c r="C81" s="282"/>
    </row>
    <row r="82" spans="2:3">
      <c r="B82" s="317" t="s">
        <v>1507</v>
      </c>
      <c r="C82" s="319">
        <f ca="1">1-C83</f>
        <v>0.89400000000000002</v>
      </c>
    </row>
    <row r="83" spans="2:3">
      <c r="B83" s="317" t="s">
        <v>1508</v>
      </c>
      <c r="C83" s="318">
        <f ca="1">ROUND(C13/C40,3)</f>
        <v>0.106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5" zoomScale="85" zoomScaleNormal="85"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414</v>
      </c>
      <c r="C2" s="1843" t="s">
        <v>1585</v>
      </c>
      <c r="D2" s="1935">
        <f ca="1">C40+J29+L46</f>
        <v>4144494</v>
      </c>
      <c r="E2" s="1844" t="s">
        <v>1586</v>
      </c>
      <c r="F2" s="1845"/>
      <c r="G2" s="1846"/>
      <c r="H2" s="1838"/>
      <c r="I2" s="1838"/>
      <c r="J2" s="1838"/>
      <c r="K2" s="1839"/>
      <c r="L2" s="1838"/>
      <c r="M2" s="1838"/>
    </row>
    <row r="3" spans="1:37" ht="18" customHeight="1" thickBot="1">
      <c r="A3" s="1847" t="s">
        <v>1587</v>
      </c>
      <c r="B3" s="1848">
        <f ca="1">IF(ISERROR(D2/F43),0,ROUND(D2/F43,0))</f>
        <v>38654</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297800</v>
      </c>
      <c r="D5" s="1820" t="s">
        <v>1595</v>
      </c>
      <c r="E5" s="1291"/>
      <c r="F5" s="1292"/>
      <c r="G5" s="1849"/>
      <c r="H5" s="344">
        <v>1</v>
      </c>
      <c r="I5" s="345" t="s">
        <v>1594</v>
      </c>
      <c r="J5" s="1290">
        <f ca="1">J6+J10+J12</f>
        <v>0</v>
      </c>
      <c r="K5" s="1820" t="s">
        <v>1595</v>
      </c>
      <c r="L5" s="1291"/>
      <c r="M5" s="1292"/>
    </row>
    <row r="6" spans="1:37" ht="18" customHeight="1">
      <c r="A6" s="1289" t="s">
        <v>1031</v>
      </c>
      <c r="B6" s="3203" t="s">
        <v>1397</v>
      </c>
      <c r="C6" s="1294">
        <f ca="1">ROUND(F6*F8*F7*(1-F9),0)</f>
        <v>297428</v>
      </c>
      <c r="D6" s="164" t="s">
        <v>3023</v>
      </c>
      <c r="E6" s="347" t="s">
        <v>1399</v>
      </c>
      <c r="F6" s="348">
        <f ca="1">INDIRECT("'数据-取费表'!u"&amp;$G$1)</f>
        <v>8</v>
      </c>
      <c r="G6" s="1849"/>
      <c r="H6" s="1289" t="s">
        <v>1031</v>
      </c>
      <c r="I6" s="3203" t="s">
        <v>1397</v>
      </c>
      <c r="J6" s="346">
        <f ca="1">ROUND(M6*M8*M7*(1-M9),0)</f>
        <v>0</v>
      </c>
      <c r="K6" s="1832" t="s">
        <v>3024</v>
      </c>
      <c r="L6" s="347" t="s">
        <v>1399</v>
      </c>
      <c r="M6" s="348">
        <f ca="1">INDIRECT("'数据-取费表'!z"&amp;$G$1)</f>
        <v>0</v>
      </c>
    </row>
    <row r="7" spans="1:37" ht="18" customHeight="1">
      <c r="A7" s="1293"/>
      <c r="B7" s="3204"/>
      <c r="C7" s="1295"/>
      <c r="D7" s="352"/>
      <c r="E7" s="1296" t="s">
        <v>1400</v>
      </c>
      <c r="F7" s="348">
        <f ca="1">IF(INDIRECT("'数据-取费表'!ah"&amp;$G$1)="",INDIRECT("'数据-取费表'!k"&amp;$G$1),INDIRECT("'数据-取费表'!ah"&amp;$G$1))</f>
        <v>107.22</v>
      </c>
      <c r="G7" s="1849"/>
      <c r="H7" s="349"/>
      <c r="I7" s="3204"/>
      <c r="J7" s="351"/>
      <c r="K7" s="352"/>
      <c r="L7" s="347" t="s">
        <v>1400</v>
      </c>
      <c r="M7" s="348">
        <f ca="1">F7</f>
        <v>107.22</v>
      </c>
    </row>
    <row r="8" spans="1:37" ht="18" customHeight="1">
      <c r="A8" s="349"/>
      <c r="B8" s="3204"/>
      <c r="C8" s="351"/>
      <c r="D8" s="352"/>
      <c r="E8" s="347" t="s">
        <v>1401</v>
      </c>
      <c r="F8" s="348">
        <f ca="1">INDIRECT("'数据-取费表'!ai"&amp;$G$1)</f>
        <v>365</v>
      </c>
      <c r="G8" s="1849"/>
      <c r="H8" s="349"/>
      <c r="I8" s="3204"/>
      <c r="J8" s="351"/>
      <c r="K8" s="352"/>
      <c r="L8" s="347" t="s">
        <v>1401</v>
      </c>
      <c r="M8" s="348">
        <f ca="1">INDIRECT("'数据-取费表'!ai"&amp;$G$1)</f>
        <v>365</v>
      </c>
    </row>
    <row r="9" spans="1:37" ht="18" customHeight="1">
      <c r="A9" s="349"/>
      <c r="B9" s="3205"/>
      <c r="C9" s="351"/>
      <c r="D9" s="352"/>
      <c r="E9" s="347" t="s">
        <v>1402</v>
      </c>
      <c r="F9" s="357">
        <f ca="1">INDIRECT("'数据-取费表'!w"&amp;$G$1)</f>
        <v>0.05</v>
      </c>
      <c r="G9" s="1849"/>
      <c r="H9" s="349"/>
      <c r="I9" s="3205"/>
      <c r="J9" s="351"/>
      <c r="K9" s="352"/>
      <c r="L9" s="358" t="s">
        <v>1402</v>
      </c>
      <c r="M9" s="359">
        <f ca="1">INDIRECT("'数据-取费表'!ab"&amp;$G$1)</f>
        <v>0</v>
      </c>
    </row>
    <row r="10" spans="1:37" ht="18" customHeight="1">
      <c r="A10" s="1289" t="s">
        <v>1035</v>
      </c>
      <c r="B10" s="1821" t="s">
        <v>1403</v>
      </c>
      <c r="C10" s="361">
        <f ca="1">ROUND(IF(F10="押一",C6/12*F11,IF(F10="押二",C6/12*2*F11,IF(F10="押三",C6/12*3*F11,C11*F11))),0)</f>
        <v>372</v>
      </c>
      <c r="D10" s="1822" t="s">
        <v>3034</v>
      </c>
      <c r="E10" s="358" t="s">
        <v>1404</v>
      </c>
      <c r="F10" s="1364" t="s">
        <v>3109</v>
      </c>
      <c r="G10" s="1849"/>
      <c r="H10" s="1289" t="s">
        <v>1035</v>
      </c>
      <c r="I10" s="1821" t="s">
        <v>1403</v>
      </c>
      <c r="J10" s="346">
        <f ca="1">ROUND(IF(M10="押一",J6/12*M11,IF(M10="押二",J6/12*2*M11,IF(M10="押三",J6/12*3*M11,J11*M11))),0)</f>
        <v>0</v>
      </c>
      <c r="K10" s="1833" t="s">
        <v>3036</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444206</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10112</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5352</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-10112</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59115</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50119</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15863</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33992</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5352</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ROUND(C13*F37,0)</f>
        <v>666</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2978</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238685</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4144494</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38654</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-5034184</v>
      </c>
      <c r="D45" s="1937" t="s">
        <v>1598</v>
      </c>
      <c r="E45" s="1864"/>
      <c r="F45" s="1864"/>
      <c r="O45" s="1867" t="s">
        <v>1513</v>
      </c>
      <c r="P45" s="1837"/>
      <c r="Q45" s="1837"/>
      <c r="R45" s="1837"/>
    </row>
    <row r="46" spans="1:18" s="1840" customFormat="1" ht="13.5" thickBot="1">
      <c r="A46" s="1868" t="s">
        <v>1514</v>
      </c>
      <c r="C46" s="1869">
        <f ca="1">ROUND(C45/10000,0)</f>
        <v>-503</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4144494</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5"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2756619</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23.74</v>
      </c>
      <c r="R52" s="1884" t="s">
        <v>1540</v>
      </c>
    </row>
    <row r="53" spans="1:18" s="1840" customFormat="1" ht="30.75" customHeight="1" thickBot="1">
      <c r="A53" s="1359" t="s">
        <v>1133</v>
      </c>
      <c r="B53" s="369" t="s">
        <v>1403</v>
      </c>
      <c r="C53" s="361">
        <f ca="1">ROUND(IF(F53="押一",C49/12*F11,IF(F53="押二",C49/12*2*F11,IF(F53="押三",C49/12*3*F11,C54*F11))),0)</f>
        <v>0</v>
      </c>
      <c r="D53" s="1822" t="s">
        <v>3037</v>
      </c>
      <c r="E53" s="358" t="s">
        <v>1404</v>
      </c>
      <c r="F53" s="1364"/>
      <c r="I53" s="1903" t="s">
        <v>1541</v>
      </c>
      <c r="J53" s="2950">
        <f ca="1">IF(M47="住宅",IF(D1="——",MAX(J51,L48),MAX(J51,L48-'数据-取费表'!B24)),IF(D1="——",MIN(J51,L48),MIN(J51,L48-'数据-取费表'!B24)))</f>
        <v>23.74</v>
      </c>
      <c r="K53" s="3201" t="s">
        <v>1542</v>
      </c>
      <c r="L53" s="3202"/>
      <c r="O53" s="1882" t="s">
        <v>1042</v>
      </c>
      <c r="P53" s="1883" t="s">
        <v>1543</v>
      </c>
      <c r="Q53" s="1884">
        <f ca="1">Q47+Q48</f>
        <v>4144494</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444206</v>
      </c>
      <c r="D56" s="1911"/>
      <c r="E56" s="1912"/>
      <c r="F56" s="1904"/>
      <c r="I56" s="1913" t="s">
        <v>1548</v>
      </c>
      <c r="J56" s="1914" t="s">
        <v>3057</v>
      </c>
      <c r="K56" s="1885" t="s">
        <v>1549</v>
      </c>
      <c r="L56" s="1888" t="str">
        <f ca="1">IF(L48&lt;J51,"——",L48-J51)</f>
        <v>——</v>
      </c>
      <c r="O56" s="1882" t="s">
        <v>1036</v>
      </c>
      <c r="P56" s="1883" t="s">
        <v>1522</v>
      </c>
      <c r="Q56" s="1884">
        <f ca="1">C40+J29</f>
        <v>4144494</v>
      </c>
      <c r="R56" s="1884" t="s">
        <v>1523</v>
      </c>
    </row>
    <row r="57" spans="1:18" s="1840" customFormat="1" ht="24.75"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75" thickBot="1">
      <c r="A58" s="360" t="s">
        <v>1026</v>
      </c>
      <c r="B58" s="1175" t="s">
        <v>1418</v>
      </c>
      <c r="C58" s="361">
        <f ca="1">ROUND(C59+C64+C65+C66,0)</f>
        <v>51238</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4144494</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5352</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666</v>
      </c>
      <c r="D65" s="1181" t="s">
        <v>1448</v>
      </c>
      <c r="E65" s="1167" t="s">
        <v>1449</v>
      </c>
      <c r="F65" s="376">
        <f t="shared" ca="1" si="0"/>
        <v>1.5E-3</v>
      </c>
      <c r="I65" s="1926" t="s">
        <v>1573</v>
      </c>
      <c r="J65" s="1927">
        <v>40</v>
      </c>
      <c r="K65" s="1927">
        <v>30</v>
      </c>
      <c r="L65" s="1927">
        <v>50</v>
      </c>
      <c r="M65" s="1929">
        <v>0.02</v>
      </c>
      <c r="O65" s="1882" t="s">
        <v>1036</v>
      </c>
      <c r="P65" s="1883" t="s">
        <v>1574</v>
      </c>
      <c r="Q65" s="1884">
        <f ca="1">C40+J29</f>
        <v>4144494</v>
      </c>
      <c r="R65" s="1884" t="s">
        <v>1523</v>
      </c>
    </row>
    <row r="66" spans="1:18" s="1840" customFormat="1" ht="16.5"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-51238</v>
      </c>
      <c r="D67" s="1180" t="s">
        <v>1458</v>
      </c>
      <c r="E67" s="1185"/>
      <c r="F67" s="1186"/>
      <c r="O67" s="1892" t="s">
        <v>1038</v>
      </c>
      <c r="P67" s="1883" t="s">
        <v>1556</v>
      </c>
      <c r="Q67" s="1930">
        <f ca="1">L51</f>
        <v>2756619</v>
      </c>
      <c r="R67" s="1884" t="s">
        <v>1576</v>
      </c>
    </row>
    <row r="68" spans="1:18" s="1840" customFormat="1" ht="16.5" thickBot="1">
      <c r="A68" s="1164" t="s">
        <v>1028</v>
      </c>
      <c r="B68" s="1165" t="s">
        <v>1479</v>
      </c>
      <c r="C68" s="346">
        <f ca="1">ROUND(C67*(1-((1+F70)/(1+F68))^F69)/(F68-F70),0)</f>
        <v>-889690</v>
      </c>
      <c r="D68" s="1182" t="s">
        <v>1463</v>
      </c>
      <c r="E68" s="1167" t="s">
        <v>1464</v>
      </c>
      <c r="F68" s="357">
        <f ca="1">F40</f>
        <v>5.5E-2</v>
      </c>
      <c r="O68" s="1892" t="s">
        <v>1039</v>
      </c>
      <c r="P68" s="1931" t="s">
        <v>1577</v>
      </c>
      <c r="Q68" s="1884">
        <f ca="1">ROUND(Q69-Q70*Q71,0)</f>
        <v>200927</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238685</v>
      </c>
      <c r="R69" s="1884" t="s">
        <v>1523</v>
      </c>
    </row>
    <row r="70" spans="1:18" s="1840" customFormat="1" ht="13.5" thickBot="1">
      <c r="A70" s="1171"/>
      <c r="B70" s="1172"/>
      <c r="C70" s="355"/>
      <c r="D70" s="1183"/>
      <c r="E70" s="1167" t="s">
        <v>1471</v>
      </c>
      <c r="F70" s="1273">
        <f ca="1">F42</f>
        <v>0.03</v>
      </c>
      <c r="O70" s="1892" t="s">
        <v>1045</v>
      </c>
      <c r="P70" s="1931" t="s">
        <v>1579</v>
      </c>
      <c r="Q70" s="1884">
        <f ca="1">C13</f>
        <v>444206</v>
      </c>
      <c r="R70" s="1884" t="s">
        <v>1523</v>
      </c>
    </row>
    <row r="71" spans="1:18" s="1840" customFormat="1" ht="13.5" thickBot="1">
      <c r="A71" s="1188" t="s">
        <v>1029</v>
      </c>
      <c r="B71" s="1189" t="s">
        <v>1481</v>
      </c>
      <c r="C71" s="382">
        <f ca="1">ROUND(C68/F71,0)</f>
        <v>-8298</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37758</v>
      </c>
      <c r="D75" s="1840"/>
      <c r="E75" s="1840"/>
      <c r="F75" s="1840"/>
      <c r="K75" s="1866"/>
      <c r="L75" s="1840"/>
      <c r="O75" s="1882" t="s">
        <v>1042</v>
      </c>
      <c r="P75" s="1883" t="s">
        <v>1543</v>
      </c>
      <c r="Q75" s="1884">
        <f ca="1">Q65+Q66</f>
        <v>4144494</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0.84199999999999997</v>
      </c>
    </row>
    <row r="80" spans="1:18">
      <c r="B80" s="386" t="s">
        <v>1505</v>
      </c>
      <c r="C80" s="318">
        <f ca="1">ROUND(C75/C39,3)</f>
        <v>0.158</v>
      </c>
    </row>
    <row r="81" spans="2:3">
      <c r="B81" s="314" t="s">
        <v>1506</v>
      </c>
      <c r="C81" s="282"/>
    </row>
    <row r="82" spans="2:3">
      <c r="B82" s="317" t="s">
        <v>1507</v>
      </c>
      <c r="C82" s="319">
        <f ca="1">1-C83</f>
        <v>0.89300000000000002</v>
      </c>
    </row>
    <row r="83" spans="2:3">
      <c r="B83" s="317" t="s">
        <v>1508</v>
      </c>
      <c r="C83" s="318">
        <f ca="1">ROUND(C13/C40,3)</f>
        <v>0.107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417</v>
      </c>
      <c r="C2" s="2566" t="s">
        <v>2517</v>
      </c>
      <c r="D2" s="2567" t="s">
        <v>2518</v>
      </c>
      <c r="E2" s="2568">
        <f>SUM(E6:E13)</f>
        <v>107.22</v>
      </c>
    </row>
    <row r="3" spans="1:6" ht="15.75">
      <c r="A3" s="2564" t="s">
        <v>1389</v>
      </c>
      <c r="B3" s="2565">
        <f ca="1">ROUND(B2*10000/E2,0)</f>
        <v>38892</v>
      </c>
      <c r="C3" s="2566" t="s">
        <v>2525</v>
      </c>
      <c r="D3" s="2569"/>
      <c r="E3" s="2570"/>
    </row>
    <row r="4" spans="1:6" ht="15.75">
      <c r="A4" s="2571"/>
      <c r="B4" s="2569"/>
      <c r="C4" s="2569"/>
      <c r="D4" s="2569"/>
      <c r="E4" s="2570"/>
    </row>
    <row r="5" spans="1:6" ht="15">
      <c r="A5" s="2572" t="s">
        <v>2519</v>
      </c>
      <c r="B5" s="3206" t="s">
        <v>2520</v>
      </c>
      <c r="C5" s="3206"/>
      <c r="D5" s="2573"/>
      <c r="E5" s="2574" t="s">
        <v>2521</v>
      </c>
      <c r="F5" s="2575" t="s">
        <v>2522</v>
      </c>
    </row>
    <row r="6" spans="1:6">
      <c r="A6" s="2576" t="str">
        <f>'数据-取费表'!AN6</f>
        <v>收益法</v>
      </c>
      <c r="B6" s="2575">
        <f ca="1">IF(F6="是",'数据-取费表'!AO6,0)</f>
        <v>417</v>
      </c>
      <c r="C6" s="2566" t="s">
        <v>2517</v>
      </c>
      <c r="D6" s="2569"/>
      <c r="E6" s="2577">
        <f>IF(OR(A6=0,F6="否"),0,'数据-取费表'!K6+'数据-取费表'!S6)</f>
        <v>107.22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07" t="s">
        <v>1072</v>
      </c>
      <c r="B1" s="3208"/>
      <c r="C1" s="3209"/>
      <c r="D1" s="3210">
        <f>SUM(I10,I15,I20,I21,I23)</f>
        <v>0</v>
      </c>
      <c r="E1" s="3210"/>
      <c r="F1" s="3210"/>
      <c r="G1" s="3210"/>
      <c r="H1" s="3210"/>
      <c r="I1" s="3211"/>
    </row>
    <row r="2" spans="1:9">
      <c r="A2" s="3212" t="s">
        <v>1073</v>
      </c>
      <c r="B2" s="3213" t="s">
        <v>1074</v>
      </c>
      <c r="C2" s="3213"/>
      <c r="D2" s="1299" t="s">
        <v>1075</v>
      </c>
      <c r="E2" s="1299" t="s">
        <v>1076</v>
      </c>
      <c r="F2" s="1299" t="s">
        <v>1077</v>
      </c>
      <c r="G2" s="1299" t="s">
        <v>1078</v>
      </c>
      <c r="H2" s="1299" t="s">
        <v>1079</v>
      </c>
      <c r="I2" s="1300" t="s">
        <v>1080</v>
      </c>
    </row>
    <row r="3" spans="1:9">
      <c r="A3" s="3212"/>
      <c r="B3" s="3213" t="s">
        <v>1081</v>
      </c>
      <c r="C3" s="3213"/>
      <c r="D3" s="1301"/>
      <c r="E3" s="1299"/>
      <c r="F3" s="1302"/>
      <c r="G3" s="1302"/>
      <c r="H3" s="1303"/>
      <c r="I3" s="1304">
        <f>ROUND(D3*E3*F3*G3*H3/10000,0)</f>
        <v>0</v>
      </c>
    </row>
    <row r="4" spans="1:9">
      <c r="A4" s="3212"/>
      <c r="B4" s="3213" t="s">
        <v>1082</v>
      </c>
      <c r="C4" s="3213"/>
      <c r="D4" s="1301"/>
      <c r="E4" s="1299"/>
      <c r="F4" s="1302"/>
      <c r="G4" s="1302"/>
      <c r="H4" s="1303"/>
      <c r="I4" s="1304">
        <f t="shared" ref="I4:I9" si="0">ROUND(D4*E4*F4*G4*H4/10000,0)</f>
        <v>0</v>
      </c>
    </row>
    <row r="5" spans="1:9">
      <c r="A5" s="3212"/>
      <c r="B5" s="3213" t="s">
        <v>1083</v>
      </c>
      <c r="C5" s="3213"/>
      <c r="D5" s="1301"/>
      <c r="E5" s="1299"/>
      <c r="F5" s="1302"/>
      <c r="G5" s="1302"/>
      <c r="H5" s="1303"/>
      <c r="I5" s="1304">
        <f t="shared" si="0"/>
        <v>0</v>
      </c>
    </row>
    <row r="6" spans="1:9">
      <c r="A6" s="3212"/>
      <c r="B6" s="3213" t="s">
        <v>1084</v>
      </c>
      <c r="C6" s="3213"/>
      <c r="D6" s="1301"/>
      <c r="E6" s="1299"/>
      <c r="F6" s="1302"/>
      <c r="G6" s="1302"/>
      <c r="H6" s="1303"/>
      <c r="I6" s="1304">
        <f t="shared" si="0"/>
        <v>0</v>
      </c>
    </row>
    <row r="7" spans="1:9">
      <c r="A7" s="3212"/>
      <c r="B7" s="3213" t="s">
        <v>1085</v>
      </c>
      <c r="C7" s="3213"/>
      <c r="D7" s="1301"/>
      <c r="E7" s="1299"/>
      <c r="F7" s="1302"/>
      <c r="G7" s="1302"/>
      <c r="H7" s="1303"/>
      <c r="I7" s="1304">
        <f t="shared" si="0"/>
        <v>0</v>
      </c>
    </row>
    <row r="8" spans="1:9">
      <c r="A8" s="3212"/>
      <c r="B8" s="3213" t="s">
        <v>1086</v>
      </c>
      <c r="C8" s="3213"/>
      <c r="D8" s="1301"/>
      <c r="E8" s="1299"/>
      <c r="F8" s="1302"/>
      <c r="G8" s="1302"/>
      <c r="H8" s="1303"/>
      <c r="I8" s="1304">
        <f t="shared" si="0"/>
        <v>0</v>
      </c>
    </row>
    <row r="9" spans="1:9">
      <c r="A9" s="3212"/>
      <c r="B9" s="3213" t="s">
        <v>1087</v>
      </c>
      <c r="C9" s="3213"/>
      <c r="D9" s="1301"/>
      <c r="E9" s="1299"/>
      <c r="F9" s="1302"/>
      <c r="G9" s="1302"/>
      <c r="H9" s="1303"/>
      <c r="I9" s="1304">
        <f t="shared" si="0"/>
        <v>0</v>
      </c>
    </row>
    <row r="10" spans="1:9">
      <c r="A10" s="3212"/>
      <c r="B10" s="3214" t="s">
        <v>1088</v>
      </c>
      <c r="C10" s="3214"/>
      <c r="D10" s="1305"/>
      <c r="E10" s="1305" t="e">
        <f>ROUND(D1*10000/D10/H9,0)</f>
        <v>#DIV/0!</v>
      </c>
      <c r="F10" s="1306"/>
      <c r="G10" s="1306"/>
      <c r="H10" s="1307"/>
      <c r="I10" s="1308">
        <f>SUM(I3:I9)</f>
        <v>0</v>
      </c>
    </row>
    <row r="11" spans="1:9" ht="14.25">
      <c r="A11" s="3212" t="s">
        <v>1089</v>
      </c>
      <c r="B11" s="3213" t="s">
        <v>1090</v>
      </c>
      <c r="C11" s="3213"/>
      <c r="D11" s="1301" t="s">
        <v>1091</v>
      </c>
      <c r="E11" s="1301" t="s">
        <v>1092</v>
      </c>
      <c r="F11" s="1302" t="s">
        <v>1093</v>
      </c>
      <c r="G11" s="1302" t="s">
        <v>1079</v>
      </c>
      <c r="H11" s="1309" t="s">
        <v>1094</v>
      </c>
      <c r="I11" s="1300" t="s">
        <v>1080</v>
      </c>
    </row>
    <row r="12" spans="1:9">
      <c r="A12" s="3212"/>
      <c r="B12" s="3213" t="s">
        <v>1095</v>
      </c>
      <c r="C12" s="3213"/>
      <c r="D12" s="1301"/>
      <c r="E12" s="1301"/>
      <c r="F12" s="1302"/>
      <c r="G12" s="1303"/>
      <c r="H12" s="1310"/>
      <c r="I12" s="1300">
        <f>ROUND(D12*E12*F12*G12/10000,0)</f>
        <v>0</v>
      </c>
    </row>
    <row r="13" spans="1:9">
      <c r="A13" s="3212"/>
      <c r="B13" s="3213" t="s">
        <v>1096</v>
      </c>
      <c r="C13" s="3213"/>
      <c r="D13" s="1301"/>
      <c r="E13" s="1301"/>
      <c r="F13" s="1302"/>
      <c r="G13" s="1303"/>
      <c r="H13" s="1310"/>
      <c r="I13" s="1300">
        <f>ROUND(D13*E13*F13*G13/10000,0)</f>
        <v>0</v>
      </c>
    </row>
    <row r="14" spans="1:9">
      <c r="A14" s="3212"/>
      <c r="B14" s="3213" t="s">
        <v>1097</v>
      </c>
      <c r="C14" s="3213"/>
      <c r="D14" s="1301"/>
      <c r="E14" s="1301"/>
      <c r="F14" s="1302"/>
      <c r="G14" s="1303"/>
      <c r="H14" s="1310"/>
      <c r="I14" s="1300">
        <f>ROUND(D14*E14*F14*G14/10000,0)</f>
        <v>0</v>
      </c>
    </row>
    <row r="15" spans="1:9">
      <c r="A15" s="3212"/>
      <c r="B15" s="3214" t="s">
        <v>1088</v>
      </c>
      <c r="C15" s="3214"/>
      <c r="D15" s="1305"/>
      <c r="E15" s="1305">
        <f>SUM(E12:E14)</f>
        <v>0</v>
      </c>
      <c r="F15" s="1306"/>
      <c r="G15" s="1303"/>
      <c r="H15" s="1310"/>
      <c r="I15" s="1311">
        <f>SUM(I12:I14)</f>
        <v>0</v>
      </c>
    </row>
    <row r="16" spans="1:9" ht="24">
      <c r="A16" s="3212" t="s">
        <v>1098</v>
      </c>
      <c r="B16" s="3213" t="s">
        <v>1099</v>
      </c>
      <c r="C16" s="3213"/>
      <c r="D16" s="1301" t="s">
        <v>1075</v>
      </c>
      <c r="E16" s="1312" t="s">
        <v>1100</v>
      </c>
      <c r="F16" s="1302" t="s">
        <v>1101</v>
      </c>
      <c r="G16" s="1303" t="s">
        <v>1079</v>
      </c>
      <c r="H16" s="1309" t="s">
        <v>1094</v>
      </c>
      <c r="I16" s="1300" t="s">
        <v>1080</v>
      </c>
    </row>
    <row r="17" spans="1:9" ht="14.25">
      <c r="A17" s="3212"/>
      <c r="B17" s="3213" t="s">
        <v>1102</v>
      </c>
      <c r="C17" s="3213"/>
      <c r="D17" s="1301"/>
      <c r="E17" s="1301"/>
      <c r="F17" s="1302"/>
      <c r="G17" s="1303"/>
      <c r="H17" s="1313"/>
      <c r="I17" s="1314">
        <f>ROUND(D17*E17*F17*G17/10000,0)</f>
        <v>0</v>
      </c>
    </row>
    <row r="18" spans="1:9" ht="14.25">
      <c r="A18" s="3212"/>
      <c r="B18" s="3213" t="s">
        <v>1103</v>
      </c>
      <c r="C18" s="3213"/>
      <c r="D18" s="1301"/>
      <c r="E18" s="1301"/>
      <c r="F18" s="1302"/>
      <c r="G18" s="1303"/>
      <c r="H18" s="1313"/>
      <c r="I18" s="1314">
        <f>ROUND(D18*E18*F18*G18/10000,0)</f>
        <v>0</v>
      </c>
    </row>
    <row r="19" spans="1:9" ht="14.25">
      <c r="A19" s="3212"/>
      <c r="B19" s="3213" t="s">
        <v>1104</v>
      </c>
      <c r="C19" s="3213"/>
      <c r="D19" s="1301"/>
      <c r="E19" s="1301"/>
      <c r="F19" s="1302"/>
      <c r="G19" s="1303"/>
      <c r="H19" s="1313"/>
      <c r="I19" s="1314">
        <f>ROUND(D19*E19*F19*G19/10000,0)</f>
        <v>0</v>
      </c>
    </row>
    <row r="20" spans="1:9">
      <c r="A20" s="3212"/>
      <c r="B20" s="3214" t="s">
        <v>1088</v>
      </c>
      <c r="C20" s="3214"/>
      <c r="D20" s="1305">
        <f>SUM(D17:D19)</f>
        <v>0</v>
      </c>
      <c r="E20" s="1305"/>
      <c r="F20" s="1306"/>
      <c r="G20" s="1303"/>
      <c r="H20" s="1310"/>
      <c r="I20" s="1311">
        <f>SUM(I17:I19)</f>
        <v>0</v>
      </c>
    </row>
    <row r="21" spans="1:9">
      <c r="A21" s="3212" t="s">
        <v>1105</v>
      </c>
      <c r="B21" s="3216"/>
      <c r="C21" s="3216"/>
      <c r="D21" s="3216"/>
      <c r="E21" s="3216"/>
      <c r="F21" s="3216"/>
      <c r="G21" s="3216"/>
      <c r="H21" s="1763">
        <v>0.1</v>
      </c>
      <c r="I21" s="1308">
        <f>ROUND(I10*H21,0)</f>
        <v>0</v>
      </c>
    </row>
    <row r="22" spans="1:9" ht="14.25">
      <c r="A22" s="3217" t="s">
        <v>1106</v>
      </c>
      <c r="B22" s="3218"/>
      <c r="C22" s="3219"/>
      <c r="D22" s="1315" t="s">
        <v>1107</v>
      </c>
      <c r="E22" s="1315" t="s">
        <v>1108</v>
      </c>
      <c r="F22" s="1316" t="s">
        <v>1109</v>
      </c>
      <c r="G22" s="1316" t="s">
        <v>1110</v>
      </c>
      <c r="H22" s="1309" t="s">
        <v>1111</v>
      </c>
      <c r="I22" s="1300" t="s">
        <v>1112</v>
      </c>
    </row>
    <row r="23" spans="1:9" ht="14.25" thickBot="1">
      <c r="A23" s="3220"/>
      <c r="B23" s="3221"/>
      <c r="C23" s="3222"/>
      <c r="D23" s="1317"/>
      <c r="E23" s="1317"/>
      <c r="F23" s="1317"/>
      <c r="G23" s="1318"/>
      <c r="H23" s="1319"/>
      <c r="I23" s="1320">
        <f>ROUND(E23*D23*F23*(1-G23)/10000,0)</f>
        <v>0</v>
      </c>
    </row>
    <row r="26" spans="1:9">
      <c r="A26" s="1321" t="s">
        <v>1113</v>
      </c>
      <c r="B26" s="1321"/>
      <c r="C26" s="1321"/>
      <c r="D26" s="1321"/>
      <c r="E26" s="3223">
        <f>C27-C30-C31-C32</f>
        <v>0</v>
      </c>
      <c r="F26" s="3223"/>
      <c r="G26" s="3223"/>
      <c r="H26" s="1735" t="s">
        <v>1335</v>
      </c>
    </row>
    <row r="27" spans="1:9">
      <c r="A27" s="1322">
        <v>1</v>
      </c>
      <c r="B27" s="1323" t="s">
        <v>1114</v>
      </c>
      <c r="C27" s="1323">
        <f>C28+C29</f>
        <v>0</v>
      </c>
      <c r="D27" s="1323"/>
      <c r="E27" s="3224"/>
      <c r="F27" s="3224"/>
      <c r="G27" s="3224"/>
    </row>
    <row r="28" spans="1:9">
      <c r="A28" s="1324" t="s">
        <v>1115</v>
      </c>
      <c r="B28" s="1323" t="s">
        <v>1116</v>
      </c>
      <c r="C28" s="1323"/>
      <c r="D28" s="1323"/>
      <c r="E28" s="3224"/>
      <c r="F28" s="3224"/>
      <c r="G28" s="3224"/>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15"/>
      <c r="F32" s="3215"/>
      <c r="G32" s="3215"/>
    </row>
    <row r="33" spans="1:7" hidden="1">
      <c r="A33" s="3225" t="s">
        <v>1125</v>
      </c>
      <c r="B33" s="3226"/>
      <c r="C33" s="3226"/>
      <c r="D33" s="3227"/>
      <c r="E33" s="3223"/>
      <c r="F33" s="3223"/>
      <c r="G33" s="3223"/>
    </row>
    <row r="34" spans="1:7" hidden="1">
      <c r="A34" s="1326">
        <v>1</v>
      </c>
      <c r="B34" s="1323" t="s">
        <v>1126</v>
      </c>
      <c r="C34" s="1323"/>
      <c r="D34" s="1323"/>
      <c r="E34" s="3224"/>
      <c r="F34" s="3224"/>
      <c r="G34" s="3224"/>
    </row>
    <row r="35" spans="1:7" hidden="1">
      <c r="A35" s="1326">
        <v>2</v>
      </c>
      <c r="B35" s="1323" t="s">
        <v>1127</v>
      </c>
      <c r="C35" s="1323"/>
      <c r="D35" s="1323"/>
      <c r="E35" s="3224"/>
      <c r="F35" s="3224"/>
      <c r="G35" s="3224"/>
    </row>
    <row r="36" spans="1:7" hidden="1">
      <c r="A36" s="1326">
        <v>3</v>
      </c>
      <c r="B36" s="1323" t="s">
        <v>1128</v>
      </c>
      <c r="C36" s="1323"/>
      <c r="D36" s="1323"/>
      <c r="E36" s="3224"/>
      <c r="F36" s="3224"/>
      <c r="G36" s="3224"/>
    </row>
    <row r="37" spans="1:7" hidden="1">
      <c r="A37" s="1326">
        <v>4</v>
      </c>
      <c r="B37" s="1323" t="s">
        <v>1129</v>
      </c>
      <c r="C37" s="1323"/>
      <c r="D37" s="1323"/>
      <c r="E37" s="3224"/>
      <c r="F37" s="3224"/>
      <c r="G37" s="3224"/>
    </row>
    <row r="38" spans="1:7" hidden="1">
      <c r="A38" s="3225" t="s">
        <v>1130</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2527</v>
      </c>
      <c r="C1" s="1632" t="s">
        <v>2528</v>
      </c>
      <c r="D1" s="1619"/>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2533</v>
      </c>
      <c r="B4" s="402"/>
      <c r="C4" s="3171" t="s">
        <v>2534</v>
      </c>
      <c r="D4" s="3172"/>
      <c r="E4" s="3173" t="s">
        <v>2535</v>
      </c>
      <c r="F4" s="3174"/>
      <c r="G4" s="3171" t="s">
        <v>2536</v>
      </c>
      <c r="H4" s="3172"/>
      <c r="I4" s="3171" t="s">
        <v>2537</v>
      </c>
      <c r="J4" s="3172"/>
      <c r="K4" s="2596" t="s">
        <v>2538</v>
      </c>
      <c r="L4" s="1128"/>
      <c r="M4" s="1129"/>
      <c r="N4" s="1129"/>
      <c r="O4" s="1129"/>
      <c r="P4" s="3231" t="s">
        <v>2539</v>
      </c>
      <c r="Q4" s="3232"/>
      <c r="R4" s="3229" t="s">
        <v>2535</v>
      </c>
      <c r="S4" s="3230"/>
      <c r="T4" s="3229" t="s">
        <v>2536</v>
      </c>
      <c r="U4" s="3230"/>
      <c r="V4" s="3184" t="s">
        <v>2537</v>
      </c>
      <c r="W4" s="3184"/>
      <c r="X4" s="1811"/>
      <c r="Y4" s="3229" t="s">
        <v>2539</v>
      </c>
      <c r="Z4" s="3230"/>
      <c r="AA4" s="3228" t="s">
        <v>2535</v>
      </c>
      <c r="AB4" s="3228" t="s">
        <v>2536</v>
      </c>
      <c r="AC4" s="3228" t="s">
        <v>2537</v>
      </c>
    </row>
    <row r="5" spans="1:29" ht="15">
      <c r="A5" s="404"/>
      <c r="B5" s="405"/>
      <c r="C5" s="3161" t="s">
        <v>2540</v>
      </c>
      <c r="D5" s="3162"/>
      <c r="E5" s="3159" t="s">
        <v>2541</v>
      </c>
      <c r="F5" s="3160"/>
      <c r="G5" s="3161" t="s">
        <v>2542</v>
      </c>
      <c r="H5" s="3162"/>
      <c r="I5" s="3161" t="s">
        <v>2543</v>
      </c>
      <c r="J5" s="3162"/>
      <c r="K5" s="2597"/>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163" t="s">
        <v>2544</v>
      </c>
      <c r="D6" s="3164"/>
      <c r="E6" s="3165" t="s">
        <v>2544</v>
      </c>
      <c r="F6" s="3166"/>
      <c r="G6" s="3163" t="s">
        <v>2544</v>
      </c>
      <c r="H6" s="3164"/>
      <c r="I6" s="3163" t="s">
        <v>2544</v>
      </c>
      <c r="J6" s="3164"/>
      <c r="K6" s="2597"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53" t="s">
        <v>2547</v>
      </c>
      <c r="Q7" s="3186"/>
      <c r="R7" s="768" t="s">
        <v>23</v>
      </c>
      <c r="S7" s="769">
        <f t="shared" ref="S7:S15" si="0">F7</f>
        <v>0</v>
      </c>
      <c r="T7" s="768" t="s">
        <v>23</v>
      </c>
      <c r="U7" s="769">
        <f t="shared" ref="U7:U15" si="1">H7</f>
        <v>0</v>
      </c>
      <c r="V7" s="768" t="s">
        <v>23</v>
      </c>
      <c r="W7" s="769">
        <f t="shared" ref="W7:W15" si="2">J7</f>
        <v>0</v>
      </c>
      <c r="X7" s="770"/>
      <c r="Y7" s="3153" t="s">
        <v>2547</v>
      </c>
      <c r="Z7" s="3154"/>
      <c r="AA7" s="771" t="e">
        <f>D7/F7</f>
        <v>#DIV/0!</v>
      </c>
      <c r="AB7" s="771" t="e">
        <f>D7/H7</f>
        <v>#DIV/0!</v>
      </c>
      <c r="AC7" s="771"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53" t="s">
        <v>2550</v>
      </c>
      <c r="Q8" s="3154"/>
      <c r="R8" s="768" t="s">
        <v>23</v>
      </c>
      <c r="S8" s="769">
        <f t="shared" si="0"/>
        <v>0</v>
      </c>
      <c r="T8" s="768" t="s">
        <v>23</v>
      </c>
      <c r="U8" s="769">
        <f t="shared" si="1"/>
        <v>0</v>
      </c>
      <c r="V8" s="768" t="s">
        <v>23</v>
      </c>
      <c r="W8" s="769">
        <f t="shared" si="2"/>
        <v>0</v>
      </c>
      <c r="X8" s="770"/>
      <c r="Y8" s="3153" t="s">
        <v>2550</v>
      </c>
      <c r="Z8" s="3154"/>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67"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7"/>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67"/>
      <c r="Q11" s="1793" t="str">
        <f t="shared" si="6"/>
        <v>容积率</v>
      </c>
      <c r="R11" s="768" t="s">
        <v>21</v>
      </c>
      <c r="S11" s="769" t="e">
        <f t="shared" si="0"/>
        <v>#N/A</v>
      </c>
      <c r="T11" s="768" t="s">
        <v>21</v>
      </c>
      <c r="U11" s="769" t="e">
        <f t="shared" si="1"/>
        <v>#N/A</v>
      </c>
      <c r="V11" s="768" t="s">
        <v>21</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67"/>
      <c r="Q12" s="1793">
        <f t="shared" si="6"/>
        <v>111</v>
      </c>
      <c r="R12" s="768" t="s">
        <v>21</v>
      </c>
      <c r="S12" s="769">
        <f t="shared" si="0"/>
        <v>100</v>
      </c>
      <c r="T12" s="768" t="s">
        <v>21</v>
      </c>
      <c r="U12" s="769">
        <f t="shared" si="1"/>
        <v>100</v>
      </c>
      <c r="V12" s="768" t="s">
        <v>21</v>
      </c>
      <c r="W12" s="769">
        <f t="shared" si="2"/>
        <v>100</v>
      </c>
      <c r="X12" s="770"/>
      <c r="Y12" s="3027"/>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67"/>
      <c r="Q13" s="1793">
        <f t="shared" si="6"/>
        <v>111</v>
      </c>
      <c r="R13" s="768" t="s">
        <v>21</v>
      </c>
      <c r="S13" s="769">
        <f t="shared" si="0"/>
        <v>100</v>
      </c>
      <c r="T13" s="768" t="s">
        <v>21</v>
      </c>
      <c r="U13" s="769">
        <f t="shared" si="1"/>
        <v>100</v>
      </c>
      <c r="V13" s="768" t="s">
        <v>21</v>
      </c>
      <c r="W13" s="769">
        <f t="shared" si="2"/>
        <v>100</v>
      </c>
      <c r="X13" s="770"/>
      <c r="Y13" s="3027"/>
      <c r="Z13" s="55">
        <f t="shared" si="7"/>
        <v>111</v>
      </c>
      <c r="AA13" s="771">
        <f t="shared" si="3"/>
        <v>1</v>
      </c>
      <c r="AB13" s="771">
        <f t="shared" si="4"/>
        <v>1</v>
      </c>
      <c r="AC13" s="771">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67"/>
      <c r="Q14" s="1793">
        <f t="shared" si="6"/>
        <v>111</v>
      </c>
      <c r="R14" s="768" t="s">
        <v>21</v>
      </c>
      <c r="S14" s="769">
        <f t="shared" si="0"/>
        <v>100</v>
      </c>
      <c r="T14" s="768" t="s">
        <v>21</v>
      </c>
      <c r="U14" s="769">
        <f t="shared" si="1"/>
        <v>100</v>
      </c>
      <c r="V14" s="768" t="s">
        <v>21</v>
      </c>
      <c r="W14" s="769">
        <f t="shared" si="2"/>
        <v>100</v>
      </c>
      <c r="X14" s="770"/>
      <c r="Y14" s="3027"/>
      <c r="Z14" s="55">
        <f t="shared" si="7"/>
        <v>111</v>
      </c>
      <c r="AA14" s="771">
        <f t="shared" si="3"/>
        <v>1</v>
      </c>
      <c r="AB14" s="771">
        <f t="shared" si="4"/>
        <v>1</v>
      </c>
      <c r="AC14" s="771">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87" t="s">
        <v>2558</v>
      </c>
      <c r="Q15" s="1808" t="str">
        <f t="shared" si="6"/>
        <v>居住社区成熟度</v>
      </c>
      <c r="R15" s="772" t="s">
        <v>21</v>
      </c>
      <c r="S15" s="773">
        <f t="shared" si="0"/>
        <v>100</v>
      </c>
      <c r="T15" s="772" t="s">
        <v>21</v>
      </c>
      <c r="U15" s="773">
        <f t="shared" si="1"/>
        <v>100</v>
      </c>
      <c r="V15" s="772" t="s">
        <v>21</v>
      </c>
      <c r="W15" s="773">
        <f t="shared" si="2"/>
        <v>100</v>
      </c>
      <c r="X15" s="1811"/>
      <c r="Y15" s="3189" t="s">
        <v>2558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88"/>
      <c r="Q16" s="1808"/>
      <c r="R16" s="772"/>
      <c r="S16" s="773"/>
      <c r="T16" s="772"/>
      <c r="U16" s="773"/>
      <c r="V16" s="772"/>
      <c r="W16" s="773"/>
      <c r="X16" s="1811"/>
      <c r="Y16" s="3190"/>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88"/>
      <c r="Q17" s="1808" t="str">
        <f>B17</f>
        <v>交通便捷度</v>
      </c>
      <c r="R17" s="772" t="s">
        <v>21</v>
      </c>
      <c r="S17" s="773">
        <f>F17</f>
        <v>100</v>
      </c>
      <c r="T17" s="772" t="s">
        <v>21</v>
      </c>
      <c r="U17" s="773">
        <f>H17</f>
        <v>100</v>
      </c>
      <c r="V17" s="772" t="s">
        <v>21</v>
      </c>
      <c r="W17" s="773">
        <f>J17</f>
        <v>100</v>
      </c>
      <c r="X17" s="1811"/>
      <c r="Y17" s="3190"/>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88"/>
      <c r="Q18" s="1808"/>
      <c r="R18" s="772"/>
      <c r="S18" s="773"/>
      <c r="T18" s="772"/>
      <c r="U18" s="773"/>
      <c r="V18" s="772"/>
      <c r="W18" s="773"/>
      <c r="X18" s="1811"/>
      <c r="Y18" s="3190"/>
      <c r="Z18" s="1812"/>
      <c r="AA18" s="1809">
        <v>1</v>
      </c>
      <c r="AB18" s="1809">
        <v>1</v>
      </c>
      <c r="AC18" s="1809">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88"/>
      <c r="Q19" s="1808" t="str">
        <f>B19</f>
        <v>公共配套设施</v>
      </c>
      <c r="R19" s="772" t="s">
        <v>21</v>
      </c>
      <c r="S19" s="773">
        <f>F19</f>
        <v>100</v>
      </c>
      <c r="T19" s="772" t="s">
        <v>21</v>
      </c>
      <c r="U19" s="773">
        <f>H19</f>
        <v>100</v>
      </c>
      <c r="V19" s="772" t="s">
        <v>21</v>
      </c>
      <c r="W19" s="773">
        <f>J19</f>
        <v>100</v>
      </c>
      <c r="X19" s="1811"/>
      <c r="Y19" s="3190"/>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88"/>
      <c r="Q20" s="1808"/>
      <c r="R20" s="772"/>
      <c r="S20" s="773"/>
      <c r="T20" s="772"/>
      <c r="U20" s="773"/>
      <c r="V20" s="772"/>
      <c r="W20" s="773"/>
      <c r="X20" s="1811"/>
      <c r="Y20" s="3190"/>
      <c r="Z20" s="1812"/>
      <c r="AA20" s="1809">
        <v>1</v>
      </c>
      <c r="AB20" s="1809">
        <v>1</v>
      </c>
      <c r="AC20" s="1809">
        <v>1</v>
      </c>
    </row>
    <row r="21" spans="1:29" ht="28.5">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88"/>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88"/>
      <c r="Q22" s="1808"/>
      <c r="R22" s="772"/>
      <c r="S22" s="773"/>
      <c r="T22" s="772"/>
      <c r="U22" s="773"/>
      <c r="V22" s="772"/>
      <c r="W22" s="773"/>
      <c r="X22" s="1811"/>
      <c r="Y22" s="3190"/>
      <c r="Z22" s="1812"/>
      <c r="AA22" s="1809">
        <v>1</v>
      </c>
      <c r="AB22" s="1809">
        <v>1</v>
      </c>
      <c r="AC22" s="1809">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88"/>
      <c r="Q23" s="1808" t="str">
        <f>B23</f>
        <v>自然及人文环境</v>
      </c>
      <c r="R23" s="772" t="s">
        <v>21</v>
      </c>
      <c r="S23" s="773">
        <f>F23</f>
        <v>100</v>
      </c>
      <c r="T23" s="772" t="s">
        <v>21</v>
      </c>
      <c r="U23" s="773">
        <f>H23</f>
        <v>100</v>
      </c>
      <c r="V23" s="772" t="s">
        <v>21</v>
      </c>
      <c r="W23" s="773">
        <f>J23</f>
        <v>100</v>
      </c>
      <c r="X23" s="1811"/>
      <c r="Y23" s="3190"/>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88"/>
      <c r="Q24" s="1808"/>
      <c r="R24" s="772"/>
      <c r="S24" s="773"/>
      <c r="T24" s="772"/>
      <c r="U24" s="773"/>
      <c r="V24" s="772"/>
      <c r="W24" s="773"/>
      <c r="X24" s="1811"/>
      <c r="Y24" s="3190"/>
      <c r="Z24" s="1812"/>
      <c r="AA24" s="1809">
        <v>1</v>
      </c>
      <c r="AB24" s="1809">
        <v>1</v>
      </c>
      <c r="AC24" s="1809">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8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90"/>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88"/>
      <c r="Q26" s="1808" t="str">
        <f t="shared" si="11"/>
        <v>朝向</v>
      </c>
      <c r="R26" s="772" t="s">
        <v>21</v>
      </c>
      <c r="S26" s="773">
        <f t="shared" si="12"/>
        <v>100</v>
      </c>
      <c r="T26" s="772" t="s">
        <v>21</v>
      </c>
      <c r="U26" s="773">
        <f t="shared" si="13"/>
        <v>100</v>
      </c>
      <c r="V26" s="772" t="s">
        <v>21</v>
      </c>
      <c r="W26" s="773">
        <f t="shared" si="14"/>
        <v>100</v>
      </c>
      <c r="X26" s="1811"/>
      <c r="Y26" s="319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88"/>
      <c r="Q27" s="1793">
        <f t="shared" si="11"/>
        <v>111</v>
      </c>
      <c r="R27" s="768" t="s">
        <v>21</v>
      </c>
      <c r="S27" s="769">
        <f t="shared" si="12"/>
        <v>100</v>
      </c>
      <c r="T27" s="768" t="s">
        <v>21</v>
      </c>
      <c r="U27" s="769">
        <f t="shared" si="13"/>
        <v>100</v>
      </c>
      <c r="V27" s="768" t="s">
        <v>21</v>
      </c>
      <c r="W27" s="769">
        <f t="shared" si="14"/>
        <v>100</v>
      </c>
      <c r="X27" s="770"/>
      <c r="Y27" s="319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88"/>
      <c r="Q28" s="1808">
        <f t="shared" si="11"/>
        <v>111</v>
      </c>
      <c r="R28" s="772" t="s">
        <v>21</v>
      </c>
      <c r="S28" s="773">
        <f t="shared" si="12"/>
        <v>100</v>
      </c>
      <c r="T28" s="772" t="s">
        <v>21</v>
      </c>
      <c r="U28" s="773">
        <f t="shared" si="13"/>
        <v>100</v>
      </c>
      <c r="V28" s="772" t="s">
        <v>21</v>
      </c>
      <c r="W28" s="773">
        <f t="shared" si="14"/>
        <v>100</v>
      </c>
      <c r="X28" s="1811"/>
      <c r="Y28" s="319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88"/>
      <c r="Q29" s="1808">
        <f t="shared" si="11"/>
        <v>111</v>
      </c>
      <c r="R29" s="772" t="s">
        <v>21</v>
      </c>
      <c r="S29" s="773">
        <f t="shared" si="12"/>
        <v>100</v>
      </c>
      <c r="T29" s="772" t="s">
        <v>21</v>
      </c>
      <c r="U29" s="773">
        <f t="shared" si="13"/>
        <v>100</v>
      </c>
      <c r="V29" s="772" t="s">
        <v>21</v>
      </c>
      <c r="W29" s="773">
        <f t="shared" si="14"/>
        <v>100</v>
      </c>
      <c r="X29" s="1811"/>
      <c r="Y29" s="319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88"/>
      <c r="Q30" s="1808">
        <f t="shared" si="11"/>
        <v>111</v>
      </c>
      <c r="R30" s="772" t="s">
        <v>21</v>
      </c>
      <c r="S30" s="773">
        <f t="shared" si="12"/>
        <v>100</v>
      </c>
      <c r="T30" s="772" t="s">
        <v>21</v>
      </c>
      <c r="U30" s="773">
        <f t="shared" si="13"/>
        <v>100</v>
      </c>
      <c r="V30" s="772" t="s">
        <v>21</v>
      </c>
      <c r="W30" s="773">
        <f t="shared" si="14"/>
        <v>100</v>
      </c>
      <c r="X30" s="1811"/>
      <c r="Y30" s="319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88"/>
      <c r="Q31" s="1808">
        <f t="shared" si="11"/>
        <v>111</v>
      </c>
      <c r="R31" s="772" t="s">
        <v>21</v>
      </c>
      <c r="S31" s="773">
        <f t="shared" si="12"/>
        <v>100</v>
      </c>
      <c r="T31" s="772" t="s">
        <v>21</v>
      </c>
      <c r="U31" s="773">
        <f t="shared" si="13"/>
        <v>100</v>
      </c>
      <c r="V31" s="772" t="s">
        <v>21</v>
      </c>
      <c r="W31" s="773">
        <f t="shared" si="14"/>
        <v>100</v>
      </c>
      <c r="X31" s="1811"/>
      <c r="Y31" s="3190"/>
      <c r="Z31" s="1812">
        <f t="shared" si="18"/>
        <v>111</v>
      </c>
      <c r="AA31" s="1809">
        <f t="shared" si="15"/>
        <v>1</v>
      </c>
      <c r="AB31" s="1809">
        <f t="shared" si="16"/>
        <v>1</v>
      </c>
      <c r="AC31" s="1809">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91" t="s">
        <v>2563</v>
      </c>
      <c r="Q32" s="1808" t="str">
        <f t="shared" si="11"/>
        <v>建筑类型</v>
      </c>
      <c r="R32" s="772" t="s">
        <v>21</v>
      </c>
      <c r="S32" s="773">
        <f t="shared" si="12"/>
        <v>100</v>
      </c>
      <c r="T32" s="772" t="s">
        <v>21</v>
      </c>
      <c r="U32" s="773">
        <f t="shared" si="13"/>
        <v>100</v>
      </c>
      <c r="V32" s="772" t="s">
        <v>21</v>
      </c>
      <c r="W32" s="773">
        <f t="shared" si="14"/>
        <v>100</v>
      </c>
      <c r="X32" s="1811"/>
      <c r="Y32" s="3194"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92"/>
      <c r="Q33" s="774" t="str">
        <f t="shared" si="11"/>
        <v>项目建筑规模</v>
      </c>
      <c r="R33" s="775" t="s">
        <v>21</v>
      </c>
      <c r="S33" s="776" t="e">
        <f t="shared" si="12"/>
        <v>#N/A</v>
      </c>
      <c r="T33" s="775" t="s">
        <v>21</v>
      </c>
      <c r="U33" s="776" t="e">
        <f t="shared" si="13"/>
        <v>#N/A</v>
      </c>
      <c r="V33" s="775" t="s">
        <v>21</v>
      </c>
      <c r="W33" s="776" t="e">
        <f t="shared" si="14"/>
        <v>#N/A</v>
      </c>
      <c r="X33" s="777"/>
      <c r="Y33" s="3194"/>
      <c r="Z33" s="778" t="str">
        <f t="shared" si="18"/>
        <v>项目建筑规模</v>
      </c>
      <c r="AA33" s="1809" t="e">
        <f t="shared" si="15"/>
        <v>#N/A</v>
      </c>
      <c r="AB33" s="1809" t="e">
        <f t="shared" si="16"/>
        <v>#N/A</v>
      </c>
      <c r="AC33" s="1809"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92"/>
      <c r="Q34" s="1808" t="str">
        <f t="shared" si="11"/>
        <v>建筑结构</v>
      </c>
      <c r="R34" s="772" t="s">
        <v>21</v>
      </c>
      <c r="S34" s="773">
        <f t="shared" si="12"/>
        <v>100</v>
      </c>
      <c r="T34" s="772" t="s">
        <v>21</v>
      </c>
      <c r="U34" s="773">
        <f t="shared" si="13"/>
        <v>100</v>
      </c>
      <c r="V34" s="772" t="s">
        <v>21</v>
      </c>
      <c r="W34" s="773">
        <f t="shared" si="14"/>
        <v>100</v>
      </c>
      <c r="X34" s="1811"/>
      <c r="Y34" s="3194"/>
      <c r="Z34" s="1812" t="str">
        <f t="shared" si="18"/>
        <v>建筑结构</v>
      </c>
      <c r="AA34" s="1809">
        <f t="shared" si="15"/>
        <v>1</v>
      </c>
      <c r="AB34" s="1809">
        <f t="shared" si="16"/>
        <v>1</v>
      </c>
      <c r="AC34" s="1809">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92"/>
      <c r="Q35" s="1808" t="str">
        <f t="shared" si="11"/>
        <v>建筑品质</v>
      </c>
      <c r="R35" s="772" t="s">
        <v>21</v>
      </c>
      <c r="S35" s="773">
        <f t="shared" si="12"/>
        <v>100</v>
      </c>
      <c r="T35" s="772" t="s">
        <v>21</v>
      </c>
      <c r="U35" s="773">
        <f t="shared" si="13"/>
        <v>100</v>
      </c>
      <c r="V35" s="772" t="s">
        <v>21</v>
      </c>
      <c r="W35" s="773">
        <f t="shared" si="14"/>
        <v>100</v>
      </c>
      <c r="X35" s="1811"/>
      <c r="Y35" s="3194"/>
      <c r="Z35" s="1812" t="str">
        <f t="shared" si="18"/>
        <v>建筑品质</v>
      </c>
      <c r="AA35" s="1809">
        <f t="shared" si="15"/>
        <v>1</v>
      </c>
      <c r="AB35" s="1809">
        <f t="shared" si="16"/>
        <v>1</v>
      </c>
      <c r="AC35" s="1809">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92"/>
      <c r="Q36" s="1808" t="str">
        <f t="shared" si="11"/>
        <v>公共部分装修</v>
      </c>
      <c r="R36" s="772" t="s">
        <v>21</v>
      </c>
      <c r="S36" s="773">
        <f t="shared" si="12"/>
        <v>100</v>
      </c>
      <c r="T36" s="772" t="s">
        <v>21</v>
      </c>
      <c r="U36" s="773">
        <f t="shared" si="13"/>
        <v>100</v>
      </c>
      <c r="V36" s="772" t="s">
        <v>21</v>
      </c>
      <c r="W36" s="773">
        <f t="shared" si="14"/>
        <v>100</v>
      </c>
      <c r="X36" s="1811"/>
      <c r="Y36" s="3194"/>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2"/>
      <c r="Q37" s="1793" t="str">
        <f t="shared" si="11"/>
        <v>成新度</v>
      </c>
      <c r="R37" s="768" t="s">
        <v>21</v>
      </c>
      <c r="S37" s="769" t="e">
        <f t="shared" si="12"/>
        <v>#N/A</v>
      </c>
      <c r="T37" s="768" t="s">
        <v>21</v>
      </c>
      <c r="U37" s="769" t="e">
        <f t="shared" si="13"/>
        <v>#N/A</v>
      </c>
      <c r="V37" s="768" t="s">
        <v>21</v>
      </c>
      <c r="W37" s="769" t="e">
        <f t="shared" si="14"/>
        <v>#N/A</v>
      </c>
      <c r="X37" s="770"/>
      <c r="Y37" s="3194"/>
      <c r="Z37" s="55" t="str">
        <f t="shared" si="18"/>
        <v>成新度</v>
      </c>
      <c r="AA37" s="771" t="e">
        <f t="shared" si="15"/>
        <v>#N/A</v>
      </c>
      <c r="AB37" s="771" t="e">
        <f t="shared" si="16"/>
        <v>#N/A</v>
      </c>
      <c r="AC37" s="771"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92" t="s">
        <v>2563</v>
      </c>
      <c r="Q38" s="1808" t="str">
        <f t="shared" si="11"/>
        <v>物业管理</v>
      </c>
      <c r="R38" s="772" t="s">
        <v>21</v>
      </c>
      <c r="S38" s="773">
        <f t="shared" si="12"/>
        <v>100</v>
      </c>
      <c r="T38" s="772" t="s">
        <v>21</v>
      </c>
      <c r="U38" s="773">
        <f t="shared" si="13"/>
        <v>100</v>
      </c>
      <c r="V38" s="772" t="s">
        <v>21</v>
      </c>
      <c r="W38" s="773">
        <f t="shared" si="14"/>
        <v>100</v>
      </c>
      <c r="X38" s="1811"/>
      <c r="Y38" s="3194" t="s">
        <v>2563</v>
      </c>
      <c r="Z38" s="1812" t="str">
        <f t="shared" si="18"/>
        <v>物业管理</v>
      </c>
      <c r="AA38" s="1809">
        <f t="shared" si="15"/>
        <v>1</v>
      </c>
      <c r="AB38" s="1809">
        <f t="shared" si="16"/>
        <v>1</v>
      </c>
      <c r="AC38" s="1809">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92"/>
      <c r="Q39" s="1808" t="str">
        <f t="shared" si="11"/>
        <v>市政基础设施</v>
      </c>
      <c r="R39" s="772" t="s">
        <v>21</v>
      </c>
      <c r="S39" s="773">
        <f t="shared" si="12"/>
        <v>100</v>
      </c>
      <c r="T39" s="772" t="s">
        <v>21</v>
      </c>
      <c r="U39" s="773">
        <f t="shared" si="13"/>
        <v>100</v>
      </c>
      <c r="V39" s="772" t="s">
        <v>21</v>
      </c>
      <c r="W39" s="773">
        <f t="shared" si="14"/>
        <v>100</v>
      </c>
      <c r="X39" s="1811"/>
      <c r="Y39" s="3194"/>
      <c r="Z39" s="1812" t="str">
        <f t="shared" si="18"/>
        <v>市政基础设施</v>
      </c>
      <c r="AA39" s="1809">
        <f t="shared" si="15"/>
        <v>1</v>
      </c>
      <c r="AB39" s="1809">
        <f t="shared" si="16"/>
        <v>1</v>
      </c>
      <c r="AC39" s="1809">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92"/>
      <c r="Q40" s="1808" t="str">
        <f t="shared" si="11"/>
        <v>房型</v>
      </c>
      <c r="R40" s="772" t="s">
        <v>21</v>
      </c>
      <c r="S40" s="773">
        <f t="shared" si="12"/>
        <v>100</v>
      </c>
      <c r="T40" s="772" t="s">
        <v>21</v>
      </c>
      <c r="U40" s="773">
        <f t="shared" si="13"/>
        <v>100</v>
      </c>
      <c r="V40" s="772" t="s">
        <v>21</v>
      </c>
      <c r="W40" s="773">
        <f t="shared" si="14"/>
        <v>100</v>
      </c>
      <c r="X40" s="1811"/>
      <c r="Y40" s="3194"/>
      <c r="Z40" s="1812" t="str">
        <f t="shared" si="18"/>
        <v>房型</v>
      </c>
      <c r="AA40" s="1809">
        <f t="shared" si="15"/>
        <v>1</v>
      </c>
      <c r="AB40" s="1809">
        <f t="shared" si="16"/>
        <v>1</v>
      </c>
      <c r="AC40" s="1809">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92"/>
      <c r="Q41" s="774" t="str">
        <f t="shared" si="11"/>
        <v>单套/主力户型建筑面积</v>
      </c>
      <c r="R41" s="775" t="s">
        <v>21</v>
      </c>
      <c r="S41" s="776">
        <f t="shared" si="12"/>
        <v>100</v>
      </c>
      <c r="T41" s="775" t="s">
        <v>21</v>
      </c>
      <c r="U41" s="776">
        <f t="shared" si="13"/>
        <v>100</v>
      </c>
      <c r="V41" s="775" t="s">
        <v>21</v>
      </c>
      <c r="W41" s="776">
        <f t="shared" si="14"/>
        <v>100</v>
      </c>
      <c r="X41" s="777"/>
      <c r="Y41" s="3194"/>
      <c r="Z41" s="778" t="str">
        <f t="shared" si="18"/>
        <v>单套/主力户型建筑面积</v>
      </c>
      <c r="AA41" s="1809">
        <f t="shared" si="15"/>
        <v>1</v>
      </c>
      <c r="AB41" s="1809">
        <f t="shared" si="16"/>
        <v>1</v>
      </c>
      <c r="AC41" s="1809">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92"/>
      <c r="Q42" s="1808" t="str">
        <f t="shared" si="11"/>
        <v>内部装修</v>
      </c>
      <c r="R42" s="772" t="s">
        <v>21</v>
      </c>
      <c r="S42" s="773">
        <f t="shared" si="12"/>
        <v>100</v>
      </c>
      <c r="T42" s="772" t="s">
        <v>21</v>
      </c>
      <c r="U42" s="773">
        <f t="shared" si="13"/>
        <v>100</v>
      </c>
      <c r="V42" s="772" t="s">
        <v>21</v>
      </c>
      <c r="W42" s="773">
        <f t="shared" si="14"/>
        <v>100</v>
      </c>
      <c r="X42" s="1811"/>
      <c r="Y42" s="3194"/>
      <c r="Z42" s="1812" t="str">
        <f t="shared" si="18"/>
        <v>内部装修</v>
      </c>
      <c r="AA42" s="1809">
        <f t="shared" si="15"/>
        <v>1</v>
      </c>
      <c r="AB42" s="1809">
        <f t="shared" si="16"/>
        <v>1</v>
      </c>
      <c r="AC42" s="1809">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92"/>
      <c r="Q43" s="1808" t="str">
        <f t="shared" si="11"/>
        <v>内部装修维护情况</v>
      </c>
      <c r="R43" s="772" t="s">
        <v>21</v>
      </c>
      <c r="S43" s="773">
        <f t="shared" si="12"/>
        <v>100</v>
      </c>
      <c r="T43" s="772" t="s">
        <v>21</v>
      </c>
      <c r="U43" s="773">
        <f t="shared" si="13"/>
        <v>100</v>
      </c>
      <c r="V43" s="772" t="s">
        <v>21</v>
      </c>
      <c r="W43" s="773">
        <f t="shared" si="14"/>
        <v>100</v>
      </c>
      <c r="X43" s="1811"/>
      <c r="Y43" s="319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92"/>
      <c r="Q44" s="1793">
        <f t="shared" si="11"/>
        <v>111</v>
      </c>
      <c r="R44" s="768" t="s">
        <v>21</v>
      </c>
      <c r="S44" s="769">
        <f t="shared" si="12"/>
        <v>100</v>
      </c>
      <c r="T44" s="768" t="s">
        <v>21</v>
      </c>
      <c r="U44" s="769">
        <f t="shared" si="13"/>
        <v>100</v>
      </c>
      <c r="V44" s="768" t="s">
        <v>21</v>
      </c>
      <c r="W44" s="769">
        <f t="shared" si="14"/>
        <v>100</v>
      </c>
      <c r="X44" s="770"/>
      <c r="Y44" s="3194"/>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92"/>
      <c r="Q45" s="1808">
        <f t="shared" si="11"/>
        <v>111</v>
      </c>
      <c r="R45" s="772" t="s">
        <v>21</v>
      </c>
      <c r="S45" s="773">
        <f t="shared" si="12"/>
        <v>100</v>
      </c>
      <c r="T45" s="772" t="s">
        <v>21</v>
      </c>
      <c r="U45" s="773">
        <f t="shared" si="13"/>
        <v>100</v>
      </c>
      <c r="V45" s="772" t="s">
        <v>21</v>
      </c>
      <c r="W45" s="773">
        <f t="shared" si="14"/>
        <v>100</v>
      </c>
      <c r="X45" s="1811"/>
      <c r="Y45" s="3194"/>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93"/>
      <c r="Q46" s="1808">
        <f t="shared" si="11"/>
        <v>111</v>
      </c>
      <c r="R46" s="772" t="s">
        <v>20</v>
      </c>
      <c r="S46" s="773">
        <f t="shared" si="12"/>
        <v>100</v>
      </c>
      <c r="T46" s="772" t="s">
        <v>20</v>
      </c>
      <c r="U46" s="773">
        <f t="shared" si="13"/>
        <v>100</v>
      </c>
      <c r="V46" s="772" t="s">
        <v>20</v>
      </c>
      <c r="W46" s="773">
        <f t="shared" si="14"/>
        <v>100</v>
      </c>
      <c r="X46" s="1811"/>
      <c r="Y46" s="3195"/>
      <c r="Z46" s="1812">
        <f t="shared" si="18"/>
        <v>111</v>
      </c>
      <c r="AA46" s="1809">
        <f t="shared" si="15"/>
        <v>1</v>
      </c>
      <c r="AB46" s="1809">
        <f t="shared" si="16"/>
        <v>1</v>
      </c>
      <c r="AC46" s="1809">
        <f t="shared" si="17"/>
        <v>1</v>
      </c>
    </row>
    <row r="47" spans="1:29" ht="15">
      <c r="A47" s="479" t="s">
        <v>2575</v>
      </c>
      <c r="B47" s="480"/>
      <c r="C47" s="1405" t="s">
        <v>19</v>
      </c>
      <c r="D47" s="1406"/>
      <c r="E47" s="1407"/>
      <c r="F47" s="1408"/>
      <c r="G47" s="1409"/>
      <c r="H47" s="1410"/>
      <c r="I47" s="1407"/>
      <c r="J47" s="1410"/>
      <c r="K47" s="2621"/>
      <c r="L47" s="1141"/>
      <c r="M47" s="1142"/>
      <c r="N47" s="1129"/>
      <c r="O47" s="1142"/>
      <c r="P47" s="3196" t="str">
        <f>A47</f>
        <v>成交单价（元/平方米）</v>
      </c>
      <c r="Q47" s="3196"/>
      <c r="R47" s="3197">
        <f>E47</f>
        <v>0</v>
      </c>
      <c r="S47" s="3197"/>
      <c r="T47" s="3197">
        <f>G47</f>
        <v>0</v>
      </c>
      <c r="U47" s="3197"/>
      <c r="V47" s="3197">
        <f>I47</f>
        <v>0</v>
      </c>
      <c r="W47" s="3197"/>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22"/>
      <c r="L48" s="1141"/>
      <c r="M48" s="1142"/>
      <c r="N48" s="1142"/>
      <c r="O48" s="1142"/>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3"/>
      <c r="L49" s="1141"/>
      <c r="M49" s="1142"/>
      <c r="N49" s="1142"/>
      <c r="O49" s="1142"/>
      <c r="P49" s="3235" t="str">
        <f>A49</f>
        <v>估价对象XX用房的比较价值（楼面单价，元/平方米）</v>
      </c>
      <c r="Q49" s="3236"/>
      <c r="R49" s="3237" t="e">
        <f>IF(F1="售价",ROUND(AVERAGE(R48:V48),0),ROUND(AVERAGE(R48:V48),1))</f>
        <v>#DIV/0!</v>
      </c>
      <c r="S49" s="3237"/>
      <c r="T49" s="3237"/>
      <c r="U49" s="3237"/>
      <c r="V49" s="3237"/>
      <c r="W49" s="323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6"/>
      <c r="Q57" s="504"/>
    </row>
    <row r="58" spans="1:29" s="508" customFormat="1" ht="15">
      <c r="A58" s="505" t="s">
        <v>2582</v>
      </c>
      <c r="B58" s="506"/>
      <c r="C58" s="1574" t="str">
        <f>YEAR(C7)&amp;"-"&amp;MONTH(C7)</f>
        <v>2020-6</v>
      </c>
      <c r="D58" s="1573">
        <f>EDATE(C58,-1)</f>
        <v>43952</v>
      </c>
      <c r="E58" s="1573">
        <f>EDATE(D58,-1)</f>
        <v>43922</v>
      </c>
      <c r="F58" s="1573">
        <f t="shared" ref="F58:O58" si="19">EDATE(E58,-1)</f>
        <v>43891</v>
      </c>
      <c r="G58" s="1573">
        <f t="shared" si="19"/>
        <v>43862</v>
      </c>
      <c r="H58" s="1573">
        <f t="shared" si="19"/>
        <v>43831</v>
      </c>
      <c r="I58" s="1573">
        <f t="shared" si="19"/>
        <v>43800</v>
      </c>
      <c r="J58" s="1573">
        <f t="shared" si="19"/>
        <v>43770</v>
      </c>
      <c r="K58" s="1573">
        <f t="shared" si="19"/>
        <v>43739</v>
      </c>
      <c r="L58" s="1573">
        <f t="shared" si="19"/>
        <v>43709</v>
      </c>
      <c r="M58" s="1573">
        <f t="shared" si="19"/>
        <v>43678</v>
      </c>
      <c r="N58" s="1573">
        <f t="shared" si="19"/>
        <v>43647</v>
      </c>
      <c r="O58" s="1573">
        <f t="shared" si="19"/>
        <v>43617</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2608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2609</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2561</v>
      </c>
      <c r="B100" s="528" t="s">
        <v>2610</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2613</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2614</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2617</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5">
        <f>ROUNDUP((J139-1)/2,0)</f>
        <v>10</v>
      </c>
      <c r="K140" s="1093">
        <v>100</v>
      </c>
    </row>
    <row r="141" spans="1:17" ht="15">
      <c r="B141" s="1088">
        <v>4</v>
      </c>
      <c r="C141" s="1089">
        <v>102</v>
      </c>
      <c r="D141" s="1089"/>
      <c r="E141" s="1090"/>
      <c r="F141" s="1091">
        <v>101.5</v>
      </c>
      <c r="G141" s="1089"/>
      <c r="H141" s="1092"/>
      <c r="I141" s="2650" t="s">
        <v>2632</v>
      </c>
      <c r="J141" s="315">
        <v>1</v>
      </c>
      <c r="K141" s="1094">
        <f>ROUND(100+(J141-J140)*K139*100,1)</f>
        <v>96.4</v>
      </c>
    </row>
    <row r="142" spans="1:17" ht="15">
      <c r="B142" s="1088">
        <v>3</v>
      </c>
      <c r="C142" s="1089">
        <v>103</v>
      </c>
      <c r="D142" s="1089"/>
      <c r="E142" s="1090"/>
      <c r="F142" s="1091">
        <v>101</v>
      </c>
      <c r="G142" s="1089"/>
      <c r="H142" s="1092"/>
      <c r="I142" s="2650" t="s">
        <v>2633</v>
      </c>
      <c r="J142" s="315">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5.75"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2640</v>
      </c>
      <c r="C1" s="1632" t="s">
        <v>2528</v>
      </c>
      <c r="D1" s="1619"/>
      <c r="E1" s="2657"/>
      <c r="F1" s="2584"/>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2325</v>
      </c>
      <c r="B2" s="1416" t="e">
        <f ca="1">IF(C2="——",ROUND(C49*D3/10000,0),ROUND(C49*D3/10000,0)-D2)</f>
        <v>#DIV/0!</v>
      </c>
      <c r="C2" s="2586"/>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2327</v>
      </c>
      <c r="B3" s="609" t="e">
        <f ca="1">IF(C2="——",C49,ROUND(B2*10000/D3,0))</f>
        <v>#DIV/0!</v>
      </c>
      <c r="C3" s="400" t="s">
        <v>2642</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84"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84"/>
      <c r="AC5" s="3151"/>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84"/>
      <c r="AC6" s="3152"/>
    </row>
    <row r="7" spans="1:29" s="117" customFormat="1" ht="15.75" thickBot="1">
      <c r="A7" s="408" t="s">
        <v>2546</v>
      </c>
      <c r="B7" s="409"/>
      <c r="C7" s="410">
        <f>'数据-取费表'!B2</f>
        <v>44011</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53" t="s">
        <v>2547</v>
      </c>
      <c r="Q7" s="3186"/>
      <c r="R7" s="768" t="s">
        <v>17</v>
      </c>
      <c r="S7" s="769">
        <f t="shared" ref="S7:S15" si="0">F7</f>
        <v>0</v>
      </c>
      <c r="T7" s="768" t="s">
        <v>17</v>
      </c>
      <c r="U7" s="769">
        <f t="shared" ref="U7:U15" si="1">H7</f>
        <v>0</v>
      </c>
      <c r="V7" s="768" t="s">
        <v>17</v>
      </c>
      <c r="W7" s="769">
        <f t="shared" ref="W7:W15" si="2">J7</f>
        <v>0</v>
      </c>
      <c r="X7" s="770"/>
      <c r="Y7" s="3153" t="s">
        <v>2547</v>
      </c>
      <c r="Z7" s="3154"/>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67"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67"/>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67"/>
      <c r="Q11" s="1793"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67"/>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67"/>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67"/>
      <c r="Q14" s="1793">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87" t="s">
        <v>2558</v>
      </c>
      <c r="Q15" s="1808" t="str">
        <f t="shared" si="6"/>
        <v>商业繁华度</v>
      </c>
      <c r="R15" s="772" t="s">
        <v>17</v>
      </c>
      <c r="S15" s="773">
        <f t="shared" si="0"/>
        <v>100</v>
      </c>
      <c r="T15" s="772" t="s">
        <v>17</v>
      </c>
      <c r="U15" s="773">
        <f t="shared" si="1"/>
        <v>100</v>
      </c>
      <c r="V15" s="772" t="s">
        <v>17</v>
      </c>
      <c r="W15" s="773">
        <f t="shared" si="2"/>
        <v>100</v>
      </c>
      <c r="X15" s="1811"/>
      <c r="Y15" s="3189"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88"/>
      <c r="Q16" s="1808"/>
      <c r="R16" s="772"/>
      <c r="S16" s="773"/>
      <c r="T16" s="772"/>
      <c r="U16" s="773"/>
      <c r="V16" s="772"/>
      <c r="W16" s="773"/>
      <c r="X16" s="1811"/>
      <c r="Y16" s="3190"/>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88"/>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88"/>
      <c r="Q18" s="1808"/>
      <c r="R18" s="772"/>
      <c r="S18" s="773"/>
      <c r="T18" s="772"/>
      <c r="U18" s="773"/>
      <c r="V18" s="772"/>
      <c r="W18" s="773"/>
      <c r="X18" s="1811"/>
      <c r="Y18" s="3190"/>
      <c r="Z18" s="1812"/>
      <c r="AA18" s="1809">
        <v>1</v>
      </c>
      <c r="AB18" s="1809">
        <v>1</v>
      </c>
      <c r="AC18" s="1809">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88"/>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88"/>
      <c r="Q20" s="1808"/>
      <c r="R20" s="772"/>
      <c r="S20" s="773"/>
      <c r="T20" s="772"/>
      <c r="U20" s="773"/>
      <c r="V20" s="772"/>
      <c r="W20" s="773"/>
      <c r="X20" s="1811"/>
      <c r="Y20" s="3190"/>
      <c r="Z20" s="1812"/>
      <c r="AA20" s="1809">
        <v>1</v>
      </c>
      <c r="AB20" s="1809">
        <v>1</v>
      </c>
      <c r="AC20" s="1809">
        <v>1</v>
      </c>
    </row>
    <row r="21" spans="1:29" ht="28.5">
      <c r="A21" s="428"/>
      <c r="B21" s="1382"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88"/>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88"/>
      <c r="Q22" s="1808"/>
      <c r="R22" s="772"/>
      <c r="S22" s="773"/>
      <c r="T22" s="772"/>
      <c r="U22" s="773"/>
      <c r="V22" s="772"/>
      <c r="W22" s="773"/>
      <c r="X22" s="1811"/>
      <c r="Y22" s="3190"/>
      <c r="Z22" s="1812"/>
      <c r="AA22" s="1809">
        <v>1</v>
      </c>
      <c r="AB22" s="1809">
        <v>1</v>
      </c>
      <c r="AC22" s="1809">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88"/>
      <c r="Q23" s="1808" t="str">
        <f>B23</f>
        <v>自然及人文环境</v>
      </c>
      <c r="R23" s="772" t="s">
        <v>17</v>
      </c>
      <c r="S23" s="773">
        <f>F23</f>
        <v>100</v>
      </c>
      <c r="T23" s="772" t="s">
        <v>17</v>
      </c>
      <c r="U23" s="773">
        <f>H23</f>
        <v>100</v>
      </c>
      <c r="V23" s="772" t="s">
        <v>17</v>
      </c>
      <c r="W23" s="773">
        <f>J23</f>
        <v>100</v>
      </c>
      <c r="X23" s="1811"/>
      <c r="Y23" s="3190"/>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88"/>
      <c r="Q24" s="1808"/>
      <c r="R24" s="772"/>
      <c r="S24" s="773"/>
      <c r="T24" s="772"/>
      <c r="U24" s="773"/>
      <c r="V24" s="772"/>
      <c r="W24" s="773"/>
      <c r="X24" s="1811"/>
      <c r="Y24" s="3190"/>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88"/>
      <c r="Q25" s="1808" t="str">
        <f t="shared" ref="Q25:Q46" si="11">B25</f>
        <v>临街状况</v>
      </c>
      <c r="R25" s="772" t="s">
        <v>17</v>
      </c>
      <c r="S25" s="773">
        <f>F25</f>
        <v>100</v>
      </c>
      <c r="T25" s="772" t="s">
        <v>17</v>
      </c>
      <c r="U25" s="773">
        <f>H25</f>
        <v>100</v>
      </c>
      <c r="V25" s="772" t="s">
        <v>17</v>
      </c>
      <c r="W25" s="773">
        <f>J25</f>
        <v>100</v>
      </c>
      <c r="X25" s="1811"/>
      <c r="Y25" s="3190"/>
      <c r="Z25" s="1812" t="str">
        <f>Q25</f>
        <v>临街状况</v>
      </c>
      <c r="AA25" s="1809">
        <f t="shared" si="3"/>
        <v>1</v>
      </c>
      <c r="AB25" s="1809">
        <f t="shared" si="4"/>
        <v>1</v>
      </c>
      <c r="AC25" s="1809">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88"/>
      <c r="Q26" s="1808" t="str">
        <f t="shared" si="11"/>
        <v>平面位置/可视性</v>
      </c>
      <c r="R26" s="772" t="s">
        <v>17</v>
      </c>
      <c r="S26" s="773">
        <f>F26</f>
        <v>100</v>
      </c>
      <c r="T26" s="772" t="s">
        <v>17</v>
      </c>
      <c r="U26" s="773">
        <f>H26</f>
        <v>100</v>
      </c>
      <c r="V26" s="772" t="s">
        <v>17</v>
      </c>
      <c r="W26" s="773">
        <f>J26</f>
        <v>100</v>
      </c>
      <c r="X26" s="1811"/>
      <c r="Y26" s="3190"/>
      <c r="Z26" s="1812" t="str">
        <f>Q26</f>
        <v>平面位置/可视性</v>
      </c>
      <c r="AA26" s="1809">
        <f t="shared" si="3"/>
        <v>1</v>
      </c>
      <c r="AB26" s="1809">
        <f t="shared" si="4"/>
        <v>1</v>
      </c>
      <c r="AC26" s="1809">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88"/>
      <c r="Q27" s="1793" t="str">
        <f t="shared" si="11"/>
        <v>人流量</v>
      </c>
      <c r="R27" s="768" t="s">
        <v>17</v>
      </c>
      <c r="S27" s="769">
        <f>F27</f>
        <v>100</v>
      </c>
      <c r="T27" s="768" t="s">
        <v>17</v>
      </c>
      <c r="U27" s="769">
        <f>H27</f>
        <v>100</v>
      </c>
      <c r="V27" s="768" t="s">
        <v>17</v>
      </c>
      <c r="W27" s="769">
        <f>J27</f>
        <v>100</v>
      </c>
      <c r="X27" s="770"/>
      <c r="Y27" s="3190"/>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88"/>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90"/>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88"/>
      <c r="Q29" s="1808">
        <f t="shared" si="11"/>
        <v>111</v>
      </c>
      <c r="R29" s="772" t="s">
        <v>17</v>
      </c>
      <c r="S29" s="773">
        <f t="shared" si="12"/>
        <v>100</v>
      </c>
      <c r="T29" s="772" t="s">
        <v>17</v>
      </c>
      <c r="U29" s="773">
        <f t="shared" si="13"/>
        <v>100</v>
      </c>
      <c r="V29" s="772" t="s">
        <v>17</v>
      </c>
      <c r="W29" s="773">
        <f t="shared" si="14"/>
        <v>100</v>
      </c>
      <c r="X29" s="1811"/>
      <c r="Y29" s="319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88"/>
      <c r="Q30" s="1808">
        <f t="shared" si="11"/>
        <v>111</v>
      </c>
      <c r="R30" s="772" t="s">
        <v>17</v>
      </c>
      <c r="S30" s="773">
        <f t="shared" si="12"/>
        <v>100</v>
      </c>
      <c r="T30" s="772" t="s">
        <v>17</v>
      </c>
      <c r="U30" s="773">
        <f t="shared" si="13"/>
        <v>100</v>
      </c>
      <c r="V30" s="772" t="s">
        <v>17</v>
      </c>
      <c r="W30" s="773">
        <f t="shared" si="14"/>
        <v>100</v>
      </c>
      <c r="X30" s="1811"/>
      <c r="Y30" s="319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88"/>
      <c r="Q31" s="1808">
        <f t="shared" si="11"/>
        <v>111</v>
      </c>
      <c r="R31" s="772" t="s">
        <v>17</v>
      </c>
      <c r="S31" s="773">
        <f t="shared" si="12"/>
        <v>100</v>
      </c>
      <c r="T31" s="772" t="s">
        <v>17</v>
      </c>
      <c r="U31" s="773">
        <f t="shared" si="13"/>
        <v>100</v>
      </c>
      <c r="V31" s="772" t="s">
        <v>17</v>
      </c>
      <c r="W31" s="773">
        <f t="shared" si="14"/>
        <v>100</v>
      </c>
      <c r="X31" s="1811"/>
      <c r="Y31" s="3190"/>
      <c r="Z31" s="1812">
        <f t="shared" si="15"/>
        <v>111</v>
      </c>
      <c r="AA31" s="1809">
        <f t="shared" si="3"/>
        <v>1</v>
      </c>
      <c r="AB31" s="1809">
        <f t="shared" si="4"/>
        <v>1</v>
      </c>
      <c r="AC31" s="1809">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91" t="s">
        <v>2563</v>
      </c>
      <c r="Q32" s="1808" t="str">
        <f t="shared" si="11"/>
        <v>商业类型</v>
      </c>
      <c r="R32" s="772" t="s">
        <v>17</v>
      </c>
      <c r="S32" s="773">
        <f t="shared" si="12"/>
        <v>100</v>
      </c>
      <c r="T32" s="772" t="s">
        <v>17</v>
      </c>
      <c r="U32" s="773">
        <f t="shared" si="13"/>
        <v>100</v>
      </c>
      <c r="V32" s="772" t="s">
        <v>17</v>
      </c>
      <c r="W32" s="773">
        <f t="shared" si="14"/>
        <v>100</v>
      </c>
      <c r="X32" s="1811"/>
      <c r="Y32" s="3194"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92"/>
      <c r="Q33" s="774" t="str">
        <f t="shared" si="11"/>
        <v>项目建筑规模</v>
      </c>
      <c r="R33" s="775" t="s">
        <v>17</v>
      </c>
      <c r="S33" s="776" t="e">
        <f t="shared" si="12"/>
        <v>#N/A</v>
      </c>
      <c r="T33" s="775" t="s">
        <v>17</v>
      </c>
      <c r="U33" s="776" t="e">
        <f t="shared" si="13"/>
        <v>#N/A</v>
      </c>
      <c r="V33" s="775" t="s">
        <v>17</v>
      </c>
      <c r="W33" s="776" t="e">
        <f t="shared" si="14"/>
        <v>#N/A</v>
      </c>
      <c r="X33" s="777"/>
      <c r="Y33" s="3194"/>
      <c r="Z33" s="778" t="str">
        <f t="shared" si="15"/>
        <v>项目建筑规模</v>
      </c>
      <c r="AA33" s="1809" t="e">
        <f t="shared" si="3"/>
        <v>#N/A</v>
      </c>
      <c r="AB33" s="1809" t="e">
        <f t="shared" si="4"/>
        <v>#N/A</v>
      </c>
      <c r="AC33" s="1809"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92"/>
      <c r="Q34" s="1808" t="str">
        <f t="shared" si="11"/>
        <v>建筑结构</v>
      </c>
      <c r="R34" s="772" t="s">
        <v>17</v>
      </c>
      <c r="S34" s="773">
        <f t="shared" si="12"/>
        <v>100</v>
      </c>
      <c r="T34" s="772" t="s">
        <v>17</v>
      </c>
      <c r="U34" s="773">
        <f t="shared" si="13"/>
        <v>100</v>
      </c>
      <c r="V34" s="772" t="s">
        <v>17</v>
      </c>
      <c r="W34" s="773">
        <f t="shared" si="14"/>
        <v>100</v>
      </c>
      <c r="X34" s="1811"/>
      <c r="Y34" s="3194"/>
      <c r="Z34" s="1812" t="str">
        <f t="shared" si="15"/>
        <v>建筑结构</v>
      </c>
      <c r="AA34" s="1809">
        <f t="shared" si="3"/>
        <v>1</v>
      </c>
      <c r="AB34" s="1809">
        <f t="shared" si="4"/>
        <v>1</v>
      </c>
      <c r="AC34" s="1809">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92"/>
      <c r="Q35" s="1808" t="str">
        <f t="shared" si="11"/>
        <v>公共部分装修</v>
      </c>
      <c r="R35" s="772" t="s">
        <v>17</v>
      </c>
      <c r="S35" s="773">
        <f t="shared" si="12"/>
        <v>100</v>
      </c>
      <c r="T35" s="772" t="s">
        <v>17</v>
      </c>
      <c r="U35" s="773">
        <f t="shared" si="13"/>
        <v>100</v>
      </c>
      <c r="V35" s="772" t="s">
        <v>17</v>
      </c>
      <c r="W35" s="773">
        <f t="shared" si="14"/>
        <v>100</v>
      </c>
      <c r="X35" s="1811"/>
      <c r="Y35" s="3194"/>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92"/>
      <c r="Q36" s="1808" t="str">
        <f t="shared" si="11"/>
        <v>成新度</v>
      </c>
      <c r="R36" s="772" t="s">
        <v>17</v>
      </c>
      <c r="S36" s="773" t="e">
        <f t="shared" si="12"/>
        <v>#N/A</v>
      </c>
      <c r="T36" s="772" t="s">
        <v>17</v>
      </c>
      <c r="U36" s="773" t="e">
        <f t="shared" si="13"/>
        <v>#N/A</v>
      </c>
      <c r="V36" s="772" t="s">
        <v>17</v>
      </c>
      <c r="W36" s="773" t="e">
        <f t="shared" si="14"/>
        <v>#N/A</v>
      </c>
      <c r="X36" s="1811"/>
      <c r="Y36" s="3194"/>
      <c r="Z36" s="1812" t="str">
        <f t="shared" si="15"/>
        <v>成新度</v>
      </c>
      <c r="AA36" s="1809" t="e">
        <f t="shared" si="3"/>
        <v>#N/A</v>
      </c>
      <c r="AB36" s="1809" t="e">
        <f t="shared" si="4"/>
        <v>#N/A</v>
      </c>
      <c r="AC36" s="1809"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92"/>
      <c r="Q37" s="1793" t="str">
        <f t="shared" si="11"/>
        <v>市政基础设施</v>
      </c>
      <c r="R37" s="768" t="s">
        <v>17</v>
      </c>
      <c r="S37" s="769">
        <f t="shared" si="12"/>
        <v>100</v>
      </c>
      <c r="T37" s="768" t="s">
        <v>17</v>
      </c>
      <c r="U37" s="769">
        <f t="shared" si="13"/>
        <v>100</v>
      </c>
      <c r="V37" s="768" t="s">
        <v>17</v>
      </c>
      <c r="W37" s="769">
        <f t="shared" si="14"/>
        <v>100</v>
      </c>
      <c r="X37" s="770"/>
      <c r="Y37" s="3194"/>
      <c r="Z37" s="55" t="str">
        <f t="shared" si="15"/>
        <v>市政基础设施</v>
      </c>
      <c r="AA37" s="771">
        <f t="shared" si="3"/>
        <v>1</v>
      </c>
      <c r="AB37" s="771">
        <f t="shared" si="4"/>
        <v>1</v>
      </c>
      <c r="AC37" s="771">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92" t="s">
        <v>2563</v>
      </c>
      <c r="Q38" s="1808" t="str">
        <f t="shared" si="11"/>
        <v>业态</v>
      </c>
      <c r="R38" s="772" t="s">
        <v>17</v>
      </c>
      <c r="S38" s="773">
        <f t="shared" si="12"/>
        <v>100</v>
      </c>
      <c r="T38" s="772" t="s">
        <v>17</v>
      </c>
      <c r="U38" s="773">
        <f t="shared" si="13"/>
        <v>100</v>
      </c>
      <c r="V38" s="772" t="s">
        <v>17</v>
      </c>
      <c r="W38" s="773">
        <f t="shared" si="14"/>
        <v>100</v>
      </c>
      <c r="X38" s="1811"/>
      <c r="Y38" s="3194" t="s">
        <v>2563</v>
      </c>
      <c r="Z38" s="1812" t="str">
        <f t="shared" si="15"/>
        <v>业态</v>
      </c>
      <c r="AA38" s="1809">
        <f t="shared" si="3"/>
        <v>1</v>
      </c>
      <c r="AB38" s="1809">
        <f t="shared" si="4"/>
        <v>1</v>
      </c>
      <c r="AC38" s="1809">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92"/>
      <c r="Q39" s="1808" t="str">
        <f t="shared" si="11"/>
        <v>层高</v>
      </c>
      <c r="R39" s="772" t="s">
        <v>17</v>
      </c>
      <c r="S39" s="773">
        <f t="shared" si="12"/>
        <v>100</v>
      </c>
      <c r="T39" s="772" t="s">
        <v>17</v>
      </c>
      <c r="U39" s="773">
        <f t="shared" si="13"/>
        <v>100</v>
      </c>
      <c r="V39" s="772" t="s">
        <v>17</v>
      </c>
      <c r="W39" s="773">
        <f t="shared" si="14"/>
        <v>100</v>
      </c>
      <c r="X39" s="1811"/>
      <c r="Y39" s="3194"/>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92"/>
      <c r="Q40" s="1808" t="str">
        <f t="shared" si="11"/>
        <v>单套建筑面积</v>
      </c>
      <c r="R40" s="772" t="s">
        <v>17</v>
      </c>
      <c r="S40" s="773">
        <f t="shared" si="12"/>
        <v>100</v>
      </c>
      <c r="T40" s="772" t="s">
        <v>17</v>
      </c>
      <c r="U40" s="773">
        <f t="shared" si="13"/>
        <v>100</v>
      </c>
      <c r="V40" s="772" t="s">
        <v>17</v>
      </c>
      <c r="W40" s="773">
        <f t="shared" si="14"/>
        <v>100</v>
      </c>
      <c r="X40" s="1811"/>
      <c r="Y40" s="3194"/>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92"/>
      <c r="Q41" s="774" t="str">
        <f t="shared" si="11"/>
        <v>进深比</v>
      </c>
      <c r="R41" s="775" t="s">
        <v>17</v>
      </c>
      <c r="S41" s="776">
        <f t="shared" si="12"/>
        <v>100</v>
      </c>
      <c r="T41" s="775" t="s">
        <v>17</v>
      </c>
      <c r="U41" s="776">
        <f t="shared" si="13"/>
        <v>100</v>
      </c>
      <c r="V41" s="775" t="s">
        <v>17</v>
      </c>
      <c r="W41" s="776">
        <f t="shared" si="14"/>
        <v>100</v>
      </c>
      <c r="X41" s="777"/>
      <c r="Y41" s="3194"/>
      <c r="Z41" s="778" t="str">
        <f t="shared" si="15"/>
        <v>进深比</v>
      </c>
      <c r="AA41" s="1809">
        <f t="shared" si="3"/>
        <v>1</v>
      </c>
      <c r="AB41" s="1809">
        <f t="shared" si="4"/>
        <v>1</v>
      </c>
      <c r="AC41" s="1809">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92"/>
      <c r="Q42" s="1808" t="str">
        <f t="shared" si="11"/>
        <v>内部装修</v>
      </c>
      <c r="R42" s="772" t="s">
        <v>17</v>
      </c>
      <c r="S42" s="773">
        <f t="shared" si="12"/>
        <v>100</v>
      </c>
      <c r="T42" s="772" t="s">
        <v>17</v>
      </c>
      <c r="U42" s="773">
        <f t="shared" si="13"/>
        <v>100</v>
      </c>
      <c r="V42" s="772" t="s">
        <v>17</v>
      </c>
      <c r="W42" s="773">
        <f t="shared" si="14"/>
        <v>100</v>
      </c>
      <c r="X42" s="1811"/>
      <c r="Y42" s="3194"/>
      <c r="Z42" s="1812" t="str">
        <f t="shared" si="15"/>
        <v>内部装修</v>
      </c>
      <c r="AA42" s="1809">
        <f t="shared" si="3"/>
        <v>1</v>
      </c>
      <c r="AB42" s="1809">
        <f t="shared" si="4"/>
        <v>1</v>
      </c>
      <c r="AC42" s="1809">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92"/>
      <c r="Q43" s="1808" t="str">
        <f t="shared" si="11"/>
        <v>内部装修维护情况</v>
      </c>
      <c r="R43" s="772" t="s">
        <v>17</v>
      </c>
      <c r="S43" s="773">
        <f t="shared" si="12"/>
        <v>100</v>
      </c>
      <c r="T43" s="772" t="s">
        <v>17</v>
      </c>
      <c r="U43" s="773">
        <f t="shared" si="13"/>
        <v>100</v>
      </c>
      <c r="V43" s="772" t="s">
        <v>17</v>
      </c>
      <c r="W43" s="773">
        <f t="shared" si="14"/>
        <v>100</v>
      </c>
      <c r="X43" s="1811"/>
      <c r="Y43" s="319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92"/>
      <c r="Q44" s="1793">
        <f t="shared" si="11"/>
        <v>111</v>
      </c>
      <c r="R44" s="768" t="s">
        <v>17</v>
      </c>
      <c r="S44" s="769">
        <f t="shared" si="12"/>
        <v>100</v>
      </c>
      <c r="T44" s="768" t="s">
        <v>17</v>
      </c>
      <c r="U44" s="769">
        <f t="shared" si="13"/>
        <v>100</v>
      </c>
      <c r="V44" s="768" t="s">
        <v>17</v>
      </c>
      <c r="W44" s="769">
        <f t="shared" si="14"/>
        <v>100</v>
      </c>
      <c r="X44" s="770"/>
      <c r="Y44" s="3194"/>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92"/>
      <c r="Q45" s="1808">
        <f t="shared" si="11"/>
        <v>111</v>
      </c>
      <c r="R45" s="772" t="s">
        <v>17</v>
      </c>
      <c r="S45" s="773">
        <f t="shared" si="12"/>
        <v>100</v>
      </c>
      <c r="T45" s="772" t="s">
        <v>17</v>
      </c>
      <c r="U45" s="773">
        <f t="shared" si="13"/>
        <v>100</v>
      </c>
      <c r="V45" s="772" t="s">
        <v>17</v>
      </c>
      <c r="W45" s="773">
        <f t="shared" si="14"/>
        <v>100</v>
      </c>
      <c r="X45" s="1811"/>
      <c r="Y45" s="3194"/>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3"/>
      <c r="Q46" s="1808">
        <f t="shared" si="11"/>
        <v>111</v>
      </c>
      <c r="R46" s="772" t="s">
        <v>17</v>
      </c>
      <c r="S46" s="773">
        <f t="shared" si="12"/>
        <v>100</v>
      </c>
      <c r="T46" s="772" t="s">
        <v>17</v>
      </c>
      <c r="U46" s="773">
        <f t="shared" si="13"/>
        <v>100</v>
      </c>
      <c r="V46" s="772" t="s">
        <v>17</v>
      </c>
      <c r="W46" s="773">
        <f t="shared" si="14"/>
        <v>100</v>
      </c>
      <c r="X46" s="1811"/>
      <c r="Y46" s="3195"/>
      <c r="Z46" s="1812">
        <f t="shared" si="15"/>
        <v>111</v>
      </c>
      <c r="AA46" s="1809">
        <f t="shared" si="3"/>
        <v>1</v>
      </c>
      <c r="AB46" s="1809">
        <f t="shared" si="4"/>
        <v>1</v>
      </c>
      <c r="AC46" s="1809">
        <f t="shared" si="5"/>
        <v>1</v>
      </c>
    </row>
    <row r="47" spans="1:29" ht="15">
      <c r="A47" s="479" t="s">
        <v>2575</v>
      </c>
      <c r="B47" s="480"/>
      <c r="C47" s="1405" t="s">
        <v>1</v>
      </c>
      <c r="D47" s="1406"/>
      <c r="E47" s="1407"/>
      <c r="F47" s="1408"/>
      <c r="G47" s="1409"/>
      <c r="H47" s="1410"/>
      <c r="I47" s="1407"/>
      <c r="J47" s="1410"/>
      <c r="K47" s="781"/>
      <c r="L47" s="1141"/>
      <c r="M47" s="1142"/>
      <c r="N47" s="1129"/>
      <c r="O47" s="1142"/>
      <c r="P47" s="3196" t="str">
        <f>A47</f>
        <v>成交单价（元/平方米）</v>
      </c>
      <c r="Q47" s="3196"/>
      <c r="R47" s="3184">
        <f>E47</f>
        <v>0</v>
      </c>
      <c r="S47" s="3184"/>
      <c r="T47" s="3184">
        <f>G47</f>
        <v>0</v>
      </c>
      <c r="U47" s="3184"/>
      <c r="V47" s="3184">
        <f>I47</f>
        <v>0</v>
      </c>
      <c r="W47" s="3184"/>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35" t="str">
        <f>A49</f>
        <v>估价对象XX用房的比较价值（楼面单价，元/平方米）</v>
      </c>
      <c r="Q49" s="3236"/>
      <c r="R49" s="3237" t="e">
        <f>IF(F1="售价",ROUND(AVERAGE(R48:V48),0),ROUND(AVERAGE(R48:V48),1))</f>
        <v>#DIV/0!</v>
      </c>
      <c r="S49" s="3237"/>
      <c r="T49" s="3237"/>
      <c r="U49" s="3237"/>
      <c r="V49" s="3237"/>
      <c r="W49" s="323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5">
      <c r="A58" s="505" t="s">
        <v>2546</v>
      </c>
      <c r="B58" s="506"/>
      <c r="C58" s="1572" t="str">
        <f>YEAR(C7)&amp;"-"&amp;MONTH(C7)</f>
        <v>2020-6</v>
      </c>
      <c r="D58" s="1573">
        <f>EDATE(C58,-1)</f>
        <v>43952</v>
      </c>
      <c r="E58" s="1573">
        <f t="shared" ref="E58:N58" si="16">EDATE(D58,-1)</f>
        <v>43922</v>
      </c>
      <c r="F58" s="1573">
        <f t="shared" si="16"/>
        <v>43891</v>
      </c>
      <c r="G58" s="1573">
        <f t="shared" si="16"/>
        <v>43862</v>
      </c>
      <c r="H58" s="1573">
        <f t="shared" si="16"/>
        <v>43831</v>
      </c>
      <c r="I58" s="1573">
        <f t="shared" si="16"/>
        <v>43800</v>
      </c>
      <c r="J58" s="1573">
        <f t="shared" si="16"/>
        <v>43770</v>
      </c>
      <c r="K58" s="1573">
        <f t="shared" si="16"/>
        <v>43739</v>
      </c>
      <c r="L58" s="1573">
        <f t="shared" si="16"/>
        <v>43709</v>
      </c>
      <c r="M58" s="1573">
        <f t="shared" si="16"/>
        <v>43678</v>
      </c>
      <c r="N58" s="1573">
        <f t="shared" si="16"/>
        <v>43647</v>
      </c>
      <c r="O58" s="1573">
        <f>EDATE(N58,-1)</f>
        <v>43617</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2678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2561</v>
      </c>
      <c r="B100" s="528" t="s">
        <v>2679</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2614</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6"/>
      <c r="D2" s="1122"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53" t="s">
        <v>2547</v>
      </c>
      <c r="Q7" s="3186"/>
      <c r="R7" s="768" t="s">
        <v>17</v>
      </c>
      <c r="S7" s="769">
        <f t="shared" ref="S7:S15" si="0">F7</f>
        <v>0</v>
      </c>
      <c r="T7" s="768" t="s">
        <v>17</v>
      </c>
      <c r="U7" s="769">
        <f t="shared" ref="U7:U15" si="1">H7</f>
        <v>0</v>
      </c>
      <c r="V7" s="768" t="s">
        <v>17</v>
      </c>
      <c r="W7" s="769">
        <f t="shared" ref="W7:W15" si="2">J7</f>
        <v>0</v>
      </c>
      <c r="X7" s="770"/>
      <c r="Y7" s="3153" t="s">
        <v>2547</v>
      </c>
      <c r="Z7" s="3154"/>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96"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96"/>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96"/>
      <c r="Q11" s="1793"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96"/>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96"/>
      <c r="Q14" s="1793">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9" t="s">
        <v>2558</v>
      </c>
      <c r="Q15" s="1808" t="str">
        <f t="shared" si="6"/>
        <v>产业集聚程度</v>
      </c>
      <c r="R15" s="772" t="s">
        <v>17</v>
      </c>
      <c r="S15" s="773">
        <f t="shared" si="0"/>
        <v>100</v>
      </c>
      <c r="T15" s="772" t="s">
        <v>17</v>
      </c>
      <c r="U15" s="773">
        <f t="shared" si="1"/>
        <v>100</v>
      </c>
      <c r="V15" s="772" t="s">
        <v>17</v>
      </c>
      <c r="W15" s="773">
        <f t="shared" si="2"/>
        <v>100</v>
      </c>
      <c r="X15" s="1811"/>
      <c r="Y15" s="3189"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90"/>
      <c r="Q16" s="1808"/>
      <c r="R16" s="772"/>
      <c r="S16" s="773"/>
      <c r="T16" s="772"/>
      <c r="U16" s="773"/>
      <c r="V16" s="772"/>
      <c r="W16" s="773"/>
      <c r="X16" s="1811"/>
      <c r="Y16" s="3190"/>
      <c r="Z16" s="1812"/>
      <c r="AA16" s="1809">
        <v>1</v>
      </c>
      <c r="AB16" s="1809">
        <v>1</v>
      </c>
      <c r="AC16" s="1809">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90"/>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90"/>
      <c r="Q18" s="1808"/>
      <c r="R18" s="772"/>
      <c r="S18" s="773"/>
      <c r="T18" s="772"/>
      <c r="U18" s="773"/>
      <c r="V18" s="772"/>
      <c r="W18" s="773"/>
      <c r="X18" s="1811"/>
      <c r="Y18" s="3190"/>
      <c r="Z18" s="1812"/>
      <c r="AA18" s="1809">
        <v>1</v>
      </c>
      <c r="AB18" s="1809">
        <v>1</v>
      </c>
      <c r="AC18" s="1809">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90"/>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90"/>
      <c r="Q20" s="1808"/>
      <c r="R20" s="772"/>
      <c r="S20" s="773"/>
      <c r="T20" s="772"/>
      <c r="U20" s="773"/>
      <c r="V20" s="772"/>
      <c r="W20" s="773"/>
      <c r="X20" s="1811"/>
      <c r="Y20" s="3190"/>
      <c r="Z20" s="1812"/>
      <c r="AA20" s="1809">
        <v>1</v>
      </c>
      <c r="AB20" s="1809">
        <v>1</v>
      </c>
      <c r="AC20" s="1809">
        <v>1</v>
      </c>
    </row>
    <row r="21" spans="1:29" ht="28.5">
      <c r="A21" s="428"/>
      <c r="B21" s="1382"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90"/>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90"/>
      <c r="Q22" s="1808"/>
      <c r="R22" s="772"/>
      <c r="S22" s="773"/>
      <c r="T22" s="772"/>
      <c r="U22" s="773"/>
      <c r="V22" s="772"/>
      <c r="W22" s="773"/>
      <c r="X22" s="1811"/>
      <c r="Y22" s="3190"/>
      <c r="Z22" s="1812"/>
      <c r="AA22" s="1809">
        <v>1</v>
      </c>
      <c r="AB22" s="1809">
        <v>1</v>
      </c>
      <c r="AC22" s="1809">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90"/>
      <c r="Q23" s="1808" t="str">
        <f>B23</f>
        <v>环境质量</v>
      </c>
      <c r="R23" s="772" t="s">
        <v>17</v>
      </c>
      <c r="S23" s="773">
        <f>F23</f>
        <v>100</v>
      </c>
      <c r="T23" s="772" t="s">
        <v>17</v>
      </c>
      <c r="U23" s="773">
        <f>H23</f>
        <v>100</v>
      </c>
      <c r="V23" s="772" t="s">
        <v>17</v>
      </c>
      <c r="W23" s="773">
        <f>J23</f>
        <v>100</v>
      </c>
      <c r="X23" s="1811"/>
      <c r="Y23" s="3190"/>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90"/>
      <c r="Q24" s="1808"/>
      <c r="R24" s="772"/>
      <c r="S24" s="773"/>
      <c r="T24" s="772"/>
      <c r="U24" s="773"/>
      <c r="V24" s="772"/>
      <c r="W24" s="773"/>
      <c r="X24" s="1811"/>
      <c r="Y24" s="319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90"/>
      <c r="Q25" s="1808">
        <f>B25</f>
        <v>111</v>
      </c>
      <c r="R25" s="772" t="s">
        <v>17</v>
      </c>
      <c r="S25" s="773">
        <f>F25</f>
        <v>100</v>
      </c>
      <c r="T25" s="772" t="s">
        <v>17</v>
      </c>
      <c r="U25" s="773">
        <f>H25</f>
        <v>100</v>
      </c>
      <c r="V25" s="772" t="s">
        <v>17</v>
      </c>
      <c r="W25" s="773">
        <f>J25</f>
        <v>100</v>
      </c>
      <c r="X25" s="1811"/>
      <c r="Y25" s="319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90"/>
      <c r="Q26" s="1808">
        <f t="shared" ref="Q26:Q40" si="11">B26</f>
        <v>111</v>
      </c>
      <c r="R26" s="772" t="s">
        <v>17</v>
      </c>
      <c r="S26" s="773">
        <f>F26</f>
        <v>100</v>
      </c>
      <c r="T26" s="772" t="s">
        <v>17</v>
      </c>
      <c r="U26" s="773">
        <f>H26</f>
        <v>100</v>
      </c>
      <c r="V26" s="772" t="s">
        <v>17</v>
      </c>
      <c r="W26" s="773">
        <f>J26</f>
        <v>100</v>
      </c>
      <c r="X26" s="1811"/>
      <c r="Y26" s="319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90"/>
      <c r="Q27" s="1793">
        <f t="shared" si="11"/>
        <v>111</v>
      </c>
      <c r="R27" s="768" t="s">
        <v>17</v>
      </c>
      <c r="S27" s="769">
        <f>F27</f>
        <v>100</v>
      </c>
      <c r="T27" s="768" t="s">
        <v>17</v>
      </c>
      <c r="U27" s="769">
        <f>H27</f>
        <v>100</v>
      </c>
      <c r="V27" s="768" t="s">
        <v>17</v>
      </c>
      <c r="W27" s="769">
        <f>J27</f>
        <v>100</v>
      </c>
      <c r="X27" s="770"/>
      <c r="Y27" s="319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90"/>
      <c r="Q28" s="1808">
        <f t="shared" si="11"/>
        <v>111</v>
      </c>
      <c r="R28" s="772" t="s">
        <v>17</v>
      </c>
      <c r="S28" s="773">
        <f t="shared" ref="S28:S40" si="12">F28</f>
        <v>100</v>
      </c>
      <c r="T28" s="772" t="s">
        <v>17</v>
      </c>
      <c r="U28" s="773">
        <f t="shared" ref="U28:U40" si="13">H28</f>
        <v>100</v>
      </c>
      <c r="V28" s="772" t="s">
        <v>17</v>
      </c>
      <c r="W28" s="773">
        <f t="shared" ref="W28:W40" si="14">J28</f>
        <v>100</v>
      </c>
      <c r="X28" s="1811"/>
      <c r="Y28" s="3190"/>
      <c r="Z28" s="1812">
        <f t="shared" ref="Z28:Z40" si="15">Q28</f>
        <v>111</v>
      </c>
      <c r="AA28" s="1809">
        <f t="shared" si="3"/>
        <v>1</v>
      </c>
      <c r="AB28" s="1809">
        <f t="shared" si="4"/>
        <v>1</v>
      </c>
      <c r="AC28" s="1809">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38" t="s">
        <v>2563</v>
      </c>
      <c r="Q29" s="1808" t="str">
        <f t="shared" si="11"/>
        <v>建筑类型</v>
      </c>
      <c r="R29" s="772" t="s">
        <v>17</v>
      </c>
      <c r="S29" s="773">
        <f t="shared" si="12"/>
        <v>100</v>
      </c>
      <c r="T29" s="772" t="s">
        <v>17</v>
      </c>
      <c r="U29" s="773">
        <f t="shared" si="13"/>
        <v>100</v>
      </c>
      <c r="V29" s="772" t="s">
        <v>17</v>
      </c>
      <c r="W29" s="773">
        <f t="shared" si="14"/>
        <v>100</v>
      </c>
      <c r="X29" s="1811"/>
      <c r="Y29" s="3194"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4"/>
      <c r="Q30" s="774" t="str">
        <f t="shared" si="11"/>
        <v>项目建筑规模</v>
      </c>
      <c r="R30" s="775" t="s">
        <v>17</v>
      </c>
      <c r="S30" s="776" t="e">
        <f t="shared" si="12"/>
        <v>#N/A</v>
      </c>
      <c r="T30" s="775" t="s">
        <v>17</v>
      </c>
      <c r="U30" s="776" t="e">
        <f t="shared" si="13"/>
        <v>#N/A</v>
      </c>
      <c r="V30" s="775" t="s">
        <v>17</v>
      </c>
      <c r="W30" s="776" t="e">
        <f t="shared" si="14"/>
        <v>#N/A</v>
      </c>
      <c r="X30" s="777"/>
      <c r="Y30" s="3194"/>
      <c r="Z30" s="778"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4"/>
      <c r="Q31" s="1808" t="str">
        <f t="shared" si="11"/>
        <v>建筑结构</v>
      </c>
      <c r="R31" s="772" t="s">
        <v>17</v>
      </c>
      <c r="S31" s="773">
        <f t="shared" si="12"/>
        <v>100</v>
      </c>
      <c r="T31" s="772" t="s">
        <v>17</v>
      </c>
      <c r="U31" s="773">
        <f t="shared" si="13"/>
        <v>100</v>
      </c>
      <c r="V31" s="772" t="s">
        <v>17</v>
      </c>
      <c r="W31" s="773">
        <f t="shared" si="14"/>
        <v>100</v>
      </c>
      <c r="X31" s="1811"/>
      <c r="Y31" s="3194"/>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4"/>
      <c r="Q32" s="1808" t="str">
        <f t="shared" si="11"/>
        <v>公共部分装修</v>
      </c>
      <c r="R32" s="772" t="s">
        <v>17</v>
      </c>
      <c r="S32" s="773">
        <f t="shared" si="12"/>
        <v>100</v>
      </c>
      <c r="T32" s="772" t="s">
        <v>17</v>
      </c>
      <c r="U32" s="773">
        <f t="shared" si="13"/>
        <v>100</v>
      </c>
      <c r="V32" s="772" t="s">
        <v>17</v>
      </c>
      <c r="W32" s="773">
        <f t="shared" si="14"/>
        <v>100</v>
      </c>
      <c r="X32" s="1811"/>
      <c r="Y32" s="3194"/>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4"/>
      <c r="Q33" s="1808" t="str">
        <f t="shared" si="11"/>
        <v>成新度</v>
      </c>
      <c r="R33" s="772" t="s">
        <v>17</v>
      </c>
      <c r="S33" s="773" t="e">
        <f t="shared" si="12"/>
        <v>#N/A</v>
      </c>
      <c r="T33" s="772" t="s">
        <v>17</v>
      </c>
      <c r="U33" s="773" t="e">
        <f t="shared" si="13"/>
        <v>#N/A</v>
      </c>
      <c r="V33" s="772" t="s">
        <v>17</v>
      </c>
      <c r="W33" s="773" t="e">
        <f t="shared" si="14"/>
        <v>#N/A</v>
      </c>
      <c r="X33" s="1811"/>
      <c r="Y33" s="3194"/>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4"/>
      <c r="Q34" s="1793" t="str">
        <f t="shared" si="11"/>
        <v>物业管理</v>
      </c>
      <c r="R34" s="768" t="s">
        <v>17</v>
      </c>
      <c r="S34" s="769">
        <f t="shared" si="12"/>
        <v>100</v>
      </c>
      <c r="T34" s="768" t="s">
        <v>17</v>
      </c>
      <c r="U34" s="769">
        <f t="shared" si="13"/>
        <v>100</v>
      </c>
      <c r="V34" s="768" t="s">
        <v>17</v>
      </c>
      <c r="W34" s="769">
        <f t="shared" si="14"/>
        <v>100</v>
      </c>
      <c r="X34" s="770"/>
      <c r="Y34" s="3194"/>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4" t="s">
        <v>2563</v>
      </c>
      <c r="Q35" s="1808" t="str">
        <f t="shared" si="11"/>
        <v>市政基础设施</v>
      </c>
      <c r="R35" s="772" t="s">
        <v>17</v>
      </c>
      <c r="S35" s="773">
        <f t="shared" si="12"/>
        <v>100</v>
      </c>
      <c r="T35" s="772" t="s">
        <v>17</v>
      </c>
      <c r="U35" s="773">
        <f t="shared" si="13"/>
        <v>100</v>
      </c>
      <c r="V35" s="772" t="s">
        <v>17</v>
      </c>
      <c r="W35" s="773">
        <f t="shared" si="14"/>
        <v>100</v>
      </c>
      <c r="X35" s="1811"/>
      <c r="Y35" s="3194"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4"/>
      <c r="Q36" s="1808" t="str">
        <f t="shared" si="11"/>
        <v>内部装修</v>
      </c>
      <c r="R36" s="772" t="s">
        <v>17</v>
      </c>
      <c r="S36" s="773">
        <f t="shared" si="12"/>
        <v>100</v>
      </c>
      <c r="T36" s="772" t="s">
        <v>17</v>
      </c>
      <c r="U36" s="773">
        <f t="shared" si="13"/>
        <v>100</v>
      </c>
      <c r="V36" s="772" t="s">
        <v>17</v>
      </c>
      <c r="W36" s="773">
        <f t="shared" si="14"/>
        <v>100</v>
      </c>
      <c r="X36" s="1811"/>
      <c r="Y36" s="3194"/>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4"/>
      <c r="Q37" s="1808" t="str">
        <f t="shared" si="11"/>
        <v>内部装修状况</v>
      </c>
      <c r="R37" s="772" t="s">
        <v>17</v>
      </c>
      <c r="S37" s="773">
        <f t="shared" si="12"/>
        <v>100</v>
      </c>
      <c r="T37" s="772" t="s">
        <v>17</v>
      </c>
      <c r="U37" s="773">
        <f t="shared" si="13"/>
        <v>100</v>
      </c>
      <c r="V37" s="772" t="s">
        <v>17</v>
      </c>
      <c r="W37" s="773">
        <f t="shared" si="14"/>
        <v>100</v>
      </c>
      <c r="X37" s="1811"/>
      <c r="Y37" s="319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4"/>
      <c r="Q38" s="774">
        <f t="shared" si="11"/>
        <v>111</v>
      </c>
      <c r="R38" s="775" t="s">
        <v>17</v>
      </c>
      <c r="S38" s="776">
        <f t="shared" si="12"/>
        <v>100</v>
      </c>
      <c r="T38" s="775" t="s">
        <v>17</v>
      </c>
      <c r="U38" s="776">
        <f t="shared" si="13"/>
        <v>100</v>
      </c>
      <c r="V38" s="775" t="s">
        <v>17</v>
      </c>
      <c r="W38" s="776">
        <f t="shared" si="14"/>
        <v>100</v>
      </c>
      <c r="X38" s="777"/>
      <c r="Y38" s="3194"/>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4"/>
      <c r="Q39" s="1808">
        <f t="shared" si="11"/>
        <v>111</v>
      </c>
      <c r="R39" s="772" t="s">
        <v>17</v>
      </c>
      <c r="S39" s="773">
        <f t="shared" si="12"/>
        <v>100</v>
      </c>
      <c r="T39" s="772" t="s">
        <v>17</v>
      </c>
      <c r="U39" s="773">
        <f t="shared" si="13"/>
        <v>100</v>
      </c>
      <c r="V39" s="772" t="s">
        <v>17</v>
      </c>
      <c r="W39" s="773">
        <f t="shared" si="14"/>
        <v>100</v>
      </c>
      <c r="X39" s="1811"/>
      <c r="Y39" s="3194"/>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5"/>
      <c r="Q40" s="1808">
        <f t="shared" si="11"/>
        <v>111</v>
      </c>
      <c r="R40" s="772" t="s">
        <v>17</v>
      </c>
      <c r="S40" s="773">
        <f t="shared" si="12"/>
        <v>100</v>
      </c>
      <c r="T40" s="772" t="s">
        <v>17</v>
      </c>
      <c r="U40" s="773">
        <f t="shared" si="13"/>
        <v>100</v>
      </c>
      <c r="V40" s="772" t="s">
        <v>17</v>
      </c>
      <c r="W40" s="773">
        <f t="shared" si="14"/>
        <v>100</v>
      </c>
      <c r="X40" s="1811"/>
      <c r="Y40" s="3195"/>
      <c r="Z40" s="1812">
        <f t="shared" si="15"/>
        <v>111</v>
      </c>
      <c r="AA40" s="1809">
        <f t="shared" si="3"/>
        <v>1</v>
      </c>
      <c r="AB40" s="1809">
        <f t="shared" si="4"/>
        <v>1</v>
      </c>
      <c r="AC40" s="1809">
        <f t="shared" si="5"/>
        <v>1</v>
      </c>
    </row>
    <row r="41" spans="1:29" ht="15">
      <c r="A41" s="479" t="s">
        <v>2575</v>
      </c>
      <c r="B41" s="480"/>
      <c r="C41" s="1405" t="s">
        <v>1</v>
      </c>
      <c r="D41" s="1406"/>
      <c r="E41" s="1407"/>
      <c r="F41" s="1408"/>
      <c r="G41" s="1409"/>
      <c r="H41" s="1410"/>
      <c r="I41" s="1407"/>
      <c r="J41" s="1410"/>
      <c r="K41" s="781"/>
      <c r="L41" s="1141"/>
      <c r="M41" s="1142"/>
      <c r="N41" s="1129"/>
      <c r="O41" s="1142"/>
      <c r="P41" s="3196" t="str">
        <f>A41</f>
        <v>成交单价（元/平方米）</v>
      </c>
      <c r="Q41" s="3196"/>
      <c r="R41" s="3197">
        <f>E41</f>
        <v>0</v>
      </c>
      <c r="S41" s="3197"/>
      <c r="T41" s="3197">
        <f>G41</f>
        <v>0</v>
      </c>
      <c r="U41" s="3197"/>
      <c r="V41" s="3197">
        <f>I41</f>
        <v>0</v>
      </c>
      <c r="W41" s="3197"/>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35" t="str">
        <f>A43</f>
        <v>估价对象XX用房的比较价值（楼面单价，元/平方米）</v>
      </c>
      <c r="Q43" s="3236"/>
      <c r="R43" s="3237" t="e">
        <f>IF(F1="售价",ROUND(AVERAGE(R42:V42),0),ROUND(AVERAGE(R42:V42),1))</f>
        <v>#DIV/0!</v>
      </c>
      <c r="S43" s="3237"/>
      <c r="T43" s="3237"/>
      <c r="U43" s="3237"/>
      <c r="V43" s="3237"/>
      <c r="W43" s="3237"/>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2020-6</v>
      </c>
      <c r="D52" s="1573">
        <f>EDATE(C52,-1)</f>
        <v>43952</v>
      </c>
      <c r="E52" s="1573">
        <f t="shared" ref="E52:O52" si="16">EDATE(D52,-1)</f>
        <v>43922</v>
      </c>
      <c r="F52" s="1573">
        <f t="shared" si="16"/>
        <v>43891</v>
      </c>
      <c r="G52" s="1573">
        <f t="shared" si="16"/>
        <v>43862</v>
      </c>
      <c r="H52" s="1573">
        <f t="shared" si="16"/>
        <v>43831</v>
      </c>
      <c r="I52" s="1573">
        <f t="shared" si="16"/>
        <v>43800</v>
      </c>
      <c r="J52" s="1573">
        <f t="shared" si="16"/>
        <v>43770</v>
      </c>
      <c r="K52" s="1573">
        <f t="shared" si="16"/>
        <v>43739</v>
      </c>
      <c r="L52" s="1573">
        <f t="shared" si="16"/>
        <v>43709</v>
      </c>
      <c r="M52" s="1573">
        <f t="shared" si="16"/>
        <v>43678</v>
      </c>
      <c r="N52" s="1573">
        <f t="shared" si="16"/>
        <v>43647</v>
      </c>
      <c r="O52" s="1573">
        <f t="shared" si="16"/>
        <v>43617</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2020年6月29日（评估专业人员实地查勘之日）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"本次评估采用的主估价方法为"&amp;结果表!K4&amp;"和"&amp;结果表!L4&amp;"。"</f>
        <v>本次评估采用的主估价方法为比较法和收益法。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4"/>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53" t="s">
        <v>2547</v>
      </c>
      <c r="Q7" s="3186"/>
      <c r="R7" s="768" t="s">
        <v>17</v>
      </c>
      <c r="S7" s="769">
        <f t="shared" ref="S7:S14" si="0">F7</f>
        <v>0</v>
      </c>
      <c r="T7" s="768" t="s">
        <v>17</v>
      </c>
      <c r="U7" s="769">
        <f t="shared" ref="U7:U14" si="1">H7</f>
        <v>0</v>
      </c>
      <c r="V7" s="768" t="s">
        <v>17</v>
      </c>
      <c r="W7" s="769">
        <f t="shared" ref="W7:W14" si="2">J7</f>
        <v>0</v>
      </c>
      <c r="X7" s="770"/>
      <c r="Y7" s="3153" t="s">
        <v>2547</v>
      </c>
      <c r="Z7" s="3154"/>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96" t="s">
        <v>2553</v>
      </c>
      <c r="Q9" s="1793" t="str">
        <f t="shared" ref="Q9:Q14" si="6">B9</f>
        <v>用途</v>
      </c>
      <c r="R9" s="768" t="s">
        <v>17</v>
      </c>
      <c r="S9" s="769">
        <f t="shared" si="0"/>
        <v>100</v>
      </c>
      <c r="T9" s="768" t="s">
        <v>17</v>
      </c>
      <c r="U9" s="769">
        <f t="shared" si="1"/>
        <v>100</v>
      </c>
      <c r="V9" s="768" t="s">
        <v>17</v>
      </c>
      <c r="W9" s="769">
        <f t="shared" si="2"/>
        <v>100</v>
      </c>
      <c r="X9" s="770"/>
      <c r="Y9" s="3027"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96"/>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96"/>
      <c r="Q11" s="1793">
        <f t="shared" si="6"/>
        <v>111</v>
      </c>
      <c r="R11" s="768" t="s">
        <v>17</v>
      </c>
      <c r="S11" s="769">
        <f t="shared" si="0"/>
        <v>100</v>
      </c>
      <c r="T11" s="768" t="s">
        <v>17</v>
      </c>
      <c r="U11" s="769">
        <f t="shared" si="1"/>
        <v>100</v>
      </c>
      <c r="V11" s="768" t="s">
        <v>17</v>
      </c>
      <c r="W11" s="769">
        <f t="shared" si="2"/>
        <v>100</v>
      </c>
      <c r="X11" s="770"/>
      <c r="Y11" s="302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96"/>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9" t="s">
        <v>2558</v>
      </c>
      <c r="Q14" s="1808" t="str">
        <f t="shared" si="6"/>
        <v>交通便捷度</v>
      </c>
      <c r="R14" s="772" t="s">
        <v>17</v>
      </c>
      <c r="S14" s="773">
        <f t="shared" si="0"/>
        <v>100</v>
      </c>
      <c r="T14" s="772" t="s">
        <v>17</v>
      </c>
      <c r="U14" s="773">
        <f t="shared" si="1"/>
        <v>100</v>
      </c>
      <c r="V14" s="772" t="s">
        <v>17</v>
      </c>
      <c r="W14" s="773">
        <f t="shared" si="2"/>
        <v>100</v>
      </c>
      <c r="X14" s="1811"/>
      <c r="Y14" s="3189"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90"/>
      <c r="Q15" s="1808"/>
      <c r="R15" s="772"/>
      <c r="S15" s="773"/>
      <c r="T15" s="772"/>
      <c r="U15" s="773"/>
      <c r="V15" s="772"/>
      <c r="W15" s="773"/>
      <c r="X15" s="1811"/>
      <c r="Y15" s="3190"/>
      <c r="Z15" s="1812"/>
      <c r="AA15" s="1809">
        <v>1</v>
      </c>
      <c r="AB15" s="1809">
        <v>1</v>
      </c>
      <c r="AC15" s="1809">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90"/>
      <c r="Q16" s="1808" t="str">
        <f>B16</f>
        <v>公共配套设施</v>
      </c>
      <c r="R16" s="772" t="s">
        <v>17</v>
      </c>
      <c r="S16" s="773">
        <f>F16</f>
        <v>100</v>
      </c>
      <c r="T16" s="772" t="s">
        <v>17</v>
      </c>
      <c r="U16" s="773">
        <f>H16</f>
        <v>100</v>
      </c>
      <c r="V16" s="772" t="s">
        <v>17</v>
      </c>
      <c r="W16" s="773">
        <f>J16</f>
        <v>100</v>
      </c>
      <c r="X16" s="1811"/>
      <c r="Y16" s="3190"/>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90"/>
      <c r="Q17" s="1808"/>
      <c r="R17" s="772"/>
      <c r="S17" s="773"/>
      <c r="T17" s="772"/>
      <c r="U17" s="773"/>
      <c r="V17" s="772"/>
      <c r="W17" s="773"/>
      <c r="X17" s="1811"/>
      <c r="Y17" s="3190"/>
      <c r="Z17" s="1812"/>
      <c r="AA17" s="1809">
        <v>1</v>
      </c>
      <c r="AB17" s="1809">
        <v>1</v>
      </c>
      <c r="AC17" s="1809">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90"/>
      <c r="Q18" s="1808" t="str">
        <f>B18</f>
        <v>基础设施水平</v>
      </c>
      <c r="R18" s="772" t="s">
        <v>17</v>
      </c>
      <c r="S18" s="773">
        <f>F18</f>
        <v>100</v>
      </c>
      <c r="T18" s="772" t="s">
        <v>17</v>
      </c>
      <c r="U18" s="773">
        <f>H18</f>
        <v>100</v>
      </c>
      <c r="V18" s="772" t="s">
        <v>17</v>
      </c>
      <c r="W18" s="773">
        <f>J18</f>
        <v>100</v>
      </c>
      <c r="X18" s="1811"/>
      <c r="Y18" s="3190"/>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90"/>
      <c r="Q19" s="1808"/>
      <c r="R19" s="772"/>
      <c r="S19" s="773"/>
      <c r="T19" s="772"/>
      <c r="U19" s="773"/>
      <c r="V19" s="772"/>
      <c r="W19" s="773"/>
      <c r="X19" s="1811"/>
      <c r="Y19" s="3190"/>
      <c r="Z19" s="1812"/>
      <c r="AA19" s="1809">
        <v>1</v>
      </c>
      <c r="AB19" s="1809">
        <v>1</v>
      </c>
      <c r="AC19" s="1809">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90"/>
      <c r="Q20" s="1808" t="str">
        <f>B20</f>
        <v>自然及人文环境</v>
      </c>
      <c r="R20" s="772" t="s">
        <v>17</v>
      </c>
      <c r="S20" s="773">
        <f>F20</f>
        <v>100</v>
      </c>
      <c r="T20" s="772" t="s">
        <v>17</v>
      </c>
      <c r="U20" s="773">
        <f>H20</f>
        <v>100</v>
      </c>
      <c r="V20" s="772" t="s">
        <v>17</v>
      </c>
      <c r="W20" s="773">
        <f>J20</f>
        <v>100</v>
      </c>
      <c r="X20" s="1811"/>
      <c r="Y20" s="319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90"/>
      <c r="Q21" s="1808"/>
      <c r="R21" s="772"/>
      <c r="S21" s="773"/>
      <c r="T21" s="772"/>
      <c r="U21" s="773"/>
      <c r="V21" s="772"/>
      <c r="W21" s="773"/>
      <c r="X21" s="1811"/>
      <c r="Y21" s="3190"/>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90"/>
      <c r="Q22" s="1808" t="str">
        <f>B22</f>
        <v>楼层</v>
      </c>
      <c r="R22" s="772" t="s">
        <v>17</v>
      </c>
      <c r="S22" s="773">
        <f>F22</f>
        <v>100</v>
      </c>
      <c r="T22" s="772" t="s">
        <v>17</v>
      </c>
      <c r="U22" s="773">
        <f>H22</f>
        <v>100</v>
      </c>
      <c r="V22" s="772" t="s">
        <v>17</v>
      </c>
      <c r="W22" s="773">
        <f>J22</f>
        <v>100</v>
      </c>
      <c r="X22" s="1811"/>
      <c r="Y22" s="319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90"/>
      <c r="Q23" s="1808">
        <f>B23</f>
        <v>111</v>
      </c>
      <c r="R23" s="772" t="s">
        <v>17</v>
      </c>
      <c r="S23" s="773">
        <f>F23</f>
        <v>100</v>
      </c>
      <c r="T23" s="772" t="s">
        <v>17</v>
      </c>
      <c r="U23" s="773">
        <f>H23</f>
        <v>100</v>
      </c>
      <c r="V23" s="772" t="s">
        <v>17</v>
      </c>
      <c r="W23" s="773">
        <f>J23</f>
        <v>100</v>
      </c>
      <c r="X23" s="1811"/>
      <c r="Y23" s="319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90"/>
      <c r="Q24" s="1808">
        <f t="shared" ref="Q24:Q36" si="11">B24</f>
        <v>111</v>
      </c>
      <c r="R24" s="772" t="s">
        <v>17</v>
      </c>
      <c r="S24" s="773">
        <f>F24</f>
        <v>100</v>
      </c>
      <c r="T24" s="772" t="s">
        <v>17</v>
      </c>
      <c r="U24" s="773">
        <f>H24</f>
        <v>100</v>
      </c>
      <c r="V24" s="772" t="s">
        <v>17</v>
      </c>
      <c r="W24" s="773">
        <f>J24</f>
        <v>100</v>
      </c>
      <c r="X24" s="1811"/>
      <c r="Y24" s="319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90"/>
      <c r="Q25" s="1793">
        <f t="shared" si="11"/>
        <v>111</v>
      </c>
      <c r="R25" s="768" t="s">
        <v>17</v>
      </c>
      <c r="S25" s="769">
        <f>F25</f>
        <v>100</v>
      </c>
      <c r="T25" s="768" t="s">
        <v>17</v>
      </c>
      <c r="U25" s="769">
        <f>H25</f>
        <v>100</v>
      </c>
      <c r="V25" s="768" t="s">
        <v>17</v>
      </c>
      <c r="W25" s="769">
        <f>J25</f>
        <v>100</v>
      </c>
      <c r="X25" s="770"/>
      <c r="Y25" s="3190"/>
      <c r="Z25" s="55">
        <f>Q25</f>
        <v>111</v>
      </c>
      <c r="AA25" s="1809">
        <f>D25/F25</f>
        <v>1</v>
      </c>
      <c r="AB25" s="1809">
        <f>D25/H25</f>
        <v>1</v>
      </c>
      <c r="AC25" s="1809">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38"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94"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94"/>
      <c r="Q27" s="774" t="str">
        <f t="shared" si="11"/>
        <v>项目停车位配比</v>
      </c>
      <c r="R27" s="775" t="s">
        <v>17</v>
      </c>
      <c r="S27" s="776">
        <f t="shared" si="12"/>
        <v>100</v>
      </c>
      <c r="T27" s="775" t="s">
        <v>17</v>
      </c>
      <c r="U27" s="776">
        <f t="shared" si="13"/>
        <v>100</v>
      </c>
      <c r="V27" s="775" t="s">
        <v>17</v>
      </c>
      <c r="W27" s="776">
        <f t="shared" si="14"/>
        <v>100</v>
      </c>
      <c r="X27" s="777"/>
      <c r="Y27" s="3194"/>
      <c r="Z27" s="778"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94"/>
      <c r="Q28" s="1808" t="str">
        <f t="shared" si="11"/>
        <v>公共部分装修</v>
      </c>
      <c r="R28" s="772" t="s">
        <v>17</v>
      </c>
      <c r="S28" s="773">
        <f t="shared" si="12"/>
        <v>100</v>
      </c>
      <c r="T28" s="772" t="s">
        <v>17</v>
      </c>
      <c r="U28" s="773">
        <f t="shared" si="13"/>
        <v>100</v>
      </c>
      <c r="V28" s="772" t="s">
        <v>17</v>
      </c>
      <c r="W28" s="773">
        <f t="shared" si="14"/>
        <v>100</v>
      </c>
      <c r="X28" s="1811"/>
      <c r="Y28" s="3194"/>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94"/>
      <c r="Q29" s="1808" t="str">
        <f t="shared" si="11"/>
        <v>成新率</v>
      </c>
      <c r="R29" s="772" t="s">
        <v>17</v>
      </c>
      <c r="S29" s="773" t="e">
        <f t="shared" si="12"/>
        <v>#N/A</v>
      </c>
      <c r="T29" s="772" t="s">
        <v>17</v>
      </c>
      <c r="U29" s="773" t="e">
        <f t="shared" si="13"/>
        <v>#N/A</v>
      </c>
      <c r="V29" s="772" t="s">
        <v>17</v>
      </c>
      <c r="W29" s="773" t="e">
        <f t="shared" si="14"/>
        <v>#N/A</v>
      </c>
      <c r="X29" s="1811"/>
      <c r="Y29" s="3194"/>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94"/>
      <c r="Q30" s="1808" t="str">
        <f t="shared" si="11"/>
        <v>物业等级</v>
      </c>
      <c r="R30" s="772" t="s">
        <v>17</v>
      </c>
      <c r="S30" s="773">
        <f t="shared" si="12"/>
        <v>100</v>
      </c>
      <c r="T30" s="772" t="s">
        <v>17</v>
      </c>
      <c r="U30" s="773">
        <f t="shared" si="13"/>
        <v>100</v>
      </c>
      <c r="V30" s="772" t="s">
        <v>17</v>
      </c>
      <c r="W30" s="773">
        <f t="shared" si="14"/>
        <v>100</v>
      </c>
      <c r="X30" s="1811"/>
      <c r="Y30" s="3194"/>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94"/>
      <c r="Q31" s="1793" t="str">
        <f t="shared" si="11"/>
        <v>停车位面积</v>
      </c>
      <c r="R31" s="768" t="s">
        <v>17</v>
      </c>
      <c r="S31" s="769" t="e">
        <f t="shared" si="12"/>
        <v>#N/A</v>
      </c>
      <c r="T31" s="768" t="s">
        <v>17</v>
      </c>
      <c r="U31" s="769" t="e">
        <f t="shared" si="13"/>
        <v>#N/A</v>
      </c>
      <c r="V31" s="768" t="s">
        <v>17</v>
      </c>
      <c r="W31" s="769" t="e">
        <f t="shared" si="14"/>
        <v>#N/A</v>
      </c>
      <c r="X31" s="770"/>
      <c r="Y31" s="3194"/>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4" t="s">
        <v>2563</v>
      </c>
      <c r="Q32" s="1808" t="str">
        <f t="shared" si="11"/>
        <v>车位类型</v>
      </c>
      <c r="R32" s="772" t="s">
        <v>17</v>
      </c>
      <c r="S32" s="773">
        <f t="shared" si="12"/>
        <v>100</v>
      </c>
      <c r="T32" s="772" t="s">
        <v>17</v>
      </c>
      <c r="U32" s="773">
        <f t="shared" si="13"/>
        <v>100</v>
      </c>
      <c r="V32" s="772" t="s">
        <v>17</v>
      </c>
      <c r="W32" s="773">
        <f t="shared" si="14"/>
        <v>100</v>
      </c>
      <c r="X32" s="1811"/>
      <c r="Y32" s="3194"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94"/>
      <c r="Q33" s="1808" t="str">
        <f t="shared" si="11"/>
        <v>是否直接入户</v>
      </c>
      <c r="R33" s="772" t="s">
        <v>17</v>
      </c>
      <c r="S33" s="773">
        <f t="shared" si="12"/>
        <v>100</v>
      </c>
      <c r="T33" s="772" t="s">
        <v>17</v>
      </c>
      <c r="U33" s="773">
        <f t="shared" si="13"/>
        <v>100</v>
      </c>
      <c r="V33" s="772" t="s">
        <v>17</v>
      </c>
      <c r="W33" s="773">
        <f t="shared" si="14"/>
        <v>100</v>
      </c>
      <c r="X33" s="1811"/>
      <c r="Y33" s="319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4"/>
      <c r="Q34" s="1808">
        <f t="shared" si="11"/>
        <v>111</v>
      </c>
      <c r="R34" s="772" t="s">
        <v>17</v>
      </c>
      <c r="S34" s="773">
        <f t="shared" si="12"/>
        <v>100</v>
      </c>
      <c r="T34" s="772" t="s">
        <v>17</v>
      </c>
      <c r="U34" s="773">
        <f t="shared" si="13"/>
        <v>100</v>
      </c>
      <c r="V34" s="772" t="s">
        <v>17</v>
      </c>
      <c r="W34" s="773">
        <f t="shared" si="14"/>
        <v>100</v>
      </c>
      <c r="X34" s="1811"/>
      <c r="Y34" s="319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4"/>
      <c r="Q35" s="774">
        <f t="shared" si="11"/>
        <v>111</v>
      </c>
      <c r="R35" s="775" t="s">
        <v>17</v>
      </c>
      <c r="S35" s="776">
        <f t="shared" si="12"/>
        <v>100</v>
      </c>
      <c r="T35" s="775" t="s">
        <v>17</v>
      </c>
      <c r="U35" s="776">
        <f t="shared" si="13"/>
        <v>100</v>
      </c>
      <c r="V35" s="775" t="s">
        <v>17</v>
      </c>
      <c r="W35" s="776">
        <f t="shared" si="14"/>
        <v>100</v>
      </c>
      <c r="X35" s="777"/>
      <c r="Y35" s="3194"/>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4"/>
      <c r="Q36" s="1808">
        <f t="shared" si="11"/>
        <v>111</v>
      </c>
      <c r="R36" s="772" t="s">
        <v>17</v>
      </c>
      <c r="S36" s="773">
        <f t="shared" si="12"/>
        <v>100</v>
      </c>
      <c r="T36" s="772" t="s">
        <v>17</v>
      </c>
      <c r="U36" s="773">
        <f t="shared" si="13"/>
        <v>100</v>
      </c>
      <c r="V36" s="772" t="s">
        <v>17</v>
      </c>
      <c r="W36" s="773">
        <f t="shared" si="14"/>
        <v>100</v>
      </c>
      <c r="X36" s="1811"/>
      <c r="Y36" s="3194"/>
      <c r="Z36" s="1812">
        <f t="shared" si="15"/>
        <v>111</v>
      </c>
      <c r="AA36" s="1809">
        <f t="shared" si="3"/>
        <v>1</v>
      </c>
      <c r="AB36" s="1809">
        <f t="shared" si="4"/>
        <v>1</v>
      </c>
      <c r="AC36" s="1809">
        <f t="shared" si="5"/>
        <v>1</v>
      </c>
    </row>
    <row r="37" spans="1:29" ht="15">
      <c r="A37" s="479" t="s">
        <v>2718</v>
      </c>
      <c r="B37" s="2695" t="s">
        <v>2719</v>
      </c>
      <c r="C37" s="1405" t="s">
        <v>1</v>
      </c>
      <c r="D37" s="1406"/>
      <c r="E37" s="1407"/>
      <c r="F37" s="1408"/>
      <c r="G37" s="1409"/>
      <c r="H37" s="1410"/>
      <c r="I37" s="1407"/>
      <c r="J37" s="1410"/>
      <c r="K37" s="619"/>
      <c r="L37" s="1141"/>
      <c r="M37" s="1142"/>
      <c r="N37" s="1129"/>
      <c r="O37" s="1142"/>
      <c r="P37" s="3196" t="str">
        <f>A37</f>
        <v>成交单价</v>
      </c>
      <c r="Q37" s="3196"/>
      <c r="R37" s="3197">
        <f>E37</f>
        <v>0</v>
      </c>
      <c r="S37" s="3197"/>
      <c r="T37" s="3197">
        <f>G37</f>
        <v>0</v>
      </c>
      <c r="U37" s="3197"/>
      <c r="V37" s="3197">
        <f>I37</f>
        <v>0</v>
      </c>
      <c r="W37" s="3197"/>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35" t="str">
        <f>A39</f>
        <v>估价对象XX用房的比较价值（楼面单价，元/平方米）</v>
      </c>
      <c r="Q39" s="3236"/>
      <c r="R39" s="3237" t="e">
        <f>IF(F1="售价",ROUND(AVERAGE(R38:V38),0),ROUND(AVERAGE(R38:V38),1))</f>
        <v>#DIV/0!</v>
      </c>
      <c r="S39" s="3237"/>
      <c r="T39" s="3237"/>
      <c r="U39" s="3237"/>
      <c r="V39" s="3237"/>
      <c r="W39" s="3237"/>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2020-6</v>
      </c>
      <c r="D48" s="1573">
        <f>EDATE(C48,-1)</f>
        <v>43952</v>
      </c>
      <c r="E48" s="1573">
        <f t="shared" ref="E48:O48" si="16">EDATE(D48,-1)</f>
        <v>43922</v>
      </c>
      <c r="F48" s="1573">
        <f t="shared" si="16"/>
        <v>43891</v>
      </c>
      <c r="G48" s="1573">
        <f t="shared" si="16"/>
        <v>43862</v>
      </c>
      <c r="H48" s="1573">
        <f t="shared" si="16"/>
        <v>43831</v>
      </c>
      <c r="I48" s="1573">
        <f t="shared" si="16"/>
        <v>43800</v>
      </c>
      <c r="J48" s="1573">
        <f t="shared" si="16"/>
        <v>43770</v>
      </c>
      <c r="K48" s="1573">
        <f t="shared" si="16"/>
        <v>43739</v>
      </c>
      <c r="L48" s="1573">
        <f t="shared" si="16"/>
        <v>43709</v>
      </c>
      <c r="M48" s="1573">
        <f t="shared" si="16"/>
        <v>43678</v>
      </c>
      <c r="N48" s="1573">
        <f t="shared" si="16"/>
        <v>43647</v>
      </c>
      <c r="O48" s="1573">
        <f t="shared" si="16"/>
        <v>43617</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53" t="s">
        <v>2547</v>
      </c>
      <c r="Q7" s="3186"/>
      <c r="R7" s="768" t="s">
        <v>17</v>
      </c>
      <c r="S7" s="769">
        <f t="shared" ref="S7:S14" si="0">F7</f>
        <v>0</v>
      </c>
      <c r="T7" s="768" t="s">
        <v>17</v>
      </c>
      <c r="U7" s="769">
        <f t="shared" ref="U7:U14" si="1">H7</f>
        <v>0</v>
      </c>
      <c r="V7" s="768" t="s">
        <v>17</v>
      </c>
      <c r="W7" s="769">
        <f t="shared" ref="W7:W14" si="2">J7</f>
        <v>0</v>
      </c>
      <c r="X7" s="770"/>
      <c r="Y7" s="3153" t="s">
        <v>2547</v>
      </c>
      <c r="Z7" s="3154"/>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96" t="s">
        <v>2553</v>
      </c>
      <c r="Q9" s="1793" t="str">
        <f t="shared" ref="Q9:Q14" si="6">B9</f>
        <v>用途</v>
      </c>
      <c r="R9" s="768" t="s">
        <v>17</v>
      </c>
      <c r="S9" s="769">
        <f t="shared" si="0"/>
        <v>100</v>
      </c>
      <c r="T9" s="768" t="s">
        <v>17</v>
      </c>
      <c r="U9" s="769">
        <f t="shared" si="1"/>
        <v>100</v>
      </c>
      <c r="V9" s="768" t="s">
        <v>17</v>
      </c>
      <c r="W9" s="769">
        <f t="shared" si="2"/>
        <v>100</v>
      </c>
      <c r="X9" s="770"/>
      <c r="Y9" s="3027"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96"/>
      <c r="Q10" s="1793" t="str">
        <f t="shared" si="6"/>
        <v>土地使用年限（年）</v>
      </c>
      <c r="R10" s="768" t="s">
        <v>17</v>
      </c>
      <c r="S10" s="769">
        <f t="shared" si="0"/>
        <v>100</v>
      </c>
      <c r="T10" s="768" t="s">
        <v>17</v>
      </c>
      <c r="U10" s="769">
        <f t="shared" si="1"/>
        <v>100</v>
      </c>
      <c r="V10" s="768" t="s">
        <v>17</v>
      </c>
      <c r="W10" s="769">
        <f t="shared" si="2"/>
        <v>100</v>
      </c>
      <c r="X10" s="770"/>
      <c r="Y10" s="3027"/>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96"/>
      <c r="Q11" s="1793">
        <f t="shared" si="6"/>
        <v>111</v>
      </c>
      <c r="R11" s="768" t="s">
        <v>17</v>
      </c>
      <c r="S11" s="769">
        <f t="shared" si="0"/>
        <v>100</v>
      </c>
      <c r="T11" s="768" t="s">
        <v>17</v>
      </c>
      <c r="U11" s="769">
        <f t="shared" si="1"/>
        <v>100</v>
      </c>
      <c r="V11" s="768" t="s">
        <v>17</v>
      </c>
      <c r="W11" s="769">
        <f t="shared" si="2"/>
        <v>100</v>
      </c>
      <c r="X11" s="770"/>
      <c r="Y11" s="3027"/>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96"/>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9" t="s">
        <v>2558</v>
      </c>
      <c r="Q14" s="1808" t="str">
        <f t="shared" si="6"/>
        <v>交通便捷度</v>
      </c>
      <c r="R14" s="772" t="s">
        <v>17</v>
      </c>
      <c r="S14" s="773">
        <f t="shared" si="0"/>
        <v>100</v>
      </c>
      <c r="T14" s="772" t="s">
        <v>17</v>
      </c>
      <c r="U14" s="773">
        <f t="shared" si="1"/>
        <v>100</v>
      </c>
      <c r="V14" s="772" t="s">
        <v>17</v>
      </c>
      <c r="W14" s="773">
        <f t="shared" si="2"/>
        <v>100</v>
      </c>
      <c r="X14" s="1811"/>
      <c r="Y14" s="3189"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90"/>
      <c r="Q15" s="1808"/>
      <c r="R15" s="772"/>
      <c r="S15" s="773"/>
      <c r="T15" s="772"/>
      <c r="U15" s="773"/>
      <c r="V15" s="772"/>
      <c r="W15" s="773"/>
      <c r="X15" s="1811"/>
      <c r="Y15" s="3190"/>
      <c r="Z15" s="1812"/>
      <c r="AA15" s="1809">
        <v>1</v>
      </c>
      <c r="AB15" s="1809">
        <v>1</v>
      </c>
      <c r="AC15" s="1809">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90"/>
      <c r="Q16" s="1808" t="str">
        <f>B16</f>
        <v>公共配套设施</v>
      </c>
      <c r="R16" s="772" t="s">
        <v>17</v>
      </c>
      <c r="S16" s="773">
        <f>F16</f>
        <v>100</v>
      </c>
      <c r="T16" s="772" t="s">
        <v>17</v>
      </c>
      <c r="U16" s="773">
        <f>H16</f>
        <v>100</v>
      </c>
      <c r="V16" s="772" t="s">
        <v>17</v>
      </c>
      <c r="W16" s="773">
        <f>J16</f>
        <v>100</v>
      </c>
      <c r="X16" s="1811"/>
      <c r="Y16" s="3190"/>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90"/>
      <c r="Q17" s="1808"/>
      <c r="R17" s="772"/>
      <c r="S17" s="773"/>
      <c r="T17" s="772"/>
      <c r="U17" s="773"/>
      <c r="V17" s="772"/>
      <c r="W17" s="773"/>
      <c r="X17" s="1811"/>
      <c r="Y17" s="3190"/>
      <c r="Z17" s="1812"/>
      <c r="AA17" s="1809">
        <v>1</v>
      </c>
      <c r="AB17" s="1809">
        <v>1</v>
      </c>
      <c r="AC17" s="1809">
        <v>1</v>
      </c>
    </row>
    <row r="18" spans="1:29" ht="28.5">
      <c r="A18" s="428"/>
      <c r="B18" s="1382"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90"/>
      <c r="Q18" s="1808" t="str">
        <f>B18</f>
        <v>基础设施水平</v>
      </c>
      <c r="R18" s="772" t="s">
        <v>17</v>
      </c>
      <c r="S18" s="773">
        <f>F18</f>
        <v>100</v>
      </c>
      <c r="T18" s="772" t="s">
        <v>17</v>
      </c>
      <c r="U18" s="773">
        <f>H18</f>
        <v>100</v>
      </c>
      <c r="V18" s="772" t="s">
        <v>17</v>
      </c>
      <c r="W18" s="773">
        <f>J18</f>
        <v>100</v>
      </c>
      <c r="X18" s="1811"/>
      <c r="Y18" s="3190"/>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90"/>
      <c r="Q19" s="1808"/>
      <c r="R19" s="772"/>
      <c r="S19" s="773"/>
      <c r="T19" s="772"/>
      <c r="U19" s="773"/>
      <c r="V19" s="772"/>
      <c r="W19" s="773"/>
      <c r="X19" s="1811"/>
      <c r="Y19" s="3190"/>
      <c r="Z19" s="1812"/>
      <c r="AA19" s="1809">
        <v>1</v>
      </c>
      <c r="AB19" s="1809">
        <v>1</v>
      </c>
      <c r="AC19" s="1809">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90"/>
      <c r="Q20" s="1808" t="str">
        <f>B20</f>
        <v>自然及人文环境</v>
      </c>
      <c r="R20" s="772" t="s">
        <v>17</v>
      </c>
      <c r="S20" s="773">
        <f>F20</f>
        <v>100</v>
      </c>
      <c r="T20" s="772" t="s">
        <v>17</v>
      </c>
      <c r="U20" s="773">
        <f>H20</f>
        <v>100</v>
      </c>
      <c r="V20" s="772" t="s">
        <v>17</v>
      </c>
      <c r="W20" s="773">
        <f>J20</f>
        <v>100</v>
      </c>
      <c r="X20" s="1811"/>
      <c r="Y20" s="319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90"/>
      <c r="Q21" s="1808"/>
      <c r="R21" s="772"/>
      <c r="S21" s="773"/>
      <c r="T21" s="772"/>
      <c r="U21" s="773"/>
      <c r="V21" s="772"/>
      <c r="W21" s="773"/>
      <c r="X21" s="1811"/>
      <c r="Y21" s="3190"/>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90"/>
      <c r="Q22" s="1808" t="str">
        <f>B22</f>
        <v>楼层</v>
      </c>
      <c r="R22" s="772" t="s">
        <v>17</v>
      </c>
      <c r="S22" s="773">
        <f>F22</f>
        <v>100</v>
      </c>
      <c r="T22" s="772" t="s">
        <v>17</v>
      </c>
      <c r="U22" s="773">
        <f>H22</f>
        <v>100</v>
      </c>
      <c r="V22" s="772" t="s">
        <v>17</v>
      </c>
      <c r="W22" s="773">
        <f>J22</f>
        <v>100</v>
      </c>
      <c r="X22" s="1811"/>
      <c r="Y22" s="3190"/>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90"/>
      <c r="Q23" s="1808">
        <f>B23</f>
        <v>111</v>
      </c>
      <c r="R23" s="772" t="s">
        <v>17</v>
      </c>
      <c r="S23" s="773">
        <f>F23</f>
        <v>100</v>
      </c>
      <c r="T23" s="772" t="s">
        <v>17</v>
      </c>
      <c r="U23" s="773">
        <f>H23</f>
        <v>100</v>
      </c>
      <c r="V23" s="772" t="s">
        <v>17</v>
      </c>
      <c r="W23" s="773">
        <f>J23</f>
        <v>100</v>
      </c>
      <c r="X23" s="1811"/>
      <c r="Y23" s="3190"/>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90"/>
      <c r="Q24" s="1808">
        <f t="shared" ref="Q24:Q34" si="11">B24</f>
        <v>111</v>
      </c>
      <c r="R24" s="772" t="s">
        <v>17</v>
      </c>
      <c r="S24" s="773">
        <f>F24</f>
        <v>100</v>
      </c>
      <c r="T24" s="772" t="s">
        <v>17</v>
      </c>
      <c r="U24" s="773">
        <f>H24</f>
        <v>100</v>
      </c>
      <c r="V24" s="772" t="s">
        <v>17</v>
      </c>
      <c r="W24" s="773">
        <f>J24</f>
        <v>100</v>
      </c>
      <c r="X24" s="1811"/>
      <c r="Y24" s="3190"/>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90"/>
      <c r="Q25" s="1793">
        <f t="shared" si="11"/>
        <v>111</v>
      </c>
      <c r="R25" s="768" t="s">
        <v>17</v>
      </c>
      <c r="S25" s="769">
        <f>F25</f>
        <v>100</v>
      </c>
      <c r="T25" s="768" t="s">
        <v>17</v>
      </c>
      <c r="U25" s="769">
        <f>H25</f>
        <v>100</v>
      </c>
      <c r="V25" s="768" t="s">
        <v>17</v>
      </c>
      <c r="W25" s="769">
        <f>J25</f>
        <v>100</v>
      </c>
      <c r="X25" s="770"/>
      <c r="Y25" s="3190"/>
      <c r="Z25" s="55">
        <f>Q25</f>
        <v>111</v>
      </c>
      <c r="AA25" s="1809">
        <f>D25/F25</f>
        <v>1</v>
      </c>
      <c r="AB25" s="1809">
        <f>D25/H25</f>
        <v>1</v>
      </c>
      <c r="AC25" s="1809">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38"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94"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4"/>
      <c r="Q27" s="774" t="str">
        <f t="shared" si="11"/>
        <v>成新率</v>
      </c>
      <c r="R27" s="775" t="s">
        <v>17</v>
      </c>
      <c r="S27" s="776" t="e">
        <f t="shared" si="12"/>
        <v>#N/A</v>
      </c>
      <c r="T27" s="775" t="s">
        <v>17</v>
      </c>
      <c r="U27" s="776" t="e">
        <f t="shared" si="13"/>
        <v>#N/A</v>
      </c>
      <c r="V27" s="775" t="s">
        <v>17</v>
      </c>
      <c r="W27" s="776" t="e">
        <f t="shared" si="14"/>
        <v>#N/A</v>
      </c>
      <c r="X27" s="777"/>
      <c r="Y27" s="3194"/>
      <c r="Z27" s="778"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4"/>
      <c r="Q28" s="1808" t="str">
        <f t="shared" si="11"/>
        <v>物业等级</v>
      </c>
      <c r="R28" s="772" t="s">
        <v>17</v>
      </c>
      <c r="S28" s="773">
        <f t="shared" si="12"/>
        <v>100</v>
      </c>
      <c r="T28" s="772" t="s">
        <v>17</v>
      </c>
      <c r="U28" s="773">
        <f t="shared" si="13"/>
        <v>100</v>
      </c>
      <c r="V28" s="772" t="s">
        <v>17</v>
      </c>
      <c r="W28" s="773">
        <f t="shared" si="14"/>
        <v>100</v>
      </c>
      <c r="X28" s="1811"/>
      <c r="Y28" s="3194"/>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94"/>
      <c r="Q29" s="1808" t="str">
        <f t="shared" si="11"/>
        <v>有无电梯</v>
      </c>
      <c r="R29" s="772" t="s">
        <v>17</v>
      </c>
      <c r="S29" s="773">
        <f t="shared" si="12"/>
        <v>100</v>
      </c>
      <c r="T29" s="772" t="s">
        <v>17</v>
      </c>
      <c r="U29" s="773">
        <f t="shared" si="13"/>
        <v>100</v>
      </c>
      <c r="V29" s="772" t="s">
        <v>17</v>
      </c>
      <c r="W29" s="773">
        <f t="shared" si="14"/>
        <v>100</v>
      </c>
      <c r="X29" s="1811"/>
      <c r="Y29" s="3194"/>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4"/>
      <c r="Q30" s="1808" t="str">
        <f t="shared" si="11"/>
        <v>建筑面积</v>
      </c>
      <c r="R30" s="772" t="s">
        <v>17</v>
      </c>
      <c r="S30" s="773" t="e">
        <f t="shared" si="12"/>
        <v>#N/A</v>
      </c>
      <c r="T30" s="772" t="s">
        <v>17</v>
      </c>
      <c r="U30" s="773" t="e">
        <f t="shared" si="13"/>
        <v>#N/A</v>
      </c>
      <c r="V30" s="772" t="s">
        <v>17</v>
      </c>
      <c r="W30" s="773" t="e">
        <f t="shared" si="14"/>
        <v>#N/A</v>
      </c>
      <c r="X30" s="1811"/>
      <c r="Y30" s="3194"/>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94"/>
      <c r="Q31" s="1793" t="str">
        <f t="shared" si="11"/>
        <v>是否封闭</v>
      </c>
      <c r="R31" s="768" t="s">
        <v>17</v>
      </c>
      <c r="S31" s="769">
        <f t="shared" si="12"/>
        <v>100</v>
      </c>
      <c r="T31" s="768" t="s">
        <v>17</v>
      </c>
      <c r="U31" s="769">
        <f t="shared" si="13"/>
        <v>100</v>
      </c>
      <c r="V31" s="768" t="s">
        <v>17</v>
      </c>
      <c r="W31" s="769">
        <f t="shared" si="14"/>
        <v>100</v>
      </c>
      <c r="X31" s="770"/>
      <c r="Y31" s="3194"/>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4" t="s">
        <v>2563</v>
      </c>
      <c r="Q32" s="1808">
        <f t="shared" si="11"/>
        <v>111</v>
      </c>
      <c r="R32" s="772" t="s">
        <v>17</v>
      </c>
      <c r="S32" s="773">
        <f t="shared" si="12"/>
        <v>100</v>
      </c>
      <c r="T32" s="772" t="s">
        <v>17</v>
      </c>
      <c r="U32" s="773">
        <f t="shared" si="13"/>
        <v>100</v>
      </c>
      <c r="V32" s="772" t="s">
        <v>17</v>
      </c>
      <c r="W32" s="773">
        <f t="shared" si="14"/>
        <v>100</v>
      </c>
      <c r="X32" s="1811"/>
      <c r="Y32" s="3194" t="s">
        <v>2563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4"/>
      <c r="Q33" s="1808">
        <f t="shared" si="11"/>
        <v>111</v>
      </c>
      <c r="R33" s="772" t="s">
        <v>17</v>
      </c>
      <c r="S33" s="773">
        <f t="shared" si="12"/>
        <v>100</v>
      </c>
      <c r="T33" s="772" t="s">
        <v>17</v>
      </c>
      <c r="U33" s="773">
        <f t="shared" si="13"/>
        <v>100</v>
      </c>
      <c r="V33" s="772" t="s">
        <v>17</v>
      </c>
      <c r="W33" s="773">
        <f t="shared" si="14"/>
        <v>100</v>
      </c>
      <c r="X33" s="1811"/>
      <c r="Y33" s="3194"/>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94"/>
      <c r="Q34" s="1808">
        <f t="shared" si="11"/>
        <v>111</v>
      </c>
      <c r="R34" s="772" t="s">
        <v>17</v>
      </c>
      <c r="S34" s="773">
        <f t="shared" si="12"/>
        <v>100</v>
      </c>
      <c r="T34" s="772" t="s">
        <v>17</v>
      </c>
      <c r="U34" s="773">
        <f t="shared" si="13"/>
        <v>100</v>
      </c>
      <c r="V34" s="772" t="s">
        <v>17</v>
      </c>
      <c r="W34" s="773">
        <f t="shared" si="14"/>
        <v>100</v>
      </c>
      <c r="X34" s="1811"/>
      <c r="Y34" s="3194"/>
      <c r="Z34" s="1812">
        <f t="shared" si="15"/>
        <v>111</v>
      </c>
      <c r="AA34" s="1809">
        <f t="shared" si="3"/>
        <v>1</v>
      </c>
      <c r="AB34" s="1809">
        <f t="shared" si="4"/>
        <v>1</v>
      </c>
      <c r="AC34" s="1809">
        <f t="shared" si="5"/>
        <v>1</v>
      </c>
    </row>
    <row r="35" spans="1:29" ht="15">
      <c r="A35" s="479" t="s">
        <v>2575</v>
      </c>
      <c r="B35" s="480"/>
      <c r="C35" s="1405" t="s">
        <v>1</v>
      </c>
      <c r="D35" s="1406"/>
      <c r="E35" s="1407"/>
      <c r="F35" s="1408"/>
      <c r="G35" s="1409"/>
      <c r="H35" s="1410"/>
      <c r="I35" s="1407"/>
      <c r="J35" s="1410"/>
      <c r="K35" s="781"/>
      <c r="L35" s="1141"/>
      <c r="M35" s="1142"/>
      <c r="N35" s="1129"/>
      <c r="O35" s="1142"/>
      <c r="P35" s="3196" t="str">
        <f>A35</f>
        <v>成交单价（元/平方米）</v>
      </c>
      <c r="Q35" s="3196"/>
      <c r="R35" s="3197">
        <f>E35</f>
        <v>0</v>
      </c>
      <c r="S35" s="3197"/>
      <c r="T35" s="3197">
        <f>G35</f>
        <v>0</v>
      </c>
      <c r="U35" s="3197"/>
      <c r="V35" s="3197">
        <f>I35</f>
        <v>0</v>
      </c>
      <c r="W35" s="3197"/>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35" t="str">
        <f>A37</f>
        <v>估价对象XX用房的比较价值（楼面单价，元/平方米）</v>
      </c>
      <c r="Q37" s="3236"/>
      <c r="R37" s="3237" t="e">
        <f>IF(F1="售价",ROUND(AVERAGE(R36:V36),0),ROUND(AVERAGE(R36:V36),1))</f>
        <v>#DIV/0!</v>
      </c>
      <c r="S37" s="3237"/>
      <c r="T37" s="3237"/>
      <c r="U37" s="3237"/>
      <c r="V37" s="3237"/>
      <c r="W37" s="3237"/>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2020-6</v>
      </c>
      <c r="D46" s="1573">
        <f>EDATE(C46,-1)</f>
        <v>43952</v>
      </c>
      <c r="E46" s="1573">
        <f t="shared" ref="E46:O46" si="16">EDATE(D46,-1)</f>
        <v>43922</v>
      </c>
      <c r="F46" s="1573">
        <f t="shared" si="16"/>
        <v>43891</v>
      </c>
      <c r="G46" s="1573">
        <f t="shared" si="16"/>
        <v>43862</v>
      </c>
      <c r="H46" s="1573">
        <f t="shared" si="16"/>
        <v>43831</v>
      </c>
      <c r="I46" s="1573">
        <f t="shared" si="16"/>
        <v>43800</v>
      </c>
      <c r="J46" s="1573">
        <f t="shared" si="16"/>
        <v>43770</v>
      </c>
      <c r="K46" s="1573">
        <f t="shared" si="16"/>
        <v>43739</v>
      </c>
      <c r="L46" s="1573">
        <f t="shared" si="16"/>
        <v>43709</v>
      </c>
      <c r="M46" s="1573">
        <f t="shared" si="16"/>
        <v>43678</v>
      </c>
      <c r="N46" s="1573">
        <f t="shared" si="16"/>
        <v>43647</v>
      </c>
      <c r="O46" s="1573">
        <f t="shared" si="16"/>
        <v>43617</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30"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30" ht="15.75" thickBot="1">
      <c r="A6" s="406"/>
      <c r="B6" s="407"/>
      <c r="C6" s="3163" t="s">
        <v>2544</v>
      </c>
      <c r="D6" s="3164"/>
      <c r="E6" s="3165" t="s">
        <v>2544</v>
      </c>
      <c r="F6" s="3166"/>
      <c r="G6" s="3163" t="s">
        <v>2544</v>
      </c>
      <c r="H6" s="3164"/>
      <c r="I6" s="3163" t="s">
        <v>2544</v>
      </c>
      <c r="J6" s="3164"/>
      <c r="K6" s="610" t="s">
        <v>2545</v>
      </c>
      <c r="L6" s="1128"/>
      <c r="M6" s="1129"/>
      <c r="N6" s="1129"/>
      <c r="O6" s="1129"/>
      <c r="P6" s="3234"/>
      <c r="Q6" s="3180"/>
      <c r="R6" s="3157"/>
      <c r="S6" s="3158"/>
      <c r="T6" s="3181"/>
      <c r="U6" s="3182"/>
      <c r="V6" s="3184"/>
      <c r="W6" s="3184"/>
      <c r="X6" s="1811"/>
      <c r="Y6" s="3181"/>
      <c r="Z6" s="3182"/>
      <c r="AA6" s="3152"/>
      <c r="AB6" s="3152"/>
      <c r="AC6" s="3152"/>
    </row>
    <row r="7" spans="1:30" s="117" customFormat="1" ht="15.75" thickBot="1">
      <c r="A7" s="408" t="s">
        <v>2546</v>
      </c>
      <c r="B7" s="409"/>
      <c r="C7" s="410">
        <f>'数据-取费表'!B2</f>
        <v>44011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53" t="s">
        <v>2547</v>
      </c>
      <c r="Q7" s="3186"/>
      <c r="R7" s="768" t="s">
        <v>17</v>
      </c>
      <c r="S7" s="769">
        <f t="shared" ref="S7:S15" si="0">F7</f>
        <v>0</v>
      </c>
      <c r="T7" s="768" t="s">
        <v>17</v>
      </c>
      <c r="U7" s="769">
        <f t="shared" ref="U7:U15" si="1">H7</f>
        <v>0</v>
      </c>
      <c r="V7" s="768" t="s">
        <v>17</v>
      </c>
      <c r="W7" s="769">
        <f t="shared" ref="W7:W15" si="2">J7</f>
        <v>0</v>
      </c>
      <c r="X7" s="770"/>
      <c r="Y7" s="3153" t="s">
        <v>2547</v>
      </c>
      <c r="Z7" s="3154"/>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45" si="3">D8/F8</f>
        <v>#DIV/0!</v>
      </c>
      <c r="AB8" s="771" t="e">
        <f t="shared" ref="AB8:AB45" si="4">D8/H8</f>
        <v>#DIV/0!</v>
      </c>
      <c r="AC8" s="771"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96"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133</v>
      </c>
      <c r="G10" s="463"/>
      <c r="H10" s="136">
        <f>ROUND(100/'数据-取费表'!G16,0)</f>
        <v>133</v>
      </c>
      <c r="I10" s="463"/>
      <c r="J10" s="136">
        <f>ROUND(100/'数据-取费表'!G16,0)</f>
        <v>133</v>
      </c>
      <c r="K10" s="672"/>
      <c r="L10" s="1133"/>
      <c r="M10" s="1134"/>
      <c r="N10" s="1134"/>
      <c r="O10" s="1135"/>
      <c r="P10" s="3196"/>
      <c r="Q10" s="1793" t="str">
        <f t="shared" si="6"/>
        <v>土地使用年限（年）</v>
      </c>
      <c r="R10" s="768" t="s">
        <v>17</v>
      </c>
      <c r="S10" s="769">
        <f t="shared" si="0"/>
        <v>133</v>
      </c>
      <c r="T10" s="768" t="s">
        <v>17</v>
      </c>
      <c r="U10" s="769">
        <f t="shared" si="1"/>
        <v>133</v>
      </c>
      <c r="V10" s="768" t="s">
        <v>17</v>
      </c>
      <c r="W10" s="769">
        <f t="shared" si="2"/>
        <v>133</v>
      </c>
      <c r="X10" s="770"/>
      <c r="Y10" s="3027"/>
      <c r="Z10" s="55" t="str">
        <f t="shared" si="7"/>
        <v>土地使用年限（年）</v>
      </c>
      <c r="AA10" s="771">
        <f t="shared" si="3"/>
        <v>0.75187969924812026</v>
      </c>
      <c r="AB10" s="771">
        <f t="shared" si="4"/>
        <v>0.75187969924812026</v>
      </c>
      <c r="AC10" s="771">
        <f t="shared" si="5"/>
        <v>0.75187969924812026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96"/>
      <c r="Q11" s="1793"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96"/>
      <c r="Q12" s="1793" t="str">
        <f t="shared" si="6"/>
        <v>配建</v>
      </c>
      <c r="R12" s="768" t="s">
        <v>17</v>
      </c>
      <c r="S12" s="769">
        <f t="shared" si="0"/>
        <v>100</v>
      </c>
      <c r="T12" s="768" t="s">
        <v>17</v>
      </c>
      <c r="U12" s="769">
        <f t="shared" si="1"/>
        <v>100</v>
      </c>
      <c r="V12" s="768" t="s">
        <v>17</v>
      </c>
      <c r="W12" s="769">
        <f t="shared" si="2"/>
        <v>100</v>
      </c>
      <c r="X12" s="770"/>
      <c r="Y12" s="3027"/>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96"/>
      <c r="Q14" s="1793">
        <f t="shared" si="6"/>
        <v>111</v>
      </c>
      <c r="R14" s="768" t="s">
        <v>17</v>
      </c>
      <c r="S14" s="769">
        <f t="shared" si="0"/>
        <v>100</v>
      </c>
      <c r="T14" s="768" t="s">
        <v>17</v>
      </c>
      <c r="U14" s="769">
        <f t="shared" si="1"/>
        <v>100</v>
      </c>
      <c r="V14" s="768" t="s">
        <v>17</v>
      </c>
      <c r="W14" s="769">
        <f t="shared" si="2"/>
        <v>100</v>
      </c>
      <c r="X14" s="770"/>
      <c r="Y14" s="3027"/>
      <c r="Z14" s="55">
        <f t="shared" si="7"/>
        <v>111</v>
      </c>
      <c r="AA14" s="771">
        <f>D14/F14</f>
        <v>1</v>
      </c>
      <c r="AB14" s="771">
        <f>D14/H14</f>
        <v>1</v>
      </c>
      <c r="AC14" s="771">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9" t="s">
        <v>2558</v>
      </c>
      <c r="Q15" s="1808" t="str">
        <f t="shared" si="6"/>
        <v>居住社区成熟度</v>
      </c>
      <c r="R15" s="772" t="s">
        <v>17</v>
      </c>
      <c r="S15" s="773">
        <f t="shared" si="0"/>
        <v>100</v>
      </c>
      <c r="T15" s="772" t="s">
        <v>17</v>
      </c>
      <c r="U15" s="773">
        <f t="shared" si="1"/>
        <v>100</v>
      </c>
      <c r="V15" s="772" t="s">
        <v>17</v>
      </c>
      <c r="W15" s="773">
        <f t="shared" si="2"/>
        <v>100</v>
      </c>
      <c r="X15" s="1811"/>
      <c r="Y15" s="3189" t="s">
        <v>2558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90"/>
      <c r="Q16" s="1808"/>
      <c r="R16" s="772"/>
      <c r="S16" s="773"/>
      <c r="T16" s="772"/>
      <c r="U16" s="773"/>
      <c r="V16" s="772"/>
      <c r="W16" s="773"/>
      <c r="X16" s="1811"/>
      <c r="Y16" s="3190"/>
      <c r="Z16" s="1812"/>
      <c r="AA16" s="1809">
        <v>1</v>
      </c>
      <c r="AB16" s="1809">
        <v>1</v>
      </c>
      <c r="AC16" s="1809">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90"/>
      <c r="Q17" s="1808" t="str">
        <f>B17</f>
        <v>商业繁华度</v>
      </c>
      <c r="R17" s="772" t="s">
        <v>17</v>
      </c>
      <c r="S17" s="773">
        <f>F17</f>
        <v>100</v>
      </c>
      <c r="T17" s="772" t="s">
        <v>17</v>
      </c>
      <c r="U17" s="773">
        <f>H17</f>
        <v>100</v>
      </c>
      <c r="V17" s="772" t="s">
        <v>17</v>
      </c>
      <c r="W17" s="773">
        <f>J17</f>
        <v>100</v>
      </c>
      <c r="X17" s="1811"/>
      <c r="Y17" s="3190"/>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90"/>
      <c r="Q18" s="1808"/>
      <c r="R18" s="772"/>
      <c r="S18" s="773"/>
      <c r="T18" s="772"/>
      <c r="U18" s="773"/>
      <c r="V18" s="772"/>
      <c r="W18" s="773"/>
      <c r="X18" s="1811"/>
      <c r="Y18" s="3190"/>
      <c r="Z18" s="1812"/>
      <c r="AA18" s="1809">
        <v>1</v>
      </c>
      <c r="AB18" s="1809">
        <v>1</v>
      </c>
      <c r="AC18" s="1809">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90"/>
      <c r="Q19" s="1808" t="str">
        <f>B19</f>
        <v>办公集聚程度</v>
      </c>
      <c r="R19" s="772" t="s">
        <v>17</v>
      </c>
      <c r="S19" s="773">
        <f>F19</f>
        <v>100</v>
      </c>
      <c r="T19" s="772" t="s">
        <v>17</v>
      </c>
      <c r="U19" s="773">
        <f>H19</f>
        <v>100</v>
      </c>
      <c r="V19" s="772" t="s">
        <v>17</v>
      </c>
      <c r="W19" s="773">
        <f>J19</f>
        <v>100</v>
      </c>
      <c r="X19" s="1811"/>
      <c r="Y19" s="3190"/>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90"/>
      <c r="Q20" s="1808"/>
      <c r="R20" s="772"/>
      <c r="S20" s="773"/>
      <c r="T20" s="772"/>
      <c r="U20" s="773"/>
      <c r="V20" s="772"/>
      <c r="W20" s="773"/>
      <c r="X20" s="1811"/>
      <c r="Y20" s="3190"/>
      <c r="Z20" s="1812"/>
      <c r="AA20" s="1809">
        <v>1</v>
      </c>
      <c r="AB20" s="1809">
        <v>1</v>
      </c>
      <c r="AC20" s="1809">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90"/>
      <c r="Q21" s="1808" t="str">
        <f>B21</f>
        <v>交通便捷度</v>
      </c>
      <c r="R21" s="772" t="s">
        <v>17</v>
      </c>
      <c r="S21" s="773">
        <f>F21</f>
        <v>100</v>
      </c>
      <c r="T21" s="772" t="s">
        <v>17</v>
      </c>
      <c r="U21" s="773">
        <f>H21</f>
        <v>100</v>
      </c>
      <c r="V21" s="772" t="s">
        <v>17</v>
      </c>
      <c r="W21" s="773">
        <f>J21</f>
        <v>100</v>
      </c>
      <c r="X21" s="1811"/>
      <c r="Y21" s="3190"/>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90"/>
      <c r="Q22" s="1808"/>
      <c r="R22" s="772"/>
      <c r="S22" s="773"/>
      <c r="T22" s="772"/>
      <c r="U22" s="773"/>
      <c r="V22" s="772"/>
      <c r="W22" s="773"/>
      <c r="X22" s="1811"/>
      <c r="Y22" s="3190"/>
      <c r="Z22" s="1812"/>
      <c r="AA22" s="1809">
        <v>1</v>
      </c>
      <c r="AB22" s="1809">
        <v>1</v>
      </c>
      <c r="AC22" s="1809">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90"/>
      <c r="Q23" s="1808" t="str">
        <f t="shared" ref="Q23:Q37" si="8">B23</f>
        <v>区域土地利用方向</v>
      </c>
      <c r="R23" s="772" t="s">
        <v>17</v>
      </c>
      <c r="S23" s="773">
        <f>F23</f>
        <v>100</v>
      </c>
      <c r="T23" s="772" t="s">
        <v>17</v>
      </c>
      <c r="U23" s="773">
        <f>H23</f>
        <v>100</v>
      </c>
      <c r="V23" s="772" t="s">
        <v>17</v>
      </c>
      <c r="W23" s="773">
        <f>J23</f>
        <v>100</v>
      </c>
      <c r="X23" s="1811"/>
      <c r="Y23" s="3190"/>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90"/>
      <c r="Q24" s="1808"/>
      <c r="R24" s="772"/>
      <c r="S24" s="773"/>
      <c r="T24" s="772"/>
      <c r="U24" s="773"/>
      <c r="V24" s="772"/>
      <c r="W24" s="773"/>
      <c r="X24" s="1811"/>
      <c r="Y24" s="3190"/>
      <c r="Z24" s="1812"/>
      <c r="AA24" s="1809"/>
      <c r="AB24" s="1809"/>
      <c r="AC24" s="1809"/>
    </row>
    <row r="25" spans="1:29" ht="57">
      <c r="A25" s="404"/>
      <c r="B25" s="1382"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90"/>
      <c r="Q25" s="1808" t="str">
        <f t="shared" si="8"/>
        <v>自然及人文环境状况</v>
      </c>
      <c r="R25" s="772" t="s">
        <v>17</v>
      </c>
      <c r="S25" s="773">
        <f>F25</f>
        <v>100</v>
      </c>
      <c r="T25" s="772" t="s">
        <v>17</v>
      </c>
      <c r="U25" s="773">
        <f>H25</f>
        <v>100</v>
      </c>
      <c r="V25" s="772" t="s">
        <v>17</v>
      </c>
      <c r="W25" s="773">
        <f>J25</f>
        <v>100</v>
      </c>
      <c r="X25" s="1811"/>
      <c r="Y25" s="3190"/>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90"/>
      <c r="Q26" s="1808"/>
      <c r="R26" s="772"/>
      <c r="S26" s="773"/>
      <c r="T26" s="772"/>
      <c r="U26" s="773"/>
      <c r="V26" s="772"/>
      <c r="W26" s="773"/>
      <c r="X26" s="1811"/>
      <c r="Y26" s="3190"/>
      <c r="Z26" s="1812"/>
      <c r="AA26" s="1809">
        <v>1</v>
      </c>
      <c r="AB26" s="1809">
        <v>1</v>
      </c>
      <c r="AC26" s="1809">
        <v>1</v>
      </c>
    </row>
    <row r="27" spans="1:29" s="117" customFormat="1" ht="42.75">
      <c r="A27" s="649"/>
      <c r="B27" s="1382"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90"/>
      <c r="Q27" s="1793" t="str">
        <f t="shared" si="8"/>
        <v>公共配套设施</v>
      </c>
      <c r="R27" s="768" t="s">
        <v>17</v>
      </c>
      <c r="S27" s="769">
        <f>F27</f>
        <v>100</v>
      </c>
      <c r="T27" s="768" t="s">
        <v>17</v>
      </c>
      <c r="U27" s="769">
        <f>H27</f>
        <v>100</v>
      </c>
      <c r="V27" s="768" t="s">
        <v>17</v>
      </c>
      <c r="W27" s="769">
        <f>J27</f>
        <v>100</v>
      </c>
      <c r="X27" s="770"/>
      <c r="Y27" s="3190"/>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90"/>
      <c r="Q28" s="1793"/>
      <c r="R28" s="768"/>
      <c r="S28" s="769"/>
      <c r="T28" s="768"/>
      <c r="U28" s="769"/>
      <c r="V28" s="768"/>
      <c r="W28" s="769"/>
      <c r="X28" s="770"/>
      <c r="Y28" s="3190"/>
      <c r="Z28" s="55"/>
      <c r="AA28" s="1809">
        <v>1</v>
      </c>
      <c r="AB28" s="1809">
        <v>1</v>
      </c>
      <c r="AC28" s="1809">
        <v>1</v>
      </c>
    </row>
    <row r="29" spans="1:29" s="117" customFormat="1" ht="28.5">
      <c r="A29" s="649"/>
      <c r="B29" s="1382"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90"/>
      <c r="Q29" s="1793" t="str">
        <f t="shared" ref="Q29" si="9">B29</f>
        <v>基础设施水平</v>
      </c>
      <c r="R29" s="768" t="s">
        <v>17</v>
      </c>
      <c r="S29" s="769">
        <f>F29</f>
        <v>100</v>
      </c>
      <c r="T29" s="768" t="s">
        <v>17</v>
      </c>
      <c r="U29" s="769">
        <f>H29</f>
        <v>100</v>
      </c>
      <c r="V29" s="768" t="s">
        <v>17</v>
      </c>
      <c r="W29" s="769">
        <f>J29</f>
        <v>100</v>
      </c>
      <c r="X29" s="770"/>
      <c r="Y29" s="3190"/>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90"/>
      <c r="Q30" s="1793"/>
      <c r="R30" s="768"/>
      <c r="S30" s="769"/>
      <c r="T30" s="768"/>
      <c r="U30" s="769"/>
      <c r="V30" s="768"/>
      <c r="W30" s="769"/>
      <c r="X30" s="770"/>
      <c r="Y30" s="3190"/>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9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90"/>
      <c r="Z31" s="1812" t="str">
        <f t="shared" ref="Z31:Z45" si="13">Q31</f>
        <v>临街状况</v>
      </c>
      <c r="AA31" s="1809">
        <f t="shared" si="3"/>
        <v>1</v>
      </c>
      <c r="AB31" s="1809">
        <f t="shared" si="4"/>
        <v>1</v>
      </c>
      <c r="AC31" s="1809">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90"/>
      <c r="Q32" s="1808" t="str">
        <f t="shared" si="8"/>
        <v>毗邻道路的类型与等级</v>
      </c>
      <c r="R32" s="772" t="s">
        <v>17</v>
      </c>
      <c r="S32" s="773">
        <f t="shared" si="10"/>
        <v>100</v>
      </c>
      <c r="T32" s="772" t="s">
        <v>17</v>
      </c>
      <c r="U32" s="773">
        <f t="shared" si="11"/>
        <v>100</v>
      </c>
      <c r="V32" s="772" t="s">
        <v>17</v>
      </c>
      <c r="W32" s="773">
        <f t="shared" si="12"/>
        <v>100</v>
      </c>
      <c r="X32" s="1811"/>
      <c r="Y32" s="3190"/>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90"/>
      <c r="Q33" s="1808"/>
      <c r="R33" s="772"/>
      <c r="S33" s="773"/>
      <c r="T33" s="772"/>
      <c r="U33" s="773"/>
      <c r="V33" s="772"/>
      <c r="W33" s="773"/>
      <c r="X33" s="1811"/>
      <c r="Y33" s="3190"/>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90"/>
      <c r="Q34" s="1808" t="str">
        <f t="shared" si="8"/>
        <v>土地级别</v>
      </c>
      <c r="R34" s="772" t="s">
        <v>17</v>
      </c>
      <c r="S34" s="773">
        <f t="shared" si="10"/>
        <v>100</v>
      </c>
      <c r="T34" s="772" t="s">
        <v>17</v>
      </c>
      <c r="U34" s="773">
        <f t="shared" si="11"/>
        <v>100</v>
      </c>
      <c r="V34" s="772" t="s">
        <v>17</v>
      </c>
      <c r="W34" s="773">
        <f t="shared" si="12"/>
        <v>100</v>
      </c>
      <c r="X34" s="1811"/>
      <c r="Y34" s="319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90"/>
      <c r="Q35" s="1808">
        <f t="shared" si="8"/>
        <v>111</v>
      </c>
      <c r="R35" s="772" t="s">
        <v>17</v>
      </c>
      <c r="S35" s="773">
        <f t="shared" si="10"/>
        <v>100</v>
      </c>
      <c r="T35" s="772" t="s">
        <v>17</v>
      </c>
      <c r="U35" s="773">
        <f t="shared" si="11"/>
        <v>100</v>
      </c>
      <c r="V35" s="772" t="s">
        <v>17</v>
      </c>
      <c r="W35" s="773">
        <f t="shared" si="12"/>
        <v>100</v>
      </c>
      <c r="X35" s="1811"/>
      <c r="Y35" s="319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8" t="s">
        <v>2563</v>
      </c>
      <c r="Q36" s="1808">
        <f t="shared" si="8"/>
        <v>111</v>
      </c>
      <c r="R36" s="772" t="s">
        <v>17</v>
      </c>
      <c r="S36" s="773">
        <f t="shared" si="10"/>
        <v>100</v>
      </c>
      <c r="T36" s="772" t="s">
        <v>17</v>
      </c>
      <c r="U36" s="773">
        <f t="shared" si="11"/>
        <v>100</v>
      </c>
      <c r="V36" s="772" t="s">
        <v>17</v>
      </c>
      <c r="W36" s="773">
        <f t="shared" si="12"/>
        <v>100</v>
      </c>
      <c r="X36" s="1811"/>
      <c r="Y36" s="3194" t="s">
        <v>2563</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94"/>
      <c r="Q37" s="1808">
        <f t="shared" si="8"/>
        <v>111</v>
      </c>
      <c r="R37" s="775" t="s">
        <v>17</v>
      </c>
      <c r="S37" s="776">
        <f t="shared" si="10"/>
        <v>100</v>
      </c>
      <c r="T37" s="775" t="s">
        <v>17</v>
      </c>
      <c r="U37" s="776">
        <f t="shared" si="11"/>
        <v>100</v>
      </c>
      <c r="V37" s="775" t="s">
        <v>17</v>
      </c>
      <c r="W37" s="776">
        <f t="shared" si="12"/>
        <v>100</v>
      </c>
      <c r="X37" s="777"/>
      <c r="Y37" s="3194"/>
      <c r="Z37" s="778">
        <f t="shared" si="13"/>
        <v>111</v>
      </c>
      <c r="AA37" s="1809">
        <f t="shared" si="3"/>
        <v>1</v>
      </c>
      <c r="AB37" s="1809">
        <f t="shared" si="4"/>
        <v>1</v>
      </c>
      <c r="AC37" s="1809">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94"/>
      <c r="Q38" s="1808" t="str">
        <f>B38</f>
        <v>宗地面积</v>
      </c>
      <c r="R38" s="772" t="s">
        <v>17</v>
      </c>
      <c r="S38" s="773" t="e">
        <f t="shared" si="10"/>
        <v>#N/A</v>
      </c>
      <c r="T38" s="772" t="s">
        <v>17</v>
      </c>
      <c r="U38" s="773" t="e">
        <f t="shared" si="11"/>
        <v>#N/A</v>
      </c>
      <c r="V38" s="772" t="s">
        <v>17</v>
      </c>
      <c r="W38" s="773" t="e">
        <f t="shared" si="12"/>
        <v>#N/A</v>
      </c>
      <c r="X38" s="1811"/>
      <c r="Y38" s="3194"/>
      <c r="Z38" s="1812" t="str">
        <f t="shared" si="13"/>
        <v>宗地面积</v>
      </c>
      <c r="AA38" s="1809" t="e">
        <f t="shared" si="3"/>
        <v>#N/A</v>
      </c>
      <c r="AB38" s="1809" t="e">
        <f t="shared" si="4"/>
        <v>#N/A</v>
      </c>
      <c r="AC38" s="1809"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94"/>
      <c r="Q39" s="1808" t="str">
        <f t="shared" ref="Q39:Q45" si="14">B39</f>
        <v>宗地形状</v>
      </c>
      <c r="R39" s="772" t="s">
        <v>17</v>
      </c>
      <c r="S39" s="773">
        <f t="shared" si="10"/>
        <v>100</v>
      </c>
      <c r="T39" s="772" t="s">
        <v>17</v>
      </c>
      <c r="U39" s="773">
        <f t="shared" si="11"/>
        <v>100</v>
      </c>
      <c r="V39" s="772" t="s">
        <v>17</v>
      </c>
      <c r="W39" s="773">
        <f t="shared" si="12"/>
        <v>100</v>
      </c>
      <c r="X39" s="1811"/>
      <c r="Y39" s="3194"/>
      <c r="Z39" s="1812" t="str">
        <f t="shared" si="13"/>
        <v>宗地形状</v>
      </c>
      <c r="AA39" s="1809">
        <f t="shared" si="3"/>
        <v>1</v>
      </c>
      <c r="AB39" s="1809">
        <f t="shared" si="4"/>
        <v>1</v>
      </c>
      <c r="AC39" s="1809">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94"/>
      <c r="Q40" s="1808" t="str">
        <f t="shared" si="14"/>
        <v>临街宽度及深度</v>
      </c>
      <c r="R40" s="772" t="s">
        <v>17</v>
      </c>
      <c r="S40" s="773">
        <f t="shared" si="10"/>
        <v>100</v>
      </c>
      <c r="T40" s="772" t="s">
        <v>17</v>
      </c>
      <c r="U40" s="773">
        <f t="shared" si="11"/>
        <v>100</v>
      </c>
      <c r="V40" s="772" t="s">
        <v>17</v>
      </c>
      <c r="W40" s="773">
        <f t="shared" si="12"/>
        <v>100</v>
      </c>
      <c r="X40" s="1811"/>
      <c r="Y40" s="3194"/>
      <c r="Z40" s="1812" t="str">
        <f t="shared" si="13"/>
        <v>临街宽度及深度</v>
      </c>
      <c r="AA40" s="1809">
        <f t="shared" si="3"/>
        <v>1</v>
      </c>
      <c r="AB40" s="1809">
        <f t="shared" si="4"/>
        <v>1</v>
      </c>
      <c r="AC40" s="1809">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94"/>
      <c r="Q41" s="1808" t="str">
        <f t="shared" si="14"/>
        <v>宗地开发程度</v>
      </c>
      <c r="R41" s="768" t="s">
        <v>17</v>
      </c>
      <c r="S41" s="769">
        <f t="shared" si="10"/>
        <v>100</v>
      </c>
      <c r="T41" s="768" t="s">
        <v>17</v>
      </c>
      <c r="U41" s="769">
        <f t="shared" si="11"/>
        <v>100</v>
      </c>
      <c r="V41" s="768" t="s">
        <v>17</v>
      </c>
      <c r="W41" s="769">
        <f t="shared" si="12"/>
        <v>100</v>
      </c>
      <c r="X41" s="770"/>
      <c r="Y41" s="3194"/>
      <c r="Z41" s="55" t="str">
        <f t="shared" si="13"/>
        <v>宗地开发程度</v>
      </c>
      <c r="AA41" s="771">
        <f t="shared" si="3"/>
        <v>1</v>
      </c>
      <c r="AB41" s="771">
        <f t="shared" si="4"/>
        <v>1</v>
      </c>
      <c r="AC41" s="771">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94" t="s">
        <v>2563</v>
      </c>
      <c r="Q42" s="1808" t="str">
        <f t="shared" si="14"/>
        <v>工程地质条件</v>
      </c>
      <c r="R42" s="772" t="s">
        <v>17</v>
      </c>
      <c r="S42" s="773">
        <f t="shared" si="10"/>
        <v>100</v>
      </c>
      <c r="T42" s="772" t="s">
        <v>17</v>
      </c>
      <c r="U42" s="773">
        <f t="shared" si="11"/>
        <v>100</v>
      </c>
      <c r="V42" s="772" t="s">
        <v>17</v>
      </c>
      <c r="W42" s="773">
        <f t="shared" si="12"/>
        <v>100</v>
      </c>
      <c r="X42" s="1811"/>
      <c r="Y42" s="3194"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94"/>
      <c r="Q43" s="1808">
        <f t="shared" si="14"/>
        <v>111</v>
      </c>
      <c r="R43" s="772" t="s">
        <v>17</v>
      </c>
      <c r="S43" s="773">
        <f t="shared" si="10"/>
        <v>100</v>
      </c>
      <c r="T43" s="772" t="s">
        <v>17</v>
      </c>
      <c r="U43" s="773">
        <f t="shared" si="11"/>
        <v>100</v>
      </c>
      <c r="V43" s="772" t="s">
        <v>17</v>
      </c>
      <c r="W43" s="773">
        <f t="shared" si="12"/>
        <v>100</v>
      </c>
      <c r="X43" s="1811"/>
      <c r="Y43" s="319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94"/>
      <c r="Q44" s="1808">
        <f t="shared" si="14"/>
        <v>111</v>
      </c>
      <c r="R44" s="772" t="s">
        <v>17</v>
      </c>
      <c r="S44" s="773">
        <f t="shared" si="10"/>
        <v>100</v>
      </c>
      <c r="T44" s="772" t="s">
        <v>17</v>
      </c>
      <c r="U44" s="773">
        <f t="shared" si="11"/>
        <v>100</v>
      </c>
      <c r="V44" s="772" t="s">
        <v>17</v>
      </c>
      <c r="W44" s="773">
        <f t="shared" si="12"/>
        <v>100</v>
      </c>
      <c r="X44" s="1811"/>
      <c r="Y44" s="3194"/>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94"/>
      <c r="Q45" s="1808">
        <f t="shared" si="14"/>
        <v>111</v>
      </c>
      <c r="R45" s="775" t="s">
        <v>17</v>
      </c>
      <c r="S45" s="776">
        <f t="shared" si="10"/>
        <v>100</v>
      </c>
      <c r="T45" s="775" t="s">
        <v>17</v>
      </c>
      <c r="U45" s="776">
        <f t="shared" si="11"/>
        <v>100</v>
      </c>
      <c r="V45" s="775" t="s">
        <v>17</v>
      </c>
      <c r="W45" s="776">
        <f t="shared" si="12"/>
        <v>100</v>
      </c>
      <c r="X45" s="777"/>
      <c r="Y45" s="3194"/>
      <c r="Z45" s="778">
        <f t="shared" si="13"/>
        <v>111</v>
      </c>
      <c r="AA45" s="1809">
        <f t="shared" si="3"/>
        <v>1</v>
      </c>
      <c r="AB45" s="1809">
        <f t="shared" si="4"/>
        <v>1</v>
      </c>
      <c r="AC45" s="1809">
        <f t="shared" si="5"/>
        <v>1</v>
      </c>
    </row>
    <row r="46" spans="1:29" ht="15">
      <c r="A46" s="479" t="s">
        <v>2718</v>
      </c>
      <c r="B46" s="2704" t="s">
        <v>2754</v>
      </c>
      <c r="C46" s="682" t="s">
        <v>1</v>
      </c>
      <c r="D46" s="481"/>
      <c r="E46" s="482"/>
      <c r="F46" s="483"/>
      <c r="G46" s="484"/>
      <c r="H46" s="485"/>
      <c r="I46" s="482"/>
      <c r="J46" s="485"/>
      <c r="K46" s="781"/>
      <c r="L46" s="1141"/>
      <c r="M46" s="1142"/>
      <c r="N46" s="1129"/>
      <c r="O46" s="1142"/>
      <c r="P46" s="3196" t="str">
        <f>A46</f>
        <v>成交单价</v>
      </c>
      <c r="Q46" s="3196"/>
      <c r="R46" s="3184">
        <f>E46</f>
        <v>0</v>
      </c>
      <c r="S46" s="3184"/>
      <c r="T46" s="3184">
        <f>G46</f>
        <v>0</v>
      </c>
      <c r="U46" s="3184"/>
      <c r="V46" s="3184">
        <f>I46</f>
        <v>0</v>
      </c>
      <c r="W46" s="3184"/>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96" t="str">
        <f>A47</f>
        <v>比较价值（元/平方米）</v>
      </c>
      <c r="Q47" s="3196"/>
      <c r="R47" s="3239" t="e">
        <f>ROUND(PRODUCT(R46,AA7:AA45),0)</f>
        <v>#DIV/0!</v>
      </c>
      <c r="S47" s="3239"/>
      <c r="T47" s="3239" t="e">
        <f>ROUND(PRODUCT(T46,AB7:AB45),0)</f>
        <v>#DIV/0!</v>
      </c>
      <c r="U47" s="3239"/>
      <c r="V47" s="3239" t="e">
        <f>ROUND(PRODUCT(V46,AC7:AC45),0)</f>
        <v>#DIV/0!</v>
      </c>
      <c r="W47" s="3239"/>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35" t="str">
        <f>A48</f>
        <v>估价对象XX用房的比较价值（楼面单价，元/平方米）</v>
      </c>
      <c r="Q48" s="3236"/>
      <c r="R48" s="3240" t="e">
        <f>ROUND(AVERAGE(R47:V47),0)</f>
        <v>#DIV/0!</v>
      </c>
      <c r="S48" s="3240"/>
      <c r="T48" s="3240"/>
      <c r="U48" s="3240"/>
      <c r="V48" s="3240"/>
      <c r="W48" s="324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5" t="s">
        <v>2758</v>
      </c>
      <c r="D55" s="2706" t="s">
        <v>2759</v>
      </c>
      <c r="E55" s="686" t="s">
        <v>2760</v>
      </c>
      <c r="F55" s="1105" t="s">
        <v>2761</v>
      </c>
      <c r="G55" s="3171" t="s">
        <v>2762</v>
      </c>
      <c r="H55" s="3241"/>
      <c r="I55" s="144" t="s">
        <v>2763</v>
      </c>
      <c r="J55" s="2707">
        <f>项目基本情况!F35</f>
        <v>0</v>
      </c>
      <c r="K55" s="2708" t="s">
        <v>2764</v>
      </c>
      <c r="L55" s="1104"/>
      <c r="M55" s="1142"/>
      <c r="N55" s="1142"/>
      <c r="O55" s="1142"/>
    </row>
    <row r="56" spans="1:15" s="692" customFormat="1">
      <c r="A56" s="688" t="s">
        <v>2765</v>
      </c>
      <c r="B56" s="689" t="e">
        <f>C48</f>
        <v>#DIV/0!</v>
      </c>
      <c r="C56" s="690">
        <v>1</v>
      </c>
      <c r="D56" s="1161">
        <v>1</v>
      </c>
      <c r="E56" s="690">
        <f>'数据-汇总表'!E8+'数据-汇总表'!E9</f>
        <v>107.22</v>
      </c>
      <c r="F56" s="1101" t="e">
        <f t="shared" ref="F56:F65" si="15">ROUND(B56*E56/10000,0)</f>
        <v>#DIV/0!</v>
      </c>
      <c r="G56" s="3167"/>
      <c r="H56" s="3196"/>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2"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2"/>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2"/>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2"/>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0.3</v>
      </c>
      <c r="D61" s="1162">
        <v>0.25</v>
      </c>
      <c r="E61" s="261">
        <f>'数据-汇总表'!E11</f>
        <v>0</v>
      </c>
      <c r="F61" s="1101" t="e">
        <f t="shared" si="15"/>
        <v>#DIV/0!</v>
      </c>
      <c r="G61" s="2709" t="s">
        <v>2772</v>
      </c>
      <c r="H61" s="1102" t="str">
        <f>项目基本情况!C37</f>
        <v>二级</v>
      </c>
      <c r="I61" s="1106">
        <f>SUMIF(修正!A45:A56,H61,修正!F45:F56)</f>
        <v>0.3</v>
      </c>
      <c r="J61" s="1110"/>
      <c r="K61" s="1142"/>
      <c r="L61" s="939"/>
      <c r="M61" s="939"/>
      <c r="N61" s="939"/>
      <c r="O61" s="939"/>
    </row>
    <row r="62" spans="1:15" s="692" customFormat="1">
      <c r="A62" s="693" t="s">
        <v>2773</v>
      </c>
      <c r="B62" s="262" t="e">
        <f t="shared" si="17"/>
        <v>#DIV/0!</v>
      </c>
      <c r="C62" s="200">
        <f t="shared" si="16"/>
        <v>0.3</v>
      </c>
      <c r="D62" s="1162">
        <v>0.25</v>
      </c>
      <c r="E62" s="261">
        <f>'数据-汇总表'!E12</f>
        <v>0</v>
      </c>
      <c r="F62" s="1101" t="e">
        <f t="shared" si="15"/>
        <v>#DIV/0!</v>
      </c>
      <c r="G62" s="1107" t="s">
        <v>2774</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9"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0.25</v>
      </c>
      <c r="D65" s="1162">
        <v>0.25</v>
      </c>
      <c r="E65" s="261">
        <f>'数据-汇总表'!E15</f>
        <v>0</v>
      </c>
      <c r="F65" s="1101" t="e">
        <f t="shared" si="15"/>
        <v>#DIV/0!</v>
      </c>
      <c r="G65" s="2710" t="s">
        <v>2772</v>
      </c>
      <c r="H65" s="1112" t="str">
        <f>项目基本情况!C37</f>
        <v>二级</v>
      </c>
      <c r="I65" s="1108">
        <f>SUMIF(修正!A45:A56,H65,修正!H45:H56)</f>
        <v>0.25</v>
      </c>
      <c r="J65" s="1111"/>
      <c r="K65" s="1142"/>
      <c r="L65" s="939"/>
      <c r="M65" s="939"/>
      <c r="N65" s="939"/>
      <c r="O65" s="939"/>
    </row>
    <row r="66" spans="1:17" s="692" customFormat="1" ht="13.5" thickBot="1">
      <c r="A66" s="695" t="s">
        <v>2779</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2020-6-1</v>
      </c>
      <c r="D68" s="759">
        <f>EDATE(C68,-3)</f>
        <v>43891</v>
      </c>
      <c r="E68" s="759">
        <f>EDATE(D68,-3)</f>
        <v>43800</v>
      </c>
      <c r="F68" s="759">
        <f t="shared" ref="F68:O68" si="18">EDATE(E68,-3)</f>
        <v>43709</v>
      </c>
      <c r="G68" s="759">
        <f t="shared" si="18"/>
        <v>43617</v>
      </c>
      <c r="H68" s="759">
        <f t="shared" si="18"/>
        <v>43525</v>
      </c>
      <c r="I68" s="759">
        <f t="shared" si="18"/>
        <v>43435</v>
      </c>
      <c r="J68" s="759">
        <f t="shared" si="18"/>
        <v>43344</v>
      </c>
      <c r="K68" s="759">
        <f t="shared" si="18"/>
        <v>43252</v>
      </c>
      <c r="L68" s="759">
        <f t="shared" si="18"/>
        <v>43160</v>
      </c>
      <c r="M68" s="759">
        <f t="shared" si="18"/>
        <v>43070</v>
      </c>
      <c r="N68" s="759">
        <f t="shared" si="18"/>
        <v>42979</v>
      </c>
      <c r="O68" s="759">
        <f t="shared" si="18"/>
        <v>42887</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11" t="s">
        <v>2780</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7"/>
    </row>
    <row r="71" spans="1:17" s="117" customFormat="1" ht="30" customHeight="1">
      <c r="A71" s="2712"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71" t="s">
        <v>2644</v>
      </c>
      <c r="D4" s="3172"/>
      <c r="E4" s="3173" t="s">
        <v>2645</v>
      </c>
      <c r="F4" s="3174"/>
      <c r="G4" s="3171" t="s">
        <v>2646</v>
      </c>
      <c r="H4" s="3172"/>
      <c r="I4" s="3171" t="s">
        <v>2647</v>
      </c>
      <c r="J4" s="3172"/>
      <c r="K4" s="610" t="s">
        <v>2648</v>
      </c>
      <c r="L4" s="1128"/>
      <c r="M4" s="1129"/>
      <c r="N4" s="1129"/>
      <c r="O4" s="1129"/>
      <c r="P4" s="3231" t="s">
        <v>2649</v>
      </c>
      <c r="Q4" s="3232"/>
      <c r="R4" s="3229" t="s">
        <v>2645</v>
      </c>
      <c r="S4" s="3230"/>
      <c r="T4" s="3229" t="s">
        <v>2646</v>
      </c>
      <c r="U4" s="3230"/>
      <c r="V4" s="3184" t="s">
        <v>2647</v>
      </c>
      <c r="W4" s="3184"/>
      <c r="X4" s="1811"/>
      <c r="Y4" s="3229" t="s">
        <v>2649</v>
      </c>
      <c r="Z4" s="3230"/>
      <c r="AA4" s="3228" t="s">
        <v>2645</v>
      </c>
      <c r="AB4" s="3151" t="s">
        <v>2646</v>
      </c>
      <c r="AC4" s="3228" t="s">
        <v>2647</v>
      </c>
    </row>
    <row r="5" spans="1:29" ht="15">
      <c r="A5" s="404"/>
      <c r="B5" s="405"/>
      <c r="C5" s="3161" t="s">
        <v>2540</v>
      </c>
      <c r="D5" s="3162"/>
      <c r="E5" s="3159" t="s">
        <v>2541</v>
      </c>
      <c r="F5" s="3160"/>
      <c r="G5" s="3161" t="s">
        <v>2542</v>
      </c>
      <c r="H5" s="3162"/>
      <c r="I5" s="3161" t="s">
        <v>2543</v>
      </c>
      <c r="J5" s="3162"/>
      <c r="K5" s="610"/>
      <c r="L5" s="1128"/>
      <c r="M5" s="1129"/>
      <c r="N5" s="1129"/>
      <c r="O5" s="1129"/>
      <c r="P5" s="3233"/>
      <c r="Q5" s="3178"/>
      <c r="R5" s="3157"/>
      <c r="S5" s="3158"/>
      <c r="T5" s="3157"/>
      <c r="U5" s="3158"/>
      <c r="V5" s="3184"/>
      <c r="W5" s="3184"/>
      <c r="X5" s="1811"/>
      <c r="Y5" s="3157"/>
      <c r="Z5" s="3158"/>
      <c r="AA5" s="3151"/>
      <c r="AB5" s="3151"/>
      <c r="AC5" s="3151"/>
    </row>
    <row r="6" spans="1:29" ht="15.75" thickBot="1">
      <c r="A6" s="406"/>
      <c r="B6" s="407"/>
      <c r="C6" s="3243" t="s">
        <v>2795</v>
      </c>
      <c r="D6" s="3244"/>
      <c r="E6" s="3245" t="s">
        <v>2795</v>
      </c>
      <c r="F6" s="3246"/>
      <c r="G6" s="3243" t="s">
        <v>2795</v>
      </c>
      <c r="H6" s="3244"/>
      <c r="I6" s="3243" t="s">
        <v>2795</v>
      </c>
      <c r="J6" s="3244"/>
      <c r="K6" s="610" t="s">
        <v>2545</v>
      </c>
      <c r="L6" s="1128"/>
      <c r="M6" s="1129"/>
      <c r="N6" s="1129"/>
      <c r="O6" s="1129"/>
      <c r="P6" s="3234"/>
      <c r="Q6" s="3180"/>
      <c r="R6" s="3157"/>
      <c r="S6" s="3158"/>
      <c r="T6" s="3181"/>
      <c r="U6" s="3182"/>
      <c r="V6" s="3184"/>
      <c r="W6" s="3184"/>
      <c r="X6" s="1811"/>
      <c r="Y6" s="3181"/>
      <c r="Z6" s="3182"/>
      <c r="AA6" s="3152"/>
      <c r="AB6" s="3152"/>
      <c r="AC6" s="3152"/>
    </row>
    <row r="7" spans="1:29" s="117" customFormat="1" ht="15.75" thickBot="1">
      <c r="A7" s="408" t="s">
        <v>2546</v>
      </c>
      <c r="B7" s="409"/>
      <c r="C7" s="410">
        <f>'数据-取费表'!B2</f>
        <v>44011</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53" t="s">
        <v>2547</v>
      </c>
      <c r="Q7" s="3186"/>
      <c r="R7" s="768" t="s">
        <v>17</v>
      </c>
      <c r="S7" s="769">
        <f t="shared" ref="S7:S15" si="0">F7</f>
        <v>0</v>
      </c>
      <c r="T7" s="768" t="s">
        <v>17</v>
      </c>
      <c r="U7" s="769">
        <f t="shared" ref="U7:U15" si="1">H7</f>
        <v>0</v>
      </c>
      <c r="V7" s="768" t="s">
        <v>17</v>
      </c>
      <c r="W7" s="769">
        <f t="shared" ref="W7:W15" si="2">J7</f>
        <v>0</v>
      </c>
      <c r="X7" s="770"/>
      <c r="Y7" s="3153" t="s">
        <v>2547</v>
      </c>
      <c r="Z7" s="3154"/>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53" t="s">
        <v>2550</v>
      </c>
      <c r="Q8" s="3154"/>
      <c r="R8" s="768" t="s">
        <v>17</v>
      </c>
      <c r="S8" s="769">
        <f t="shared" si="0"/>
        <v>0</v>
      </c>
      <c r="T8" s="768" t="s">
        <v>17</v>
      </c>
      <c r="U8" s="769">
        <f t="shared" si="1"/>
        <v>0</v>
      </c>
      <c r="V8" s="768" t="s">
        <v>17</v>
      </c>
      <c r="W8" s="769">
        <f t="shared" si="2"/>
        <v>0</v>
      </c>
      <c r="X8" s="770"/>
      <c r="Y8" s="3153" t="s">
        <v>2550</v>
      </c>
      <c r="Z8" s="3154"/>
      <c r="AA8" s="771" t="e">
        <f t="shared" ref="AA8:AA40" si="3">D8/F8</f>
        <v>#DIV/0!</v>
      </c>
      <c r="AB8" s="771" t="e">
        <f t="shared" ref="AB8:AB40" si="4">D8/H8</f>
        <v>#DIV/0!</v>
      </c>
      <c r="AC8" s="771"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96" t="s">
        <v>2553</v>
      </c>
      <c r="Q9" s="1793" t="str">
        <f t="shared" ref="Q9:Q15" si="6">B9</f>
        <v>用途</v>
      </c>
      <c r="R9" s="768" t="s">
        <v>17</v>
      </c>
      <c r="S9" s="769">
        <f t="shared" si="0"/>
        <v>100</v>
      </c>
      <c r="T9" s="768" t="s">
        <v>17</v>
      </c>
      <c r="U9" s="769">
        <f t="shared" si="1"/>
        <v>100</v>
      </c>
      <c r="V9" s="768" t="s">
        <v>17</v>
      </c>
      <c r="W9" s="769">
        <f t="shared" si="2"/>
        <v>100</v>
      </c>
      <c r="X9" s="770"/>
      <c r="Y9" s="3027"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133</v>
      </c>
      <c r="G10" s="432"/>
      <c r="H10" s="136">
        <f>ROUND(100/'数据-取费表'!G16,0)</f>
        <v>133</v>
      </c>
      <c r="I10" s="432"/>
      <c r="J10" s="136">
        <f>ROUND(100/'数据-取费表'!G16,0)</f>
        <v>133</v>
      </c>
      <c r="K10" s="672"/>
      <c r="L10" s="1133"/>
      <c r="M10" s="1134"/>
      <c r="N10" s="1134"/>
      <c r="O10" s="1135"/>
      <c r="P10" s="3196"/>
      <c r="Q10" s="1793" t="str">
        <f t="shared" si="6"/>
        <v>土地使用年限（年）</v>
      </c>
      <c r="R10" s="768" t="s">
        <v>17</v>
      </c>
      <c r="S10" s="769">
        <f t="shared" si="0"/>
        <v>133</v>
      </c>
      <c r="T10" s="768" t="s">
        <v>17</v>
      </c>
      <c r="U10" s="769">
        <f t="shared" si="1"/>
        <v>133</v>
      </c>
      <c r="V10" s="768" t="s">
        <v>17</v>
      </c>
      <c r="W10" s="769">
        <f t="shared" si="2"/>
        <v>133</v>
      </c>
      <c r="X10" s="770"/>
      <c r="Y10" s="3027"/>
      <c r="Z10" s="55" t="str">
        <f t="shared" si="7"/>
        <v>土地使用年限（年）</v>
      </c>
      <c r="AA10" s="771">
        <f t="shared" si="3"/>
        <v>0.75187969924812026</v>
      </c>
      <c r="AB10" s="771">
        <f t="shared" si="4"/>
        <v>0.75187969924812026</v>
      </c>
      <c r="AC10" s="771">
        <f t="shared" si="5"/>
        <v>0.75187969924812026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96"/>
      <c r="Q11" s="1793" t="str">
        <f t="shared" si="6"/>
        <v>容积率</v>
      </c>
      <c r="R11" s="768" t="s">
        <v>17</v>
      </c>
      <c r="S11" s="769" t="e">
        <f t="shared" si="0"/>
        <v>#N/A</v>
      </c>
      <c r="T11" s="768" t="s">
        <v>17</v>
      </c>
      <c r="U11" s="769" t="e">
        <f t="shared" si="1"/>
        <v>#N/A</v>
      </c>
      <c r="V11" s="768" t="s">
        <v>17</v>
      </c>
      <c r="W11" s="769" t="e">
        <f t="shared" si="2"/>
        <v>#N/A</v>
      </c>
      <c r="X11" s="770"/>
      <c r="Y11" s="3027"/>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96"/>
      <c r="Q12" s="1793">
        <f t="shared" si="6"/>
        <v>111</v>
      </c>
      <c r="R12" s="768" t="s">
        <v>17</v>
      </c>
      <c r="S12" s="769">
        <f t="shared" si="0"/>
        <v>100</v>
      </c>
      <c r="T12" s="768" t="s">
        <v>17</v>
      </c>
      <c r="U12" s="769">
        <f t="shared" si="1"/>
        <v>100</v>
      </c>
      <c r="V12" s="768" t="s">
        <v>17</v>
      </c>
      <c r="W12" s="769">
        <f t="shared" si="2"/>
        <v>100</v>
      </c>
      <c r="X12" s="770"/>
      <c r="Y12" s="3027"/>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96"/>
      <c r="Q13" s="1793">
        <f t="shared" si="6"/>
        <v>111</v>
      </c>
      <c r="R13" s="768" t="s">
        <v>17</v>
      </c>
      <c r="S13" s="769">
        <f t="shared" si="0"/>
        <v>100</v>
      </c>
      <c r="T13" s="768" t="s">
        <v>17</v>
      </c>
      <c r="U13" s="769">
        <f t="shared" si="1"/>
        <v>100</v>
      </c>
      <c r="V13" s="768" t="s">
        <v>17</v>
      </c>
      <c r="W13" s="769">
        <f t="shared" si="2"/>
        <v>100</v>
      </c>
      <c r="X13" s="770"/>
      <c r="Y13" s="3027"/>
      <c r="Z13" s="55">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96"/>
      <c r="Q14" s="1793">
        <f t="shared" si="6"/>
        <v>111</v>
      </c>
      <c r="R14" s="768" t="s">
        <v>17</v>
      </c>
      <c r="S14" s="769">
        <f t="shared" si="0"/>
        <v>100</v>
      </c>
      <c r="T14" s="768" t="s">
        <v>17</v>
      </c>
      <c r="U14" s="769">
        <f t="shared" si="1"/>
        <v>100</v>
      </c>
      <c r="V14" s="768" t="s">
        <v>17</v>
      </c>
      <c r="W14" s="769">
        <f t="shared" si="2"/>
        <v>100</v>
      </c>
      <c r="X14" s="770"/>
      <c r="Y14" s="3027"/>
      <c r="Z14" s="55">
        <f t="shared" si="7"/>
        <v>111</v>
      </c>
      <c r="AA14" s="771">
        <f t="shared" si="3"/>
        <v>1</v>
      </c>
      <c r="AB14" s="771">
        <f t="shared" si="4"/>
        <v>1</v>
      </c>
      <c r="AC14" s="771">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9" t="s">
        <v>2558</v>
      </c>
      <c r="Q15" s="1808" t="str">
        <f t="shared" si="6"/>
        <v>产业集聚程度</v>
      </c>
      <c r="R15" s="772" t="s">
        <v>17</v>
      </c>
      <c r="S15" s="773">
        <f t="shared" si="0"/>
        <v>100</v>
      </c>
      <c r="T15" s="772" t="s">
        <v>17</v>
      </c>
      <c r="U15" s="773">
        <f t="shared" si="1"/>
        <v>100</v>
      </c>
      <c r="V15" s="772" t="s">
        <v>17</v>
      </c>
      <c r="W15" s="773">
        <f t="shared" si="2"/>
        <v>100</v>
      </c>
      <c r="X15" s="1811"/>
      <c r="Y15" s="3189" t="s">
        <v>2558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90"/>
      <c r="Q16" s="1808"/>
      <c r="R16" s="772"/>
      <c r="S16" s="773"/>
      <c r="T16" s="772"/>
      <c r="U16" s="773"/>
      <c r="V16" s="772"/>
      <c r="W16" s="773"/>
      <c r="X16" s="1811"/>
      <c r="Y16" s="3190"/>
      <c r="Z16" s="1812"/>
      <c r="AA16" s="1809">
        <v>1</v>
      </c>
      <c r="AB16" s="1809">
        <v>1</v>
      </c>
      <c r="AC16" s="1809">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90"/>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90"/>
      <c r="Q18" s="1808"/>
      <c r="R18" s="772"/>
      <c r="S18" s="773"/>
      <c r="T18" s="772"/>
      <c r="U18" s="773"/>
      <c r="V18" s="772"/>
      <c r="W18" s="773"/>
      <c r="X18" s="1811"/>
      <c r="Y18" s="3190"/>
      <c r="Z18" s="1812"/>
      <c r="AA18" s="1809">
        <v>1</v>
      </c>
      <c r="AB18" s="1809">
        <v>1</v>
      </c>
      <c r="AC18" s="1809">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90"/>
      <c r="Q19" s="1808" t="str">
        <f t="shared" ref="Q19:Q33" si="8">B19</f>
        <v>区域土地利用方向</v>
      </c>
      <c r="R19" s="772" t="s">
        <v>17</v>
      </c>
      <c r="S19" s="773">
        <f>F19</f>
        <v>100</v>
      </c>
      <c r="T19" s="772" t="s">
        <v>17</v>
      </c>
      <c r="U19" s="773">
        <f>H19</f>
        <v>100</v>
      </c>
      <c r="V19" s="772" t="s">
        <v>17</v>
      </c>
      <c r="W19" s="773">
        <f>J19</f>
        <v>100</v>
      </c>
      <c r="X19" s="1811"/>
      <c r="Y19" s="3190"/>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90"/>
      <c r="Q20" s="1808"/>
      <c r="R20" s="772"/>
      <c r="S20" s="773"/>
      <c r="T20" s="772"/>
      <c r="U20" s="773"/>
      <c r="V20" s="772"/>
      <c r="W20" s="773"/>
      <c r="X20" s="1811"/>
      <c r="Y20" s="3190"/>
      <c r="Z20" s="1812"/>
      <c r="AA20" s="1809"/>
      <c r="AB20" s="1809"/>
      <c r="AC20" s="1809"/>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90"/>
      <c r="Q21" s="1808" t="str">
        <f t="shared" si="8"/>
        <v>环境状况</v>
      </c>
      <c r="R21" s="772" t="s">
        <v>17</v>
      </c>
      <c r="S21" s="773">
        <f>F21</f>
        <v>100</v>
      </c>
      <c r="T21" s="772" t="s">
        <v>17</v>
      </c>
      <c r="U21" s="773">
        <f>H21</f>
        <v>100</v>
      </c>
      <c r="V21" s="772" t="s">
        <v>17</v>
      </c>
      <c r="W21" s="773">
        <f>J21</f>
        <v>100</v>
      </c>
      <c r="X21" s="1811"/>
      <c r="Y21" s="3190"/>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90"/>
      <c r="Q22" s="1808"/>
      <c r="R22" s="772"/>
      <c r="S22" s="773"/>
      <c r="T22" s="772"/>
      <c r="U22" s="773"/>
      <c r="V22" s="772"/>
      <c r="W22" s="773"/>
      <c r="X22" s="1811"/>
      <c r="Y22" s="3190"/>
      <c r="Z22" s="1812"/>
      <c r="AA22" s="1809">
        <v>1</v>
      </c>
      <c r="AB22" s="1809">
        <v>1</v>
      </c>
      <c r="AC22" s="1809">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90"/>
      <c r="Q23" s="1793" t="str">
        <f t="shared" si="8"/>
        <v>公共配套设施</v>
      </c>
      <c r="R23" s="768" t="s">
        <v>17</v>
      </c>
      <c r="S23" s="769">
        <f>F23</f>
        <v>100</v>
      </c>
      <c r="T23" s="768" t="s">
        <v>17</v>
      </c>
      <c r="U23" s="769">
        <f>H23</f>
        <v>100</v>
      </c>
      <c r="V23" s="768" t="s">
        <v>17</v>
      </c>
      <c r="W23" s="769">
        <f>J23</f>
        <v>100</v>
      </c>
      <c r="X23" s="770"/>
      <c r="Y23" s="3190"/>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90"/>
      <c r="Q24" s="1793"/>
      <c r="R24" s="768"/>
      <c r="S24" s="769"/>
      <c r="T24" s="768"/>
      <c r="U24" s="769"/>
      <c r="V24" s="768"/>
      <c r="W24" s="769"/>
      <c r="X24" s="770"/>
      <c r="Y24" s="3190"/>
      <c r="Z24" s="55"/>
      <c r="AA24" s="771">
        <v>1</v>
      </c>
      <c r="AB24" s="771">
        <v>1</v>
      </c>
      <c r="AC24" s="771">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90"/>
      <c r="Q25" s="1793" t="str">
        <f t="shared" ref="Q25" si="9">B25</f>
        <v>基础设施水平</v>
      </c>
      <c r="R25" s="768" t="s">
        <v>17</v>
      </c>
      <c r="S25" s="769">
        <f>F25</f>
        <v>100</v>
      </c>
      <c r="T25" s="768" t="s">
        <v>17</v>
      </c>
      <c r="U25" s="769">
        <f>H25</f>
        <v>100</v>
      </c>
      <c r="V25" s="768" t="s">
        <v>17</v>
      </c>
      <c r="W25" s="769">
        <f>J25</f>
        <v>100</v>
      </c>
      <c r="X25" s="770"/>
      <c r="Y25" s="3190"/>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90"/>
      <c r="Q26" s="1793"/>
      <c r="R26" s="768"/>
      <c r="S26" s="769"/>
      <c r="T26" s="768"/>
      <c r="U26" s="769"/>
      <c r="V26" s="768"/>
      <c r="W26" s="769"/>
      <c r="X26" s="770"/>
      <c r="Y26" s="3190"/>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9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90"/>
      <c r="Z27" s="1812" t="str">
        <f t="shared" ref="Z27:Z40" si="13">Q27</f>
        <v>临街状况</v>
      </c>
      <c r="AA27" s="1809">
        <f t="shared" si="3"/>
        <v>1</v>
      </c>
      <c r="AB27" s="1809">
        <f t="shared" si="4"/>
        <v>1</v>
      </c>
      <c r="AC27" s="1809">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90"/>
      <c r="Q28" s="1808" t="str">
        <f t="shared" si="8"/>
        <v>毗邻道路的类型与等级</v>
      </c>
      <c r="R28" s="772" t="s">
        <v>17</v>
      </c>
      <c r="S28" s="773">
        <f t="shared" si="10"/>
        <v>100</v>
      </c>
      <c r="T28" s="772" t="s">
        <v>17</v>
      </c>
      <c r="U28" s="773">
        <f t="shared" si="11"/>
        <v>100</v>
      </c>
      <c r="V28" s="772" t="s">
        <v>17</v>
      </c>
      <c r="W28" s="773">
        <f t="shared" si="12"/>
        <v>100</v>
      </c>
      <c r="X28" s="1811"/>
      <c r="Y28" s="3190"/>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90"/>
      <c r="Q29" s="1808"/>
      <c r="R29" s="772"/>
      <c r="S29" s="773"/>
      <c r="T29" s="772"/>
      <c r="U29" s="773"/>
      <c r="V29" s="772"/>
      <c r="W29" s="773"/>
      <c r="X29" s="1811"/>
      <c r="Y29" s="3190"/>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90"/>
      <c r="Q30" s="1808" t="str">
        <f t="shared" si="8"/>
        <v>土地级别</v>
      </c>
      <c r="R30" s="772" t="s">
        <v>17</v>
      </c>
      <c r="S30" s="773">
        <f t="shared" si="10"/>
        <v>100</v>
      </c>
      <c r="T30" s="772" t="s">
        <v>17</v>
      </c>
      <c r="U30" s="773">
        <f t="shared" si="11"/>
        <v>100</v>
      </c>
      <c r="V30" s="772" t="s">
        <v>17</v>
      </c>
      <c r="W30" s="773">
        <f t="shared" si="12"/>
        <v>100</v>
      </c>
      <c r="X30" s="1811"/>
      <c r="Y30" s="3190"/>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90"/>
      <c r="Q31" s="1808">
        <f t="shared" si="8"/>
        <v>111</v>
      </c>
      <c r="R31" s="772" t="s">
        <v>17</v>
      </c>
      <c r="S31" s="773">
        <f t="shared" si="10"/>
        <v>100</v>
      </c>
      <c r="T31" s="772" t="s">
        <v>17</v>
      </c>
      <c r="U31" s="773">
        <f t="shared" si="11"/>
        <v>100</v>
      </c>
      <c r="V31" s="772" t="s">
        <v>17</v>
      </c>
      <c r="W31" s="773">
        <f t="shared" si="12"/>
        <v>100</v>
      </c>
      <c r="X31" s="1811"/>
      <c r="Y31" s="3190"/>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8" t="s">
        <v>2563</v>
      </c>
      <c r="Q32" s="1808">
        <f t="shared" si="8"/>
        <v>111</v>
      </c>
      <c r="R32" s="772" t="s">
        <v>17</v>
      </c>
      <c r="S32" s="773">
        <f t="shared" si="10"/>
        <v>100</v>
      </c>
      <c r="T32" s="772" t="s">
        <v>17</v>
      </c>
      <c r="U32" s="773">
        <f t="shared" si="11"/>
        <v>100</v>
      </c>
      <c r="V32" s="772" t="s">
        <v>17</v>
      </c>
      <c r="W32" s="773">
        <f t="shared" si="12"/>
        <v>100</v>
      </c>
      <c r="X32" s="1811"/>
      <c r="Y32" s="3194" t="s">
        <v>2563</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94"/>
      <c r="Q33" s="1808">
        <f t="shared" si="8"/>
        <v>111</v>
      </c>
      <c r="R33" s="775" t="s">
        <v>17</v>
      </c>
      <c r="S33" s="776">
        <f t="shared" si="10"/>
        <v>100</v>
      </c>
      <c r="T33" s="775" t="s">
        <v>17</v>
      </c>
      <c r="U33" s="776">
        <f t="shared" si="11"/>
        <v>100</v>
      </c>
      <c r="V33" s="775" t="s">
        <v>17</v>
      </c>
      <c r="W33" s="776">
        <f t="shared" si="12"/>
        <v>100</v>
      </c>
      <c r="X33" s="777"/>
      <c r="Y33" s="3194"/>
      <c r="Z33" s="778">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94"/>
      <c r="Q34" s="1808" t="str">
        <f>B34</f>
        <v>宗地面积</v>
      </c>
      <c r="R34" s="772" t="s">
        <v>17</v>
      </c>
      <c r="S34" s="773" t="e">
        <f t="shared" si="10"/>
        <v>#N/A</v>
      </c>
      <c r="T34" s="772" t="s">
        <v>17</v>
      </c>
      <c r="U34" s="773" t="e">
        <f t="shared" si="11"/>
        <v>#N/A</v>
      </c>
      <c r="V34" s="772" t="s">
        <v>17</v>
      </c>
      <c r="W34" s="773" t="e">
        <f t="shared" si="12"/>
        <v>#N/A</v>
      </c>
      <c r="X34" s="1811"/>
      <c r="Y34" s="3194"/>
      <c r="Z34" s="1812" t="str">
        <f t="shared" si="13"/>
        <v>宗地面积</v>
      </c>
      <c r="AA34" s="1809" t="e">
        <f t="shared" si="3"/>
        <v>#N/A</v>
      </c>
      <c r="AB34" s="1809" t="e">
        <f t="shared" si="4"/>
        <v>#N/A</v>
      </c>
      <c r="AC34" s="1809"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94"/>
      <c r="Q35" s="1808" t="str">
        <f t="shared" ref="Q35:Q40" si="14">B35</f>
        <v>宗地形状</v>
      </c>
      <c r="R35" s="772" t="s">
        <v>17</v>
      </c>
      <c r="S35" s="773">
        <f t="shared" si="10"/>
        <v>100</v>
      </c>
      <c r="T35" s="772" t="s">
        <v>17</v>
      </c>
      <c r="U35" s="773">
        <f t="shared" si="11"/>
        <v>100</v>
      </c>
      <c r="V35" s="772" t="s">
        <v>17</v>
      </c>
      <c r="W35" s="773">
        <f t="shared" si="12"/>
        <v>100</v>
      </c>
      <c r="X35" s="1811"/>
      <c r="Y35" s="3194"/>
      <c r="Z35" s="1812" t="str">
        <f t="shared" si="13"/>
        <v>宗地形状</v>
      </c>
      <c r="AA35" s="1809">
        <f t="shared" si="3"/>
        <v>1</v>
      </c>
      <c r="AB35" s="1809">
        <f t="shared" si="4"/>
        <v>1</v>
      </c>
      <c r="AC35" s="1809">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94"/>
      <c r="Q36" s="1808" t="str">
        <f t="shared" si="14"/>
        <v>宗地开发程度</v>
      </c>
      <c r="R36" s="768" t="s">
        <v>17</v>
      </c>
      <c r="S36" s="769">
        <f t="shared" si="10"/>
        <v>100</v>
      </c>
      <c r="T36" s="768" t="s">
        <v>17</v>
      </c>
      <c r="U36" s="769">
        <f t="shared" si="11"/>
        <v>100</v>
      </c>
      <c r="V36" s="768" t="s">
        <v>17</v>
      </c>
      <c r="W36" s="769">
        <f t="shared" si="12"/>
        <v>100</v>
      </c>
      <c r="X36" s="770"/>
      <c r="Y36" s="3194"/>
      <c r="Z36" s="55" t="str">
        <f t="shared" si="13"/>
        <v>宗地开发程度</v>
      </c>
      <c r="AA36" s="771">
        <f t="shared" si="3"/>
        <v>1</v>
      </c>
      <c r="AB36" s="771">
        <f t="shared" si="4"/>
        <v>1</v>
      </c>
      <c r="AC36" s="771">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94" t="s">
        <v>2563</v>
      </c>
      <c r="Q37" s="1808" t="str">
        <f t="shared" si="14"/>
        <v>工程地质条件</v>
      </c>
      <c r="R37" s="772" t="s">
        <v>17</v>
      </c>
      <c r="S37" s="773">
        <f t="shared" si="10"/>
        <v>100</v>
      </c>
      <c r="T37" s="772" t="s">
        <v>17</v>
      </c>
      <c r="U37" s="773">
        <f t="shared" si="11"/>
        <v>100</v>
      </c>
      <c r="V37" s="772" t="s">
        <v>17</v>
      </c>
      <c r="W37" s="773">
        <f t="shared" si="12"/>
        <v>100</v>
      </c>
      <c r="X37" s="1811"/>
      <c r="Y37" s="3194"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94"/>
      <c r="Q38" s="1808">
        <f t="shared" si="14"/>
        <v>111</v>
      </c>
      <c r="R38" s="772" t="s">
        <v>17</v>
      </c>
      <c r="S38" s="773">
        <f t="shared" si="10"/>
        <v>100</v>
      </c>
      <c r="T38" s="772" t="s">
        <v>17</v>
      </c>
      <c r="U38" s="773">
        <f t="shared" si="11"/>
        <v>100</v>
      </c>
      <c r="V38" s="772" t="s">
        <v>17</v>
      </c>
      <c r="W38" s="773">
        <f t="shared" si="12"/>
        <v>100</v>
      </c>
      <c r="X38" s="1811"/>
      <c r="Y38" s="319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94"/>
      <c r="Q39" s="1808">
        <f t="shared" si="14"/>
        <v>111</v>
      </c>
      <c r="R39" s="772" t="s">
        <v>17</v>
      </c>
      <c r="S39" s="773">
        <f t="shared" si="10"/>
        <v>100</v>
      </c>
      <c r="T39" s="772" t="s">
        <v>17</v>
      </c>
      <c r="U39" s="773">
        <f t="shared" si="11"/>
        <v>100</v>
      </c>
      <c r="V39" s="772" t="s">
        <v>17</v>
      </c>
      <c r="W39" s="773">
        <f t="shared" si="12"/>
        <v>100</v>
      </c>
      <c r="X39" s="1811"/>
      <c r="Y39" s="3194"/>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94"/>
      <c r="Q40" s="1808">
        <f t="shared" si="14"/>
        <v>111</v>
      </c>
      <c r="R40" s="775" t="s">
        <v>17</v>
      </c>
      <c r="S40" s="776">
        <f t="shared" si="10"/>
        <v>100</v>
      </c>
      <c r="T40" s="775" t="s">
        <v>17</v>
      </c>
      <c r="U40" s="776">
        <f t="shared" si="11"/>
        <v>100</v>
      </c>
      <c r="V40" s="775" t="s">
        <v>17</v>
      </c>
      <c r="W40" s="776">
        <f t="shared" si="12"/>
        <v>100</v>
      </c>
      <c r="X40" s="777"/>
      <c r="Y40" s="3194"/>
      <c r="Z40" s="778">
        <f t="shared" si="13"/>
        <v>111</v>
      </c>
      <c r="AA40" s="1809">
        <f t="shared" si="3"/>
        <v>1</v>
      </c>
      <c r="AB40" s="1809">
        <f t="shared" si="4"/>
        <v>1</v>
      </c>
      <c r="AC40" s="1809">
        <f t="shared" si="5"/>
        <v>1</v>
      </c>
    </row>
    <row r="41" spans="1:29" ht="15">
      <c r="A41" s="479" t="s">
        <v>2718</v>
      </c>
      <c r="B41" s="2704" t="s">
        <v>2798</v>
      </c>
      <c r="C41" s="682" t="s">
        <v>1</v>
      </c>
      <c r="D41" s="481"/>
      <c r="E41" s="482"/>
      <c r="F41" s="483"/>
      <c r="G41" s="484"/>
      <c r="H41" s="485"/>
      <c r="I41" s="482"/>
      <c r="J41" s="485"/>
      <c r="K41" s="781"/>
      <c r="L41" s="1141"/>
      <c r="M41" s="1129"/>
      <c r="N41" s="1129"/>
      <c r="O41" s="1142"/>
      <c r="P41" s="3196" t="str">
        <f>A41</f>
        <v>成交单价</v>
      </c>
      <c r="Q41" s="3196"/>
      <c r="R41" s="3184">
        <f>E41</f>
        <v>0</v>
      </c>
      <c r="S41" s="3184"/>
      <c r="T41" s="3184">
        <f>G41</f>
        <v>0</v>
      </c>
      <c r="U41" s="3184"/>
      <c r="V41" s="3184">
        <f>I41</f>
        <v>0</v>
      </c>
      <c r="W41" s="3184"/>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96" t="str">
        <f>A42</f>
        <v>比较价值（元/平方米）</v>
      </c>
      <c r="Q42" s="3196"/>
      <c r="R42" s="3239" t="e">
        <f>ROUND(PRODUCT(R41,AA7:AA40),0)</f>
        <v>#DIV/0!</v>
      </c>
      <c r="S42" s="3239"/>
      <c r="T42" s="3239" t="e">
        <f>ROUND(PRODUCT(T41,AB7:AB40),0)</f>
        <v>#DIV/0!</v>
      </c>
      <c r="U42" s="3239"/>
      <c r="V42" s="3239" t="e">
        <f>ROUND(PRODUCT(V41,AC7:AC40),0)</f>
        <v>#DIV/0!</v>
      </c>
      <c r="W42" s="3239"/>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35" t="str">
        <f>A43</f>
        <v>估价对象XX用房的比较价值（楼面单价，元/平方米）</v>
      </c>
      <c r="Q43" s="3236"/>
      <c r="R43" s="3240" t="e">
        <f>ROUND(AVERAGE(R42:V42),0)</f>
        <v>#DIV/0!</v>
      </c>
      <c r="S43" s="3240"/>
      <c r="T43" s="3240"/>
      <c r="U43" s="3240"/>
      <c r="V43" s="3240"/>
      <c r="W43" s="324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5" t="s">
        <v>2758</v>
      </c>
      <c r="D50" s="2706" t="s">
        <v>2759</v>
      </c>
      <c r="E50" s="686" t="s">
        <v>2760</v>
      </c>
      <c r="F50" s="687" t="s">
        <v>2761</v>
      </c>
      <c r="G50" s="3171" t="s">
        <v>2762</v>
      </c>
      <c r="H50" s="3241"/>
      <c r="I50" s="1812" t="s">
        <v>2799</v>
      </c>
      <c r="J50" s="1812">
        <f>项目基本情况!F35</f>
        <v>0</v>
      </c>
      <c r="K50" s="2708" t="s">
        <v>2764</v>
      </c>
      <c r="L50" s="1104"/>
      <c r="M50" s="1142"/>
      <c r="N50" s="1142"/>
      <c r="O50" s="1142"/>
    </row>
    <row r="51" spans="1:17" s="692" customFormat="1">
      <c r="A51" s="688" t="s">
        <v>2765</v>
      </c>
      <c r="B51" s="689" t="e">
        <f>C43</f>
        <v>#DIV/0!</v>
      </c>
      <c r="C51" s="690">
        <v>1</v>
      </c>
      <c r="D51" s="1161">
        <v>1</v>
      </c>
      <c r="E51" s="690">
        <f>'数据-汇总表'!E8+'数据-汇总表'!E9</f>
        <v>107.22</v>
      </c>
      <c r="F51" s="691" t="e">
        <f t="shared" ref="F51:F60" si="15">ROUND(B51*E51/10000,0)</f>
        <v>#DIV/0!</v>
      </c>
      <c r="G51" s="3167"/>
      <c r="H51" s="3196"/>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2"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2"/>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2"/>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2"/>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0.3</v>
      </c>
      <c r="D56" s="1162">
        <v>0.25</v>
      </c>
      <c r="E56" s="261">
        <f>'数据-汇总表'!E11</f>
        <v>0</v>
      </c>
      <c r="F56" s="691" t="e">
        <f t="shared" si="15"/>
        <v>#DIV/0!</v>
      </c>
      <c r="G56" s="2709" t="s">
        <v>2772</v>
      </c>
      <c r="H56" s="1102" t="str">
        <f>项目基本情况!C37</f>
        <v>二级</v>
      </c>
      <c r="I56" s="940">
        <f>SUMIF(修正!A45:A56,H56,修正!F45:F56)</f>
        <v>0.3</v>
      </c>
      <c r="J56" s="941"/>
      <c r="K56" s="1142"/>
      <c r="L56" s="939"/>
      <c r="M56" s="939"/>
      <c r="N56" s="939"/>
      <c r="O56" s="939"/>
    </row>
    <row r="57" spans="1:17" s="692" customFormat="1">
      <c r="A57" s="693" t="s">
        <v>2773</v>
      </c>
      <c r="B57" s="262" t="e">
        <f t="shared" si="17"/>
        <v>#DIV/0!</v>
      </c>
      <c r="C57" s="200">
        <f t="shared" si="16"/>
        <v>0.3</v>
      </c>
      <c r="D57" s="1162">
        <v>0.25</v>
      </c>
      <c r="E57" s="261">
        <f>'数据-汇总表'!E12</f>
        <v>0</v>
      </c>
      <c r="F57" s="691" t="e">
        <f t="shared" si="15"/>
        <v>#DIV/0!</v>
      </c>
      <c r="G57" s="1107" t="s">
        <v>2774</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9"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0.25</v>
      </c>
      <c r="D60" s="1162">
        <v>0.25</v>
      </c>
      <c r="E60" s="261">
        <f>'数据-汇总表'!E15</f>
        <v>0</v>
      </c>
      <c r="F60" s="691" t="e">
        <f t="shared" si="15"/>
        <v>#DIV/0!</v>
      </c>
      <c r="G60" s="2710" t="s">
        <v>2772</v>
      </c>
      <c r="H60" s="1112" t="str">
        <f>项目基本情况!C37</f>
        <v>二级</v>
      </c>
      <c r="I60" s="940">
        <f>SUMIF(修正!A45:A56,H60,修正!H45:H56)</f>
        <v>0.25</v>
      </c>
      <c r="J60" s="941"/>
      <c r="K60" s="1142"/>
      <c r="L60" s="939"/>
      <c r="M60" s="939"/>
      <c r="N60" s="939"/>
      <c r="O60" s="939"/>
    </row>
    <row r="61" spans="1:17" s="692" customFormat="1" ht="15" thickBot="1">
      <c r="A61" s="695" t="s">
        <v>2779</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2020-6-1</v>
      </c>
      <c r="D63" s="759">
        <f>EDATE(C63,-3)</f>
        <v>43891</v>
      </c>
      <c r="E63" s="759">
        <f>EDATE(D63,-3)</f>
        <v>43800</v>
      </c>
      <c r="F63" s="759">
        <f t="shared" ref="F63:O63" si="18">EDATE(E63,-3)</f>
        <v>43709</v>
      </c>
      <c r="G63" s="759">
        <f t="shared" si="18"/>
        <v>43617</v>
      </c>
      <c r="H63" s="759">
        <f t="shared" si="18"/>
        <v>43525</v>
      </c>
      <c r="I63" s="759">
        <f t="shared" si="18"/>
        <v>43435</v>
      </c>
      <c r="J63" s="759">
        <f t="shared" si="18"/>
        <v>43344</v>
      </c>
      <c r="K63" s="759">
        <f t="shared" si="18"/>
        <v>43252</v>
      </c>
      <c r="L63" s="759">
        <f t="shared" si="18"/>
        <v>43160</v>
      </c>
      <c r="M63" s="759">
        <f t="shared" si="18"/>
        <v>43070</v>
      </c>
      <c r="N63" s="759">
        <f t="shared" si="18"/>
        <v>42979</v>
      </c>
      <c r="O63" s="759">
        <f t="shared" si="18"/>
        <v>42887</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11" t="s">
        <v>2780</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7"/>
    </row>
    <row r="66" spans="1:17" s="117" customFormat="1" ht="30.75" customHeight="1">
      <c r="A66" s="2716" t="s">
        <v>2800</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2802</v>
      </c>
      <c r="B1" s="241"/>
      <c r="C1" s="245" t="s">
        <v>2803</v>
      </c>
      <c r="D1" s="388">
        <f>SUM(D29:D30,D33:D39)</f>
        <v>107.22</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f ca="1">C26</f>
        <v>0</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Ⅱ—09</v>
      </c>
      <c r="J2" s="2725"/>
      <c r="K2" s="1368"/>
      <c r="L2" s="2726" t="s">
        <v>2815</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2816</v>
      </c>
      <c r="B3" s="248">
        <f ca="1">ROUND(B2*10000/D1,0)</f>
        <v>0</v>
      </c>
      <c r="C3" s="2721" t="s">
        <v>2817</v>
      </c>
      <c r="D3" s="2722" t="s">
        <v>2818</v>
      </c>
      <c r="E3" s="2727" t="s">
        <v>3115</v>
      </c>
      <c r="F3" s="2728" t="s">
        <v>2819</v>
      </c>
      <c r="G3" s="914">
        <f>IF(F3="宗地容积率",'数据-汇总表'!I4,IF(F3="估价对象容积率",'数据-汇总表'!I6,'数据-汇总表'!I7))</f>
        <v>9.74</v>
      </c>
      <c r="H3" s="198" t="s">
        <v>2820</v>
      </c>
      <c r="I3" s="942"/>
      <c r="J3" s="2725" t="s">
        <v>2821</v>
      </c>
      <c r="K3" s="1368"/>
      <c r="L3" s="2726"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3"/>
      <c r="B4" s="3264"/>
      <c r="C4" s="3264"/>
      <c r="D4" s="3265"/>
      <c r="E4" s="3265"/>
      <c r="F4" s="3265"/>
      <c r="G4" s="3265"/>
      <c r="H4" s="3265"/>
      <c r="I4" s="3265"/>
      <c r="J4" s="3266"/>
      <c r="K4" s="1368"/>
      <c r="L4" s="2726"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2824</v>
      </c>
      <c r="C5" s="915">
        <f>ROUND(IF(E2="商业",C6*C7+C16,(IF(E2="住宅",C6*C12+C16,C6+C16))),0)</f>
        <v>24309</v>
      </c>
      <c r="D5" s="1785">
        <f>ROUND(C6+C16,0)</f>
        <v>24309</v>
      </c>
      <c r="E5" s="1785"/>
      <c r="F5" s="2731"/>
      <c r="G5" s="2732"/>
      <c r="H5" s="2732"/>
      <c r="I5" s="2732"/>
      <c r="J5" s="2733"/>
      <c r="K5" s="2734"/>
      <c r="L5" s="2726"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2826</v>
      </c>
      <c r="B6" s="2740" t="s">
        <v>2827</v>
      </c>
      <c r="C6" s="916">
        <f>SUMIF(L1:L12,G2,M1:M12)</f>
        <v>24340</v>
      </c>
      <c r="D6" s="2741" t="s">
        <v>2828</v>
      </c>
      <c r="E6" s="2742"/>
      <c r="F6" s="2742"/>
      <c r="G6" s="2743"/>
      <c r="H6" s="2743"/>
      <c r="I6" s="2743"/>
      <c r="J6" s="2744"/>
      <c r="K6" s="1840"/>
      <c r="L6" s="2726"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0</v>
      </c>
      <c r="U6" s="1601"/>
      <c r="V6" s="1600">
        <f t="shared" ca="1" si="1"/>
        <v>0</v>
      </c>
      <c r="W6" s="1604"/>
      <c r="X6" s="1604"/>
      <c r="Y6" s="1604"/>
      <c r="Z6" s="1604"/>
      <c r="AA6" s="1604"/>
      <c r="AB6" s="1604"/>
      <c r="AC6" s="2735"/>
      <c r="AD6" s="2736"/>
      <c r="AE6" s="2736"/>
      <c r="AF6" s="2736"/>
      <c r="AG6" s="2736"/>
      <c r="AH6" s="2736"/>
      <c r="AI6" s="2736"/>
      <c r="AJ6" s="2737"/>
    </row>
    <row r="7" spans="1:36" ht="24">
      <c r="A7" s="3247" t="str">
        <f>IF(E2="商业",IF(C8="不临58条商业街","",2),"")</f>
        <v/>
      </c>
      <c r="B7" s="2745" t="s">
        <v>2830</v>
      </c>
      <c r="C7" s="917" t="e">
        <f>IF(C8="不临58条商业街",1,ROUND(1+(1.6*E8+1.2*E9+0.8*E10+0.4*E11)*C9,4))</f>
        <v>#DIV/0!</v>
      </c>
      <c r="D7" s="2746" t="s">
        <v>2831</v>
      </c>
      <c r="E7" s="943"/>
      <c r="F7" s="2747"/>
      <c r="G7" s="2748"/>
      <c r="H7" s="2748"/>
      <c r="I7" s="2748"/>
      <c r="J7" s="2749"/>
      <c r="K7" s="1840"/>
      <c r="L7" s="2726"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0</v>
      </c>
      <c r="U7" s="1601"/>
      <c r="V7" s="1600">
        <f t="shared" ca="1" si="1"/>
        <v>0</v>
      </c>
      <c r="W7" s="1814" t="s">
        <v>2833</v>
      </c>
      <c r="X7" s="1602" t="str">
        <f>G2</f>
        <v>二级</v>
      </c>
      <c r="Y7" s="1602" t="s">
        <v>2834</v>
      </c>
      <c r="Z7" s="1603">
        <f>G3</f>
        <v>9.74</v>
      </c>
      <c r="AA7" s="1604"/>
      <c r="AB7" s="1604"/>
      <c r="AC7" s="1605"/>
      <c r="AD7" s="1606"/>
      <c r="AE7" s="1606"/>
      <c r="AF7" s="1606"/>
      <c r="AG7" s="1606"/>
      <c r="AH7" s="1606"/>
      <c r="AI7" s="1606"/>
      <c r="AJ7" s="1607"/>
    </row>
    <row r="8" spans="1:36" ht="15">
      <c r="A8" s="3267"/>
      <c r="B8" s="198" t="s">
        <v>2835</v>
      </c>
      <c r="C8" s="2750"/>
      <c r="D8" s="918" t="s">
        <v>139</v>
      </c>
      <c r="E8" s="919" t="e">
        <f>ROUND(C11/E7,4)</f>
        <v>#DIV/0!</v>
      </c>
      <c r="F8" s="2751" t="s">
        <v>2836</v>
      </c>
      <c r="G8" s="2752"/>
      <c r="H8" s="2752"/>
      <c r="I8" s="2752"/>
      <c r="J8" s="2753"/>
      <c r="K8" s="1368"/>
      <c r="L8" s="2726"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60" t="s">
        <v>2838</v>
      </c>
      <c r="X8" s="3261"/>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67"/>
      <c r="B9" s="198" t="s">
        <v>2851</v>
      </c>
      <c r="C9" s="920">
        <f>SUMIF(修正!C59:C119,C8,修正!E59:E119)</f>
        <v>0</v>
      </c>
      <c r="D9" s="200" t="s">
        <v>140</v>
      </c>
      <c r="E9" s="200" t="e">
        <f>ROUND(C11/E7,4)</f>
        <v>#DIV/0!</v>
      </c>
      <c r="F9" s="2751" t="s">
        <v>2852</v>
      </c>
      <c r="G9" s="2752"/>
      <c r="H9" s="2752"/>
      <c r="I9" s="2752"/>
      <c r="J9" s="2753"/>
      <c r="K9" s="1368"/>
      <c r="L9" s="2726"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2"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7"/>
      <c r="B10" s="198" t="s">
        <v>2856</v>
      </c>
      <c r="C10" s="200">
        <f>SUMIF(修正!C59:C119,C8,修正!F59:F119)</f>
        <v>0</v>
      </c>
      <c r="D10" s="200" t="s">
        <v>141</v>
      </c>
      <c r="E10" s="200" t="e">
        <f>ROUND(C11/E7,4)</f>
        <v>#DIV/0!</v>
      </c>
      <c r="F10" s="2751" t="s">
        <v>2857</v>
      </c>
      <c r="G10" s="2752"/>
      <c r="H10" s="2752"/>
      <c r="I10" s="2752"/>
      <c r="J10" s="2753"/>
      <c r="K10" s="1368"/>
      <c r="L10" s="2726"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7"/>
      <c r="B11" s="2754" t="s">
        <v>2859</v>
      </c>
      <c r="C11" s="921">
        <f>C10/4</f>
        <v>0</v>
      </c>
      <c r="D11" s="921" t="s">
        <v>142</v>
      </c>
      <c r="E11" s="921" t="e">
        <f>ROUND(C11/E7,4)</f>
        <v>#DIV/0!</v>
      </c>
      <c r="F11" s="2755" t="s">
        <v>2860</v>
      </c>
      <c r="G11" s="2756"/>
      <c r="H11" s="2756"/>
      <c r="I11" s="2756"/>
      <c r="J11" s="2757"/>
      <c r="K11" s="1368"/>
      <c r="L11" s="2726"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2" t="s">
        <v>2862</v>
      </c>
      <c r="X11" s="1612" t="s">
        <v>2863</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5" thickBot="1">
      <c r="A12" s="3247" t="s">
        <v>2864</v>
      </c>
      <c r="B12" s="2758" t="s">
        <v>2865</v>
      </c>
      <c r="C12" s="917">
        <f>ROUND(C15*D15*E15*F15*G15*H15*I15*J15,4)</f>
        <v>1</v>
      </c>
      <c r="D12" s="2759" t="s">
        <v>2866</v>
      </c>
      <c r="E12" s="2760"/>
      <c r="F12" s="2760"/>
      <c r="G12" s="2761"/>
      <c r="H12" s="2761"/>
      <c r="I12" s="2761"/>
      <c r="J12" s="2762"/>
      <c r="K12" s="1368"/>
      <c r="L12" s="2763"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2"/>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8"/>
      <c r="B13" s="2764" t="s">
        <v>2869</v>
      </c>
      <c r="C13" s="2765" t="s">
        <v>2870</v>
      </c>
      <c r="D13" s="1806" t="s">
        <v>2871</v>
      </c>
      <c r="E13" s="1806" t="s">
        <v>2872</v>
      </c>
      <c r="F13" s="30" t="s">
        <v>2873</v>
      </c>
      <c r="G13" s="2766" t="s">
        <v>2874</v>
      </c>
      <c r="H13" s="2766" t="s">
        <v>2874</v>
      </c>
      <c r="I13" s="2766" t="s">
        <v>2874</v>
      </c>
      <c r="J13" s="2767" t="s">
        <v>2874</v>
      </c>
      <c r="K13" s="1368"/>
      <c r="L13" s="1368"/>
      <c r="M13" s="1368"/>
      <c r="N13" s="1368"/>
      <c r="O13" s="1368"/>
      <c r="P13" s="1368"/>
      <c r="Q13" s="1368"/>
      <c r="R13" s="1600">
        <v>12</v>
      </c>
      <c r="S13" s="1601"/>
      <c r="T13" s="1600">
        <f t="shared" ca="1" si="0"/>
        <v>0</v>
      </c>
      <c r="U13" s="1601"/>
      <c r="V13" s="1600">
        <f t="shared" ca="1" si="1"/>
        <v>0</v>
      </c>
      <c r="W13" s="3262"/>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68"/>
      <c r="B14" s="2768"/>
      <c r="C14" s="2769"/>
      <c r="D14" s="2770"/>
      <c r="E14" s="2770"/>
      <c r="F14" s="2771"/>
      <c r="G14" s="2772" t="s">
        <v>2875</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9"/>
      <c r="B15" s="2776"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47" t="s">
        <v>2881</v>
      </c>
      <c r="B16" s="2745" t="s">
        <v>2882</v>
      </c>
      <c r="C16" s="2932">
        <f>ROUND(IF(F17="与级别开发程度一致",0,(G17-E17)/C17),0)</f>
        <v>-31</v>
      </c>
      <c r="D16" s="3258" t="s">
        <v>2886</v>
      </c>
      <c r="E16" s="3259"/>
      <c r="F16" s="3258" t="s">
        <v>2883</v>
      </c>
      <c r="G16" s="3259"/>
      <c r="H16" s="2779" t="s">
        <v>3063</v>
      </c>
      <c r="I16" s="2779" t="s">
        <v>3064</v>
      </c>
      <c r="J16" s="2936" t="s">
        <v>3065</v>
      </c>
      <c r="K16" s="2779" t="s">
        <v>3066</v>
      </c>
      <c r="L16" s="2779" t="s">
        <v>3067</v>
      </c>
      <c r="M16" s="2779" t="s">
        <v>3068</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48"/>
      <c r="B17" s="2943" t="s">
        <v>2885</v>
      </c>
      <c r="C17" s="2944">
        <f>SUMPRODUCT((修正!A2:A5=E2)*(修正!B1:M1=G2)*(修正!B2:M5))</f>
        <v>3.5</v>
      </c>
      <c r="D17" s="229" t="str">
        <f>IF(OR(G2="八级",G2="九级",G2="十级",G2="十一级",G2="十二级"),"五通一平","七通一平")</f>
        <v>七通一平</v>
      </c>
      <c r="E17" s="2933">
        <f>SUMPRODUCT((修正!B1:M1=G2)*(修正!B15:M15))</f>
        <v>375</v>
      </c>
      <c r="F17" s="2934" t="s">
        <v>3116</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25" thickBot="1">
      <c r="A19" s="2784" t="s">
        <v>809</v>
      </c>
      <c r="B19" s="2785" t="s">
        <v>2889</v>
      </c>
      <c r="C19" s="922">
        <f>ROUND(IF(H19="按公示增长率计算",SUMPRODUCT((地价!A3:A28=YEAR(G19)&amp;"-"&amp;ROUNDUP(MONTH(G19)/3,0))*(地价!X2:AB2=E2)*(地价!X3:AB28)),IF(H19="地价指数",M20/M19,(1+I19)^O19)),4)</f>
        <v>0</v>
      </c>
      <c r="D19" s="2789" t="s">
        <v>2890</v>
      </c>
      <c r="E19" s="923">
        <v>41640</v>
      </c>
      <c r="F19" s="2789" t="s">
        <v>2891</v>
      </c>
      <c r="G19" s="924">
        <f>'数据-取费表'!B2</f>
        <v>44011</v>
      </c>
      <c r="H19" s="2790" t="s">
        <v>3118</v>
      </c>
      <c r="I19" s="925" t="str">
        <f>IF(H19="季度增幅（自定义）",SUMIF(N21:N24,E2,O21:O24),"")</f>
        <v/>
      </c>
      <c r="J19" s="2787"/>
      <c r="K19" s="1375"/>
      <c r="L19" s="2791" t="s">
        <v>2892</v>
      </c>
      <c r="M19" s="1732">
        <f>ROUND(SUMIF(地价!B2:F2,E2,地价!B28:F28),0)</f>
        <v>258</v>
      </c>
      <c r="N19" s="2792" t="s">
        <v>2893</v>
      </c>
      <c r="O19" s="926">
        <f>ROUNDDOWN(DATEDIF(E19,G19,"M")/3,0)</f>
        <v>25</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2894</v>
      </c>
      <c r="C20" s="927">
        <f ca="1">ROUND(POWER(1+G20,J20-I20)*(POWER(1+G20,I20)-1)/(POWER(1+G20,J20)-1),4)</f>
        <v>0.7601</v>
      </c>
      <c r="D20" s="2798" t="s">
        <v>2895</v>
      </c>
      <c r="E20" s="1766">
        <f ca="1">存贷款利率!D4/100</f>
        <v>4.3499999999999997E-2</v>
      </c>
      <c r="F20" s="2798" t="s">
        <v>2887</v>
      </c>
      <c r="G20" s="932">
        <f ca="1">SUMIF(M26:P26,E2,M28:P28)</f>
        <v>5.1999999999999998E-2</v>
      </c>
      <c r="H20" s="2798" t="s">
        <v>2896</v>
      </c>
      <c r="I20" s="933">
        <f>SUMIF('数据-取费表'!C6:C15,E2,'数据-取费表'!F6:F15)/COUNTIF('数据-取费表'!C6:C15,E2)</f>
        <v>23.74</v>
      </c>
      <c r="J20" s="934">
        <f>IF(E2="住宅",70,IF(E2="商业",40,50))</f>
        <v>50</v>
      </c>
      <c r="K20" s="1375"/>
      <c r="L20" s="2799" t="s">
        <v>2897</v>
      </c>
      <c r="M20" s="1733">
        <f>ROUND(SUMPRODUCT((地价!A4:A28=YEAR(G19)&amp;"-"&amp;ROUNDUP(MONTH(G19)/3,0))*(地价!B2:F2=E2)*(地价!B4:F28)),0)</f>
        <v>0</v>
      </c>
      <c r="N20" s="2800" t="s">
        <v>2898</v>
      </c>
      <c r="O20" s="2801" t="s">
        <v>2899</v>
      </c>
      <c r="P20" s="2802" t="s">
        <v>2900</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3117</v>
      </c>
      <c r="C21" s="935">
        <f>IF(B21="容积率修正",IF(G3&lt;=10,D22,J22),C23)</f>
        <v>0.83209999999999995</v>
      </c>
      <c r="D21" s="2805"/>
      <c r="E21" s="2805"/>
      <c r="F21" s="2805"/>
      <c r="G21" s="2805"/>
      <c r="H21" s="2805"/>
      <c r="I21" s="2805"/>
      <c r="J21" s="2806"/>
      <c r="K21" s="1375"/>
      <c r="N21" s="2807" t="s">
        <v>2901</v>
      </c>
      <c r="O21" s="1559"/>
      <c r="P21" s="1560">
        <f>SUMPRODUCT((地价!A3:A28=YEAR(G19)&amp;"-"&amp;ROUNDUP(MONTH(G19)/3,0))*(地价!AD2:AH2=N21)*(地价!AD3:AH28))</f>
        <v>0</v>
      </c>
      <c r="R21" s="1374"/>
      <c r="S21" s="1374"/>
      <c r="T21" s="1369"/>
      <c r="U21" s="1369"/>
      <c r="V21" s="1369"/>
      <c r="W21" s="1368"/>
      <c r="X21" s="1368"/>
      <c r="Y21" s="1368"/>
      <c r="Z21" s="1375"/>
      <c r="AA21" s="1376"/>
      <c r="AB21" s="1376"/>
      <c r="AC21" s="1376"/>
      <c r="AD21" s="1376"/>
      <c r="AE21" s="1376"/>
      <c r="AF21" s="1376"/>
    </row>
    <row r="22" spans="1:37" s="2738" customFormat="1" ht="14.25">
      <c r="A22" s="2664" t="s">
        <v>2902</v>
      </c>
      <c r="B22" s="2808" t="s">
        <v>2903</v>
      </c>
      <c r="C22" s="1808" t="s">
        <v>2904</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2905</v>
      </c>
      <c r="O22" s="1559"/>
      <c r="P22" s="1560">
        <f>SUMPRODUCT((地价!A3:A28=YEAR(G19)&amp;"-"&amp;ROUNDUP(MONTH(G19)/3,0))*(地价!AD2:AH2=N22)*(地价!AD3:AH28))</f>
        <v>0</v>
      </c>
      <c r="R22" s="1374"/>
      <c r="S22" s="1374"/>
      <c r="T22" s="1369"/>
      <c r="U22" s="1369"/>
      <c r="V22" s="1369"/>
      <c r="W22" s="1368"/>
      <c r="X22" s="1368"/>
      <c r="Y22" s="1368"/>
      <c r="Z22" s="1375"/>
      <c r="AA22" s="1376"/>
      <c r="AB22" s="1376"/>
      <c r="AC22" s="1376"/>
      <c r="AD22" s="1376"/>
      <c r="AE22" s="1376"/>
      <c r="AF22" s="1376"/>
    </row>
    <row r="23" spans="1:37" ht="27.75" thickBot="1">
      <c r="A23" s="2664" t="s">
        <v>2906</v>
      </c>
      <c r="B23" s="2809" t="s">
        <v>2907</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2908</v>
      </c>
      <c r="O23" s="1559"/>
      <c r="P23" s="1560">
        <f>SUMPRODUCT((地价!A3:A28=YEAR(G19)&amp;"-"&amp;ROUNDUP(MONTH(G19)/3,0))*(地价!AD2:AH2=N23)*(地价!AD3:AH28))</f>
        <v>0</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2909</v>
      </c>
      <c r="C24" s="922">
        <f>SUMIF(A45:A88,E2,B45:B88)</f>
        <v>1</v>
      </c>
      <c r="D24" s="2786"/>
      <c r="E24" s="2815"/>
      <c r="F24" s="2815"/>
      <c r="G24" s="2815"/>
      <c r="H24" s="2815"/>
      <c r="I24" s="2815"/>
      <c r="J24" s="2816"/>
      <c r="K24" s="1375"/>
      <c r="N24" s="2817" t="s">
        <v>2910</v>
      </c>
      <c r="O24" s="1561"/>
      <c r="P24" s="1562">
        <f>SUMPRODUCT((地价!A3:A28=YEAR(G19)&amp;"-"&amp;ROUNDUP(MONTH(G19)/3,0))*(地价!AD2:AH2=N24)*(地价!AD3:AH28))</f>
        <v>0</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2911</v>
      </c>
      <c r="C25" s="928"/>
      <c r="D25" s="2748"/>
      <c r="E25" s="2748"/>
      <c r="F25" s="2819"/>
      <c r="G25" s="2748"/>
      <c r="H25" s="2748"/>
      <c r="I25" s="2748"/>
      <c r="J25" s="2749"/>
      <c r="K25" s="1368"/>
      <c r="N25" s="2820" t="s">
        <v>2912</v>
      </c>
      <c r="O25" s="1563"/>
      <c r="P25" s="1562">
        <f>SUMPRODUCT((地价!A3:A28=YEAR(G19)&amp;"-"&amp;ROUNDUP(MONTH(G19)/3,0))*(地价!AD2:AH2=N25)*(地价!AD3:AH28))</f>
        <v>0</v>
      </c>
      <c r="R25" s="1374"/>
      <c r="S25" s="1374"/>
      <c r="T25" s="1369"/>
      <c r="U25" s="1369"/>
      <c r="V25" s="1369"/>
      <c r="W25" s="1368"/>
      <c r="X25" s="1368"/>
      <c r="Y25" s="1368"/>
      <c r="Z25" s="1375"/>
      <c r="AA25" s="1376"/>
      <c r="AB25" s="1376"/>
      <c r="AC25" s="1376"/>
      <c r="AD25" s="1376"/>
    </row>
    <row r="26" spans="1:37" ht="15">
      <c r="A26" s="2821"/>
      <c r="B26" s="2808" t="s">
        <v>2913</v>
      </c>
      <c r="C26" s="206">
        <f ca="1">E29+SUM(E33:E39)</f>
        <v>0</v>
      </c>
      <c r="D26" s="2822"/>
      <c r="E26" s="2773"/>
      <c r="F26" s="2823"/>
      <c r="G26" s="2773"/>
      <c r="H26" s="2773"/>
      <c r="I26" s="2773"/>
      <c r="J26" s="2824"/>
      <c r="K26" s="1368"/>
      <c r="L26" s="2777" t="s">
        <v>2812</v>
      </c>
      <c r="M26" s="918" t="s">
        <v>2877</v>
      </c>
      <c r="N26" s="918" t="s">
        <v>2878</v>
      </c>
      <c r="O26" s="918" t="s">
        <v>2879</v>
      </c>
      <c r="P26" s="2778" t="s">
        <v>2880</v>
      </c>
      <c r="R26" s="1374"/>
      <c r="S26" s="1374"/>
      <c r="T26" s="1369"/>
      <c r="U26" s="1369"/>
      <c r="V26" s="1369"/>
      <c r="W26" s="1368"/>
      <c r="X26" s="1368"/>
      <c r="Y26" s="1368"/>
      <c r="Z26" s="1375"/>
      <c r="AA26" s="1376"/>
      <c r="AB26" s="1376"/>
      <c r="AC26" s="1376"/>
      <c r="AD26" s="1376"/>
    </row>
    <row r="27" spans="1:37" ht="15.75" thickBot="1">
      <c r="A27" s="2821"/>
      <c r="B27" s="2825" t="s">
        <v>2914</v>
      </c>
      <c r="C27" s="929">
        <f ca="1">E30+SUM(I33:I39)</f>
        <v>0</v>
      </c>
      <c r="D27" s="2826"/>
      <c r="E27" s="2827"/>
      <c r="F27" s="2828"/>
      <c r="G27" s="2827"/>
      <c r="H27" s="2827"/>
      <c r="I27" s="2827"/>
      <c r="J27" s="2829"/>
      <c r="K27" s="1368"/>
      <c r="L27" s="2781"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2915</v>
      </c>
      <c r="C28" s="2832" t="s">
        <v>2916</v>
      </c>
      <c r="D28" s="2832" t="s">
        <v>2917</v>
      </c>
      <c r="E28" s="2833" t="s">
        <v>2918</v>
      </c>
      <c r="F28" s="2834"/>
      <c r="G28" s="2761"/>
      <c r="H28" s="2761"/>
      <c r="I28" s="2761"/>
      <c r="J28" s="2762"/>
      <c r="K28" s="1368"/>
      <c r="L28" s="2782"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2919</v>
      </c>
      <c r="C29" s="206">
        <f ca="1">ROUND(C5*C18*C19*C20*C21*C24,0)</f>
        <v>0</v>
      </c>
      <c r="D29" s="2837">
        <f>'数据-汇总表'!F19</f>
        <v>107.22</v>
      </c>
      <c r="E29" s="940">
        <f ca="1">ROUND(C29*D29/10000,0)</f>
        <v>0</v>
      </c>
      <c r="F29" s="2838" t="s">
        <v>2920</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2921</v>
      </c>
      <c r="C30" s="229">
        <f ca="1">ROUND(IF(E2="工业",C29*M39,C29*M38),0)</f>
        <v>0</v>
      </c>
      <c r="D30" s="2843"/>
      <c r="E30" s="940">
        <f ca="1">ROUND(C30*D30/10000,0)</f>
        <v>0</v>
      </c>
      <c r="F30" s="2844" t="s">
        <v>2922</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55" t="s">
        <v>2927</v>
      </c>
      <c r="B33" s="2853" t="s">
        <v>2928</v>
      </c>
      <c r="C33" s="206">
        <f ca="1">ROUND(D5*C19*C20*C24*F33,0)</f>
        <v>0</v>
      </c>
      <c r="D33" s="2837"/>
      <c r="E33" s="200">
        <f ca="1">ROUND(C33*D33/10000,0)</f>
        <v>0</v>
      </c>
      <c r="F33" s="200">
        <f>SUMIF(修正!A45:A56,G2,修正!B45:B56)</f>
        <v>0.8</v>
      </c>
      <c r="G33" s="200">
        <f t="shared" ref="G33" ca="1" si="6">ROUND(IF(E2="工业",C33*$M$39,C33*$M$38),0)</f>
        <v>0</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6"/>
      <c r="B34" s="2765" t="s">
        <v>2929</v>
      </c>
      <c r="C34" s="206">
        <f ca="1">ROUND(D5*C19*C20*C24*F34,0)</f>
        <v>0</v>
      </c>
      <c r="D34" s="2837"/>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6"/>
      <c r="B35" s="2765" t="s">
        <v>2930</v>
      </c>
      <c r="C35" s="206">
        <f ca="1">ROUND(D5*C19*C20*C24*F35,0)</f>
        <v>0</v>
      </c>
      <c r="D35" s="2837"/>
      <c r="E35" s="200">
        <f t="shared" ca="1" si="7"/>
        <v>0</v>
      </c>
      <c r="F35" s="200">
        <f>SUMIF(修正!A45:A56,G2,修正!D45:D56)</f>
        <v>0.36</v>
      </c>
      <c r="G35" s="200">
        <f ca="1">ROUND(IF(E2="工业",C35*$M$39,C35*$M$38),0)</f>
        <v>0</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57"/>
      <c r="B36" s="2765" t="s">
        <v>2931</v>
      </c>
      <c r="C36" s="206">
        <f ca="1">ROUND(D5*C19*C20*C24*F36,0)</f>
        <v>0</v>
      </c>
      <c r="D36" s="2837"/>
      <c r="E36" s="200">
        <f t="shared" ca="1" si="7"/>
        <v>0</v>
      </c>
      <c r="F36" s="200">
        <f>SUMIF(修正!A45:A56,G2,修正!E45:E56)</f>
        <v>0.3</v>
      </c>
      <c r="G36" s="200">
        <f ca="1">ROUND(IF(E2="工业",C36*$M$39,C36*$M$38),0)</f>
        <v>0</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2932</v>
      </c>
      <c r="C37" s="200">
        <f ca="1">ROUND(D5*C19*C20*C24*F37,0)</f>
        <v>0</v>
      </c>
      <c r="D37" s="2837"/>
      <c r="E37" s="200">
        <f t="shared" ca="1" si="7"/>
        <v>0</v>
      </c>
      <c r="F37" s="206">
        <f>SUMIF(修正!A45:A56,G2,修正!F45:F56)</f>
        <v>0.3</v>
      </c>
      <c r="G37" s="200">
        <f ca="1">ROUND(IF(E2="工业",C37*$M$39,C37*$M$38),0)</f>
        <v>0</v>
      </c>
      <c r="H37" s="200">
        <f t="shared" si="8"/>
        <v>0</v>
      </c>
      <c r="I37" s="200">
        <f t="shared" ca="1" si="9"/>
        <v>0</v>
      </c>
      <c r="J37" s="2854"/>
      <c r="K37" s="1368"/>
      <c r="L37" s="2856" t="s">
        <v>2933</v>
      </c>
      <c r="M37" s="2857"/>
      <c r="N37" s="1368"/>
      <c r="O37" s="1368"/>
      <c r="P37" s="1368"/>
      <c r="Q37" s="1368"/>
      <c r="R37" s="1368"/>
      <c r="S37" s="1368"/>
      <c r="T37" s="1368"/>
      <c r="U37" s="1368"/>
      <c r="V37" s="1368"/>
      <c r="W37" s="1368"/>
      <c r="X37" s="1368"/>
      <c r="Y37" s="1368"/>
      <c r="Z37" s="1369"/>
    </row>
    <row r="38" spans="1:37">
      <c r="A38" s="2855"/>
      <c r="B38" s="2765" t="s">
        <v>2934</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2935</v>
      </c>
      <c r="M38" s="2858">
        <v>0.25</v>
      </c>
      <c r="N38" s="1368"/>
      <c r="O38" s="1368"/>
      <c r="P38" s="1368"/>
      <c r="Q38" s="1368"/>
      <c r="R38" s="1368"/>
      <c r="S38" s="1368"/>
      <c r="T38" s="1368"/>
      <c r="U38" s="1368"/>
      <c r="V38" s="1368"/>
      <c r="W38" s="1368"/>
      <c r="X38" s="1368"/>
      <c r="Y38" s="1368"/>
      <c r="Z38" s="1369"/>
    </row>
    <row r="39" spans="1:37" ht="13.5" thickBot="1">
      <c r="A39" s="2841"/>
      <c r="B39" s="2859" t="s">
        <v>2936</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2880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3041</v>
      </c>
      <c r="C41" s="388">
        <f ca="1">ROUND(POWER(1+E41,H41-G41)*(POWER(1+E41,G41)-1)/(POWER(1+E41,H41)-1),4)</f>
        <v>0</v>
      </c>
      <c r="D41" s="200" t="s">
        <v>2887</v>
      </c>
      <c r="E41" s="2929">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2937</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2938</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2939</v>
      </c>
      <c r="B47" s="1807" t="s">
        <v>2940</v>
      </c>
      <c r="C47" s="1807" t="s">
        <v>2941</v>
      </c>
      <c r="D47" s="1807" t="s">
        <v>2942</v>
      </c>
      <c r="E47" s="817" t="s">
        <v>2943</v>
      </c>
      <c r="F47" s="2871" t="s">
        <v>2944</v>
      </c>
      <c r="G47" s="1807" t="s">
        <v>754</v>
      </c>
      <c r="H47" s="2872" t="s">
        <v>2945</v>
      </c>
      <c r="I47" s="1807"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70" t="s">
        <v>2947</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2948</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2949</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2950</v>
      </c>
      <c r="B51" s="2875" t="s">
        <v>2951</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2952</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2953</v>
      </c>
      <c r="B53" s="2876" t="s">
        <v>2954</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2955</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2956</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2957</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2958</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2939</v>
      </c>
      <c r="B58" s="1807"/>
      <c r="C58" s="1807" t="s">
        <v>2941</v>
      </c>
      <c r="D58" s="1807" t="s">
        <v>2942</v>
      </c>
      <c r="E58" s="817" t="s">
        <v>2943</v>
      </c>
      <c r="F58" s="2871" t="s">
        <v>2959</v>
      </c>
      <c r="G58" s="1807" t="s">
        <v>754</v>
      </c>
      <c r="H58" s="2872" t="s">
        <v>2945</v>
      </c>
      <c r="I58" s="1807"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70" t="s">
        <v>2960</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2948</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2949</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2950</v>
      </c>
      <c r="B62" s="2875" t="s">
        <v>2951</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2952</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2953</v>
      </c>
      <c r="B64" s="2876" t="s">
        <v>2954</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2955</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2956</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2957</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2961</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2939</v>
      </c>
      <c r="B69" s="1807"/>
      <c r="C69" s="1807" t="s">
        <v>2941</v>
      </c>
      <c r="D69" s="1807" t="s">
        <v>2942</v>
      </c>
      <c r="E69" s="817" t="s">
        <v>2943</v>
      </c>
      <c r="F69" s="2871" t="s">
        <v>2959</v>
      </c>
      <c r="G69" s="1807" t="s">
        <v>754</v>
      </c>
      <c r="H69" s="2872" t="s">
        <v>2945</v>
      </c>
      <c r="I69" s="1807"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70" t="s">
        <v>2962</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2948</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2949</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2963</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2955</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2956</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2953</v>
      </c>
      <c r="B76" s="2876" t="s">
        <v>2954</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2957</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2964</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2965</v>
      </c>
      <c r="B79" s="2867">
        <f>1+E81</f>
        <v>1</v>
      </c>
      <c r="C79" s="812"/>
      <c r="D79" s="812"/>
      <c r="E79" s="813"/>
      <c r="F79" s="2869"/>
      <c r="G79" s="6"/>
      <c r="H79" s="6"/>
      <c r="I79" s="6"/>
      <c r="J79" s="7"/>
      <c r="K79" s="7"/>
      <c r="L79" s="7"/>
      <c r="M79" s="7"/>
      <c r="N79" s="7"/>
      <c r="Z79" s="2720"/>
      <c r="AA79" s="2788"/>
      <c r="AG79" s="1370"/>
      <c r="AK79" s="2788"/>
    </row>
    <row r="80" spans="1:37" ht="24.75">
      <c r="A80" s="2870" t="s">
        <v>2939</v>
      </c>
      <c r="B80" s="1807"/>
      <c r="C80" s="1807" t="s">
        <v>2941</v>
      </c>
      <c r="D80" s="1807" t="s">
        <v>2942</v>
      </c>
      <c r="E80" s="817" t="s">
        <v>2943</v>
      </c>
      <c r="F80" s="2871" t="s">
        <v>2959</v>
      </c>
      <c r="G80" s="1807" t="s">
        <v>754</v>
      </c>
      <c r="H80" s="2872" t="s">
        <v>2945</v>
      </c>
      <c r="I80" s="1807" t="s">
        <v>2946</v>
      </c>
      <c r="J80" s="603" t="s">
        <v>2595</v>
      </c>
      <c r="K80" s="603" t="s">
        <v>2596</v>
      </c>
      <c r="L80" s="603" t="s">
        <v>2597</v>
      </c>
      <c r="M80" s="603" t="s">
        <v>2598</v>
      </c>
      <c r="N80" s="603" t="s">
        <v>2599</v>
      </c>
      <c r="Z80" s="2720"/>
      <c r="AA80" s="2788"/>
      <c r="AG80" s="1370"/>
      <c r="AK80" s="2788"/>
    </row>
    <row r="81" spans="1:37" ht="38.25">
      <c r="A81" s="2870" t="s">
        <v>2966</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2948</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2949</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2963</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2955</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2956</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2953</v>
      </c>
      <c r="B87" s="2876" t="s">
        <v>2967</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2968</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49" t="s">
        <v>2969</v>
      </c>
      <c r="B90" s="3249"/>
      <c r="C90" s="3249"/>
      <c r="D90" s="3249"/>
      <c r="E90" s="3249"/>
      <c r="F90" s="3249"/>
      <c r="G90" s="3249"/>
      <c r="H90" s="3249"/>
      <c r="I90" s="3249"/>
      <c r="J90" s="3249"/>
      <c r="K90" s="2884"/>
      <c r="L90" s="2884"/>
      <c r="M90" s="2884"/>
      <c r="N90" s="2884"/>
    </row>
    <row r="91" spans="1:37">
      <c r="A91" s="3251" t="s">
        <v>2970</v>
      </c>
      <c r="B91" s="3251" t="s">
        <v>2971</v>
      </c>
      <c r="C91" s="2838" t="s">
        <v>2972</v>
      </c>
      <c r="D91" s="2839"/>
      <c r="E91" s="2839"/>
      <c r="F91" s="2839"/>
      <c r="G91" s="2839"/>
      <c r="H91" s="2839"/>
      <c r="I91" s="2839"/>
      <c r="J91" s="2885"/>
      <c r="K91" s="2886"/>
      <c r="L91" s="2886"/>
      <c r="M91" s="2886"/>
      <c r="N91" s="2886"/>
    </row>
    <row r="92" spans="1:37">
      <c r="A92" s="3251"/>
      <c r="B92" s="3251"/>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52"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3"/>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2" t="s">
        <v>2974</v>
      </c>
      <c r="B101" s="2891" t="s">
        <v>2975</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53"/>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53"/>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53"/>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53"/>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53"/>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53"/>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53"/>
      <c r="B108" s="3081"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4"/>
      <c r="B109" s="3082"/>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50" t="s">
        <v>2977</v>
      </c>
      <c r="B110" s="3250"/>
      <c r="C110" s="3250"/>
      <c r="D110" s="3250"/>
      <c r="E110" s="3250"/>
      <c r="F110" s="3250"/>
      <c r="G110" s="3250"/>
      <c r="H110" s="3250"/>
      <c r="I110" s="3250"/>
      <c r="J110" s="3250"/>
      <c r="K110" s="2893"/>
      <c r="L110" s="2893"/>
      <c r="M110" s="2893"/>
      <c r="N110" s="2893"/>
    </row>
    <row r="112" spans="1:14" ht="13.5" thickBot="1"/>
    <row r="113" spans="1:13" ht="25.5" thickBot="1">
      <c r="A113" s="901" t="s">
        <v>2978</v>
      </c>
      <c r="B113" s="1285">
        <f>G3</f>
        <v>9.74</v>
      </c>
      <c r="C113" s="902" t="s">
        <v>2979</v>
      </c>
      <c r="D113" s="903">
        <f>SUMPRODUCT((A115:A118=F113)*(B114:M114=H113)*B115:M118)</f>
        <v>0.83209999999999995</v>
      </c>
      <c r="E113" s="2724" t="s">
        <v>2812</v>
      </c>
      <c r="F113" s="2895" t="str">
        <f>E2</f>
        <v>办公</v>
      </c>
      <c r="G113" s="2724" t="s">
        <v>2813</v>
      </c>
      <c r="H113" s="2895" t="str">
        <f>G2</f>
        <v>二级</v>
      </c>
      <c r="I113" s="2724"/>
      <c r="J113" s="2896"/>
      <c r="K113" s="2896"/>
      <c r="L113" s="2896"/>
      <c r="M113" s="2896"/>
    </row>
    <row r="114" spans="1:13">
      <c r="A114" s="906"/>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7" t="s">
        <v>2877</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2878</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2879</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5" thickBot="1">
      <c r="A118" s="712" t="s">
        <v>2880</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3043</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0" t="s">
        <v>183</v>
      </c>
      <c r="B18" s="880" t="s">
        <v>560</v>
      </c>
      <c r="C18" s="881" t="s">
        <v>561</v>
      </c>
      <c r="D18" s="882"/>
      <c r="E18" s="880">
        <v>1</v>
      </c>
      <c r="F18" s="883" t="s">
        <v>562</v>
      </c>
      <c r="G18" s="884"/>
      <c r="H18" s="876"/>
      <c r="I18" s="876"/>
    </row>
    <row r="19" spans="1:9" s="885" customFormat="1" ht="19.5" customHeight="1">
      <c r="A19" s="3270"/>
      <c r="B19" s="3270" t="s">
        <v>563</v>
      </c>
      <c r="C19" s="881" t="s">
        <v>564</v>
      </c>
      <c r="D19" s="882"/>
      <c r="E19" s="880">
        <v>0.9</v>
      </c>
      <c r="F19" s="883" t="s">
        <v>565</v>
      </c>
      <c r="G19" s="884"/>
      <c r="H19" s="876"/>
      <c r="I19" s="876"/>
    </row>
    <row r="20" spans="1:9" s="885" customFormat="1" ht="19.5" customHeight="1">
      <c r="A20" s="3270"/>
      <c r="B20" s="3270"/>
      <c r="C20" s="881" t="s">
        <v>566</v>
      </c>
      <c r="D20" s="882"/>
      <c r="E20" s="880">
        <v>1.1000000000000001</v>
      </c>
      <c r="F20" s="883" t="s">
        <v>567</v>
      </c>
      <c r="G20" s="884"/>
      <c r="H20" s="876"/>
      <c r="I20" s="876"/>
    </row>
    <row r="21" spans="1:9" s="885" customFormat="1" ht="19.5" customHeight="1">
      <c r="A21" s="3270"/>
      <c r="B21" s="3270"/>
      <c r="C21" s="881" t="s">
        <v>568</v>
      </c>
      <c r="D21" s="882"/>
      <c r="E21" s="880">
        <v>0.8</v>
      </c>
      <c r="F21" s="883" t="s">
        <v>569</v>
      </c>
      <c r="G21" s="884"/>
      <c r="H21" s="876"/>
      <c r="I21" s="876"/>
    </row>
    <row r="22" spans="1:9" s="885" customFormat="1" ht="19.5" customHeight="1">
      <c r="A22" s="3270"/>
      <c r="B22" s="3270"/>
      <c r="C22" s="881" t="s">
        <v>570</v>
      </c>
      <c r="D22" s="882"/>
      <c r="E22" s="880">
        <v>0.5</v>
      </c>
      <c r="F22" s="883"/>
      <c r="G22" s="884"/>
      <c r="H22" s="876"/>
      <c r="I22" s="876"/>
    </row>
    <row r="23" spans="1:9" s="885" customFormat="1" ht="19.5" customHeight="1">
      <c r="A23" s="3270" t="s">
        <v>184</v>
      </c>
      <c r="B23" s="880" t="s">
        <v>560</v>
      </c>
      <c r="C23" s="881" t="s">
        <v>571</v>
      </c>
      <c r="D23" s="882"/>
      <c r="E23" s="880">
        <v>1</v>
      </c>
      <c r="F23" s="883" t="s">
        <v>572</v>
      </c>
      <c r="G23" s="884"/>
      <c r="H23" s="876"/>
      <c r="I23" s="876"/>
    </row>
    <row r="24" spans="1:9" s="885" customFormat="1" ht="19.5" customHeight="1">
      <c r="A24" s="3270"/>
      <c r="B24" s="3270" t="s">
        <v>563</v>
      </c>
      <c r="C24" s="881" t="s">
        <v>573</v>
      </c>
      <c r="D24" s="882"/>
      <c r="E24" s="880">
        <v>0.5</v>
      </c>
      <c r="F24" s="883"/>
      <c r="G24" s="884"/>
      <c r="H24" s="876"/>
      <c r="I24" s="876"/>
    </row>
    <row r="25" spans="1:9" s="885" customFormat="1" ht="19.5" customHeight="1">
      <c r="A25" s="3270"/>
      <c r="B25" s="3270"/>
      <c r="C25" s="881" t="s">
        <v>574</v>
      </c>
      <c r="D25" s="882"/>
      <c r="E25" s="880">
        <v>1.1000000000000001</v>
      </c>
      <c r="F25" s="883"/>
      <c r="G25" s="884"/>
      <c r="H25" s="876"/>
      <c r="I25" s="876"/>
    </row>
    <row r="26" spans="1:9" s="885" customFormat="1" ht="19.5" customHeight="1">
      <c r="A26" s="3270"/>
      <c r="B26" s="3270"/>
      <c r="C26" s="881" t="s">
        <v>575</v>
      </c>
      <c r="D26" s="882"/>
      <c r="E26" s="880">
        <v>1.1000000000000001</v>
      </c>
      <c r="F26" s="883"/>
      <c r="G26" s="884"/>
      <c r="H26" s="876"/>
      <c r="I26" s="876"/>
    </row>
    <row r="27" spans="1:9" s="885" customFormat="1" ht="19.5" customHeight="1">
      <c r="A27" s="3270"/>
      <c r="B27" s="3270"/>
      <c r="C27" s="881" t="s">
        <v>576</v>
      </c>
      <c r="D27" s="882"/>
      <c r="E27" s="880">
        <v>0.9</v>
      </c>
      <c r="F27" s="883" t="s">
        <v>577</v>
      </c>
      <c r="G27" s="884"/>
      <c r="H27" s="876"/>
      <c r="I27" s="876"/>
    </row>
    <row r="28" spans="1:9" s="885" customFormat="1" ht="19.5" customHeight="1">
      <c r="A28" s="3270"/>
      <c r="B28" s="3270"/>
      <c r="C28" s="881" t="s">
        <v>578</v>
      </c>
      <c r="D28" s="882"/>
      <c r="E28" s="880">
        <v>0.9</v>
      </c>
      <c r="F28" s="883" t="s">
        <v>579</v>
      </c>
      <c r="G28" s="884"/>
      <c r="H28" s="876"/>
      <c r="I28" s="876"/>
    </row>
    <row r="29" spans="1:9" s="885" customFormat="1" ht="19.5" customHeight="1">
      <c r="A29" s="3270"/>
      <c r="B29" s="3270"/>
      <c r="C29" s="881" t="s">
        <v>580</v>
      </c>
      <c r="D29" s="882"/>
      <c r="E29" s="880">
        <v>0.9</v>
      </c>
      <c r="F29" s="883" t="s">
        <v>581</v>
      </c>
      <c r="G29" s="884"/>
      <c r="H29" s="876"/>
      <c r="I29" s="876"/>
    </row>
    <row r="30" spans="1:9" s="885" customFormat="1" ht="19.5" customHeight="1">
      <c r="A30" s="3270"/>
      <c r="B30" s="3270"/>
      <c r="C30" s="881" t="s">
        <v>582</v>
      </c>
      <c r="D30" s="882"/>
      <c r="E30" s="880">
        <v>0.9</v>
      </c>
      <c r="F30" s="883" t="s">
        <v>583</v>
      </c>
      <c r="G30" s="884"/>
      <c r="H30" s="876"/>
      <c r="I30" s="876"/>
    </row>
    <row r="31" spans="1:9" s="885" customFormat="1" ht="19.5" customHeight="1">
      <c r="A31" s="3270"/>
      <c r="B31" s="3270"/>
      <c r="C31" s="881" t="s">
        <v>584</v>
      </c>
      <c r="D31" s="882"/>
      <c r="E31" s="880">
        <v>0.8</v>
      </c>
      <c r="F31" s="883" t="s">
        <v>585</v>
      </c>
      <c r="G31" s="884"/>
      <c r="H31" s="876"/>
      <c r="I31" s="876"/>
    </row>
    <row r="32" spans="1:9" s="885" customFormat="1" ht="19.5" customHeight="1">
      <c r="A32" s="3270"/>
      <c r="B32" s="3270"/>
      <c r="C32" s="881" t="s">
        <v>586</v>
      </c>
      <c r="D32" s="882"/>
      <c r="E32" s="880">
        <v>0.8</v>
      </c>
      <c r="F32" s="883" t="s">
        <v>587</v>
      </c>
      <c r="G32" s="884"/>
      <c r="H32" s="876"/>
      <c r="I32" s="876"/>
    </row>
    <row r="33" spans="1:9" s="885" customFormat="1" ht="19.5" customHeight="1">
      <c r="A33" s="3270" t="s">
        <v>185</v>
      </c>
      <c r="B33" s="880" t="s">
        <v>560</v>
      </c>
      <c r="C33" s="881" t="s">
        <v>588</v>
      </c>
      <c r="D33" s="882"/>
      <c r="E33" s="880">
        <v>1</v>
      </c>
      <c r="F33" s="883" t="s">
        <v>589</v>
      </c>
      <c r="G33" s="884"/>
      <c r="H33" s="876"/>
      <c r="I33" s="876"/>
    </row>
    <row r="34" spans="1:9" s="885" customFormat="1" ht="19.5" customHeight="1">
      <c r="A34" s="3270"/>
      <c r="B34" s="880" t="s">
        <v>563</v>
      </c>
      <c r="C34" s="881" t="s">
        <v>590</v>
      </c>
      <c r="D34" s="882"/>
      <c r="E34" s="880">
        <v>1.5</v>
      </c>
      <c r="F34" s="883" t="s">
        <v>591</v>
      </c>
      <c r="G34" s="884"/>
      <c r="H34" s="876"/>
      <c r="I34" s="876"/>
    </row>
    <row r="35" spans="1:9" s="885" customFormat="1" ht="19.5" customHeight="1">
      <c r="A35" s="3270" t="s">
        <v>186</v>
      </c>
      <c r="B35" s="880" t="s">
        <v>560</v>
      </c>
      <c r="C35" s="881" t="s">
        <v>592</v>
      </c>
      <c r="D35" s="882"/>
      <c r="E35" s="880">
        <v>1</v>
      </c>
      <c r="F35" s="883" t="s">
        <v>593</v>
      </c>
      <c r="G35" s="884"/>
      <c r="H35" s="876"/>
      <c r="I35" s="876"/>
    </row>
    <row r="36" spans="1:9" s="885" customFormat="1" ht="19.5" customHeight="1">
      <c r="A36" s="3270"/>
      <c r="B36" s="3270" t="s">
        <v>563</v>
      </c>
      <c r="C36" s="881" t="s">
        <v>594</v>
      </c>
      <c r="D36" s="882"/>
      <c r="E36" s="880">
        <v>1</v>
      </c>
      <c r="F36" s="883" t="s">
        <v>595</v>
      </c>
      <c r="G36" s="884"/>
      <c r="H36" s="876"/>
      <c r="I36" s="876"/>
    </row>
    <row r="37" spans="1:9" s="885" customFormat="1" ht="19.5" customHeight="1">
      <c r="A37" s="3270"/>
      <c r="B37" s="3270"/>
      <c r="C37" s="881" t="s">
        <v>596</v>
      </c>
      <c r="D37" s="882"/>
      <c r="E37" s="880">
        <v>1.5</v>
      </c>
      <c r="F37" s="883" t="s">
        <v>597</v>
      </c>
      <c r="G37" s="884"/>
      <c r="H37" s="876"/>
      <c r="I37" s="876"/>
    </row>
    <row r="38" spans="1:9" s="885" customFormat="1" ht="19.5" customHeight="1">
      <c r="A38" s="3270"/>
      <c r="B38" s="3270"/>
      <c r="C38" s="881" t="s">
        <v>598</v>
      </c>
      <c r="D38" s="882"/>
      <c r="E38" s="880">
        <v>1</v>
      </c>
      <c r="F38" s="883" t="s">
        <v>599</v>
      </c>
      <c r="G38" s="884"/>
      <c r="H38" s="876"/>
      <c r="I38" s="876"/>
    </row>
    <row r="39" spans="1:9" s="885" customFormat="1" ht="19.5" customHeight="1">
      <c r="A39" s="3270"/>
      <c r="B39" s="327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0" t="s">
        <v>614</v>
      </c>
      <c r="C61" s="816" t="s">
        <v>615</v>
      </c>
      <c r="D61" s="816" t="s">
        <v>616</v>
      </c>
      <c r="E61" s="893">
        <v>0.5</v>
      </c>
      <c r="F61" s="880">
        <v>80</v>
      </c>
    </row>
    <row r="62" spans="1:8" s="876" customFormat="1" ht="24">
      <c r="A62" s="880">
        <v>2</v>
      </c>
      <c r="B62" s="3270"/>
      <c r="C62" s="816" t="s">
        <v>617</v>
      </c>
      <c r="D62" s="816" t="s">
        <v>618</v>
      </c>
      <c r="E62" s="893">
        <v>0.5</v>
      </c>
      <c r="F62" s="880">
        <v>80</v>
      </c>
    </row>
    <row r="63" spans="1:8" s="876" customFormat="1" ht="36">
      <c r="A63" s="880">
        <v>3</v>
      </c>
      <c r="B63" s="3270"/>
      <c r="C63" s="816" t="s">
        <v>619</v>
      </c>
      <c r="D63" s="816" t="s">
        <v>620</v>
      </c>
      <c r="E63" s="893">
        <v>0.5</v>
      </c>
      <c r="F63" s="880">
        <v>80</v>
      </c>
    </row>
    <row r="64" spans="1:8" s="876" customFormat="1" ht="36">
      <c r="A64" s="880">
        <v>4</v>
      </c>
      <c r="B64" s="3270"/>
      <c r="C64" s="816" t="s">
        <v>621</v>
      </c>
      <c r="D64" s="816" t="s">
        <v>622</v>
      </c>
      <c r="E64" s="893">
        <v>0.4</v>
      </c>
      <c r="F64" s="880">
        <v>60</v>
      </c>
    </row>
    <row r="65" spans="1:6" s="876" customFormat="1" ht="36">
      <c r="A65" s="880">
        <v>5</v>
      </c>
      <c r="B65" s="3270"/>
      <c r="C65" s="816" t="s">
        <v>623</v>
      </c>
      <c r="D65" s="816" t="s">
        <v>624</v>
      </c>
      <c r="E65" s="893">
        <v>0.2</v>
      </c>
      <c r="F65" s="880">
        <v>30</v>
      </c>
    </row>
    <row r="66" spans="1:6" s="876" customFormat="1" ht="36">
      <c r="A66" s="880">
        <v>6</v>
      </c>
      <c r="B66" s="3270"/>
      <c r="C66" s="816" t="s">
        <v>625</v>
      </c>
      <c r="D66" s="816" t="s">
        <v>626</v>
      </c>
      <c r="E66" s="893">
        <v>0.3</v>
      </c>
      <c r="F66" s="880">
        <v>50</v>
      </c>
    </row>
    <row r="67" spans="1:6" s="876" customFormat="1" ht="36">
      <c r="A67" s="880">
        <v>7</v>
      </c>
      <c r="B67" s="3270"/>
      <c r="C67" s="816" t="s">
        <v>627</v>
      </c>
      <c r="D67" s="816" t="s">
        <v>628</v>
      </c>
      <c r="E67" s="893">
        <v>0.2</v>
      </c>
      <c r="F67" s="880">
        <v>30</v>
      </c>
    </row>
    <row r="68" spans="1:6" s="876" customFormat="1" ht="36">
      <c r="A68" s="880">
        <v>8</v>
      </c>
      <c r="B68" s="3270"/>
      <c r="C68" s="816" t="s">
        <v>629</v>
      </c>
      <c r="D68" s="816" t="s">
        <v>630</v>
      </c>
      <c r="E68" s="893">
        <v>0.2</v>
      </c>
      <c r="F68" s="880">
        <v>30</v>
      </c>
    </row>
    <row r="69" spans="1:6" s="876" customFormat="1" ht="36">
      <c r="A69" s="880">
        <v>9</v>
      </c>
      <c r="B69" s="3270"/>
      <c r="C69" s="816" t="s">
        <v>631</v>
      </c>
      <c r="D69" s="816" t="s">
        <v>632</v>
      </c>
      <c r="E69" s="893">
        <v>0.2</v>
      </c>
      <c r="F69" s="880">
        <v>30</v>
      </c>
    </row>
    <row r="70" spans="1:6" s="876" customFormat="1" ht="48">
      <c r="A70" s="880">
        <v>10</v>
      </c>
      <c r="B70" s="3270"/>
      <c r="C70" s="816" t="s">
        <v>633</v>
      </c>
      <c r="D70" s="816" t="s">
        <v>634</v>
      </c>
      <c r="E70" s="893">
        <v>0.2</v>
      </c>
      <c r="F70" s="880">
        <v>30</v>
      </c>
    </row>
    <row r="71" spans="1:6" s="876" customFormat="1" ht="48">
      <c r="A71" s="880">
        <v>11</v>
      </c>
      <c r="B71" s="3270"/>
      <c r="C71" s="816" t="s">
        <v>635</v>
      </c>
      <c r="D71" s="816" t="s">
        <v>636</v>
      </c>
      <c r="E71" s="893">
        <v>0.2</v>
      </c>
      <c r="F71" s="880">
        <v>30</v>
      </c>
    </row>
    <row r="72" spans="1:6" s="876" customFormat="1" ht="36">
      <c r="A72" s="880">
        <v>12</v>
      </c>
      <c r="B72" s="3270"/>
      <c r="C72" s="816" t="s">
        <v>637</v>
      </c>
      <c r="D72" s="816" t="s">
        <v>638</v>
      </c>
      <c r="E72" s="893">
        <v>0.5</v>
      </c>
      <c r="F72" s="880">
        <v>80</v>
      </c>
    </row>
    <row r="73" spans="1:6" s="876" customFormat="1" ht="24">
      <c r="A73" s="880">
        <v>13</v>
      </c>
      <c r="B73" s="3270"/>
      <c r="C73" s="816" t="s">
        <v>639</v>
      </c>
      <c r="D73" s="816" t="s">
        <v>640</v>
      </c>
      <c r="E73" s="893">
        <v>0.4</v>
      </c>
      <c r="F73" s="880">
        <v>60</v>
      </c>
    </row>
    <row r="74" spans="1:6" s="876" customFormat="1" ht="24">
      <c r="A74" s="880">
        <v>14</v>
      </c>
      <c r="B74" s="3270"/>
      <c r="C74" s="816" t="s">
        <v>641</v>
      </c>
      <c r="D74" s="816" t="s">
        <v>642</v>
      </c>
      <c r="E74" s="893">
        <v>0.2</v>
      </c>
      <c r="F74" s="880">
        <v>30</v>
      </c>
    </row>
    <row r="75" spans="1:6" s="876" customFormat="1" ht="24">
      <c r="A75" s="880">
        <v>15</v>
      </c>
      <c r="B75" s="3270"/>
      <c r="C75" s="816" t="s">
        <v>643</v>
      </c>
      <c r="D75" s="816" t="s">
        <v>644</v>
      </c>
      <c r="E75" s="893">
        <v>0.2</v>
      </c>
      <c r="F75" s="880">
        <v>30</v>
      </c>
    </row>
    <row r="76" spans="1:6" s="876" customFormat="1" ht="24">
      <c r="A76" s="880">
        <v>16</v>
      </c>
      <c r="B76" s="3270" t="s">
        <v>645</v>
      </c>
      <c r="C76" s="816" t="s">
        <v>646</v>
      </c>
      <c r="D76" s="816" t="s">
        <v>647</v>
      </c>
      <c r="E76" s="893">
        <v>0.5</v>
      </c>
      <c r="F76" s="880">
        <v>80</v>
      </c>
    </row>
    <row r="77" spans="1:6" s="876" customFormat="1" ht="24">
      <c r="A77" s="880">
        <v>17</v>
      </c>
      <c r="B77" s="3270"/>
      <c r="C77" s="816" t="s">
        <v>648</v>
      </c>
      <c r="D77" s="816" t="s">
        <v>649</v>
      </c>
      <c r="E77" s="893">
        <v>0.5</v>
      </c>
      <c r="F77" s="880">
        <v>80</v>
      </c>
    </row>
    <row r="78" spans="1:6" s="876" customFormat="1" ht="24">
      <c r="A78" s="880">
        <v>18</v>
      </c>
      <c r="B78" s="3270"/>
      <c r="C78" s="816" t="s">
        <v>650</v>
      </c>
      <c r="D78" s="816" t="s">
        <v>651</v>
      </c>
      <c r="E78" s="893">
        <v>0.2</v>
      </c>
      <c r="F78" s="880">
        <v>30</v>
      </c>
    </row>
    <row r="79" spans="1:6" s="876" customFormat="1" ht="24">
      <c r="A79" s="880">
        <v>19</v>
      </c>
      <c r="B79" s="3270"/>
      <c r="C79" s="816" t="s">
        <v>652</v>
      </c>
      <c r="D79" s="816" t="s">
        <v>653</v>
      </c>
      <c r="E79" s="893">
        <v>0.5</v>
      </c>
      <c r="F79" s="880">
        <v>80</v>
      </c>
    </row>
    <row r="80" spans="1:6" s="876" customFormat="1" ht="36">
      <c r="A80" s="880">
        <v>20</v>
      </c>
      <c r="B80" s="3270"/>
      <c r="C80" s="816" t="s">
        <v>654</v>
      </c>
      <c r="D80" s="816" t="s">
        <v>655</v>
      </c>
      <c r="E80" s="893">
        <v>0.2</v>
      </c>
      <c r="F80" s="880">
        <v>30</v>
      </c>
    </row>
    <row r="81" spans="1:6" s="876" customFormat="1" ht="36">
      <c r="A81" s="880">
        <v>21</v>
      </c>
      <c r="B81" s="3270"/>
      <c r="C81" s="816" t="s">
        <v>656</v>
      </c>
      <c r="D81" s="816" t="s">
        <v>657</v>
      </c>
      <c r="E81" s="893">
        <v>0.2</v>
      </c>
      <c r="F81" s="880">
        <v>30</v>
      </c>
    </row>
    <row r="82" spans="1:6" s="876" customFormat="1" ht="48">
      <c r="A82" s="880">
        <v>22</v>
      </c>
      <c r="B82" s="3270"/>
      <c r="C82" s="816" t="s">
        <v>658</v>
      </c>
      <c r="D82" s="816" t="s">
        <v>659</v>
      </c>
      <c r="E82" s="893">
        <v>0.2</v>
      </c>
      <c r="F82" s="880">
        <v>30</v>
      </c>
    </row>
    <row r="83" spans="1:6" s="876" customFormat="1" ht="48">
      <c r="A83" s="880">
        <v>23</v>
      </c>
      <c r="B83" s="3270"/>
      <c r="C83" s="816" t="s">
        <v>660</v>
      </c>
      <c r="D83" s="816" t="s">
        <v>661</v>
      </c>
      <c r="E83" s="893">
        <v>0.2</v>
      </c>
      <c r="F83" s="880">
        <v>30</v>
      </c>
    </row>
    <row r="84" spans="1:6" s="876" customFormat="1" ht="36">
      <c r="A84" s="880">
        <v>24</v>
      </c>
      <c r="B84" s="3270"/>
      <c r="C84" s="816" t="s">
        <v>662</v>
      </c>
      <c r="D84" s="816" t="s">
        <v>663</v>
      </c>
      <c r="E84" s="893">
        <v>0.2</v>
      </c>
      <c r="F84" s="880">
        <v>30</v>
      </c>
    </row>
    <row r="85" spans="1:6" s="876" customFormat="1" ht="36">
      <c r="A85" s="880">
        <v>25</v>
      </c>
      <c r="B85" s="3270"/>
      <c r="C85" s="816" t="s">
        <v>664</v>
      </c>
      <c r="D85" s="816" t="s">
        <v>665</v>
      </c>
      <c r="E85" s="893">
        <v>0.5</v>
      </c>
      <c r="F85" s="880">
        <v>80</v>
      </c>
    </row>
    <row r="86" spans="1:6" s="876" customFormat="1" ht="36">
      <c r="A86" s="880">
        <v>26</v>
      </c>
      <c r="B86" s="3270"/>
      <c r="C86" s="816" t="s">
        <v>666</v>
      </c>
      <c r="D86" s="816" t="s">
        <v>667</v>
      </c>
      <c r="E86" s="893">
        <v>0.2</v>
      </c>
      <c r="F86" s="880">
        <v>30</v>
      </c>
    </row>
    <row r="87" spans="1:6" s="876" customFormat="1" ht="36">
      <c r="A87" s="880">
        <v>27</v>
      </c>
      <c r="B87" s="3270"/>
      <c r="C87" s="816" t="s">
        <v>668</v>
      </c>
      <c r="D87" s="816" t="s">
        <v>669</v>
      </c>
      <c r="E87" s="893">
        <v>0.2</v>
      </c>
      <c r="F87" s="880">
        <v>30</v>
      </c>
    </row>
    <row r="88" spans="1:6" s="876" customFormat="1" ht="36">
      <c r="A88" s="880">
        <v>28</v>
      </c>
      <c r="B88" s="3270"/>
      <c r="C88" s="816" t="s">
        <v>670</v>
      </c>
      <c r="D88" s="816" t="s">
        <v>671</v>
      </c>
      <c r="E88" s="893">
        <v>0.2</v>
      </c>
      <c r="F88" s="880">
        <v>30</v>
      </c>
    </row>
    <row r="89" spans="1:6" s="876" customFormat="1" ht="24">
      <c r="A89" s="880">
        <v>29</v>
      </c>
      <c r="B89" s="3270"/>
      <c r="C89" s="816" t="s">
        <v>672</v>
      </c>
      <c r="D89" s="816" t="s">
        <v>673</v>
      </c>
      <c r="E89" s="893">
        <v>0.2</v>
      </c>
      <c r="F89" s="880">
        <v>30</v>
      </c>
    </row>
    <row r="90" spans="1:6" s="876" customFormat="1" ht="24">
      <c r="A90" s="880">
        <v>30</v>
      </c>
      <c r="B90" s="3270"/>
      <c r="C90" s="816" t="s">
        <v>674</v>
      </c>
      <c r="D90" s="816" t="s">
        <v>675</v>
      </c>
      <c r="E90" s="893">
        <v>0.2</v>
      </c>
      <c r="F90" s="880">
        <v>30</v>
      </c>
    </row>
    <row r="91" spans="1:6" s="876" customFormat="1" ht="36">
      <c r="A91" s="880">
        <v>31</v>
      </c>
      <c r="B91" s="3270"/>
      <c r="C91" s="816" t="s">
        <v>676</v>
      </c>
      <c r="D91" s="816" t="s">
        <v>677</v>
      </c>
      <c r="E91" s="893">
        <v>0.2</v>
      </c>
      <c r="F91" s="880">
        <v>30</v>
      </c>
    </row>
    <row r="92" spans="1:6" s="876" customFormat="1" ht="24">
      <c r="A92" s="880">
        <v>32</v>
      </c>
      <c r="B92" s="3270" t="s">
        <v>678</v>
      </c>
      <c r="C92" s="880" t="s">
        <v>679</v>
      </c>
      <c r="D92" s="816" t="s">
        <v>680</v>
      </c>
      <c r="E92" s="893">
        <v>0.2</v>
      </c>
      <c r="F92" s="880">
        <v>30</v>
      </c>
    </row>
    <row r="93" spans="1:6" s="876" customFormat="1" ht="36">
      <c r="A93" s="880">
        <v>33</v>
      </c>
      <c r="B93" s="3270"/>
      <c r="C93" s="880" t="s">
        <v>681</v>
      </c>
      <c r="D93" s="816" t="s">
        <v>682</v>
      </c>
      <c r="E93" s="893">
        <v>0.2</v>
      </c>
      <c r="F93" s="880">
        <v>30</v>
      </c>
    </row>
    <row r="94" spans="1:6" s="876" customFormat="1" ht="48">
      <c r="A94" s="880">
        <v>34</v>
      </c>
      <c r="B94" s="3270"/>
      <c r="C94" s="880" t="s">
        <v>683</v>
      </c>
      <c r="D94" s="816" t="s">
        <v>684</v>
      </c>
      <c r="E94" s="893">
        <v>0.2</v>
      </c>
      <c r="F94" s="880">
        <v>30</v>
      </c>
    </row>
    <row r="95" spans="1:6" s="876" customFormat="1" ht="36">
      <c r="A95" s="880">
        <v>35</v>
      </c>
      <c r="B95" s="3270"/>
      <c r="C95" s="880" t="s">
        <v>685</v>
      </c>
      <c r="D95" s="816" t="s">
        <v>686</v>
      </c>
      <c r="E95" s="893">
        <v>0.2</v>
      </c>
      <c r="F95" s="880">
        <v>30</v>
      </c>
    </row>
    <row r="96" spans="1:6" s="876" customFormat="1" ht="48">
      <c r="A96" s="880">
        <v>36</v>
      </c>
      <c r="B96" s="3270"/>
      <c r="C96" s="816" t="s">
        <v>687</v>
      </c>
      <c r="D96" s="816" t="s">
        <v>688</v>
      </c>
      <c r="E96" s="893">
        <v>0.2</v>
      </c>
      <c r="F96" s="880">
        <v>30</v>
      </c>
    </row>
    <row r="97" spans="1:6" s="876" customFormat="1" ht="36">
      <c r="A97" s="880">
        <v>37</v>
      </c>
      <c r="B97" s="3270"/>
      <c r="C97" s="880" t="s">
        <v>689</v>
      </c>
      <c r="D97" s="816" t="s">
        <v>690</v>
      </c>
      <c r="E97" s="893">
        <v>0.2</v>
      </c>
      <c r="F97" s="880">
        <v>30</v>
      </c>
    </row>
    <row r="98" spans="1:6" s="876" customFormat="1" ht="36">
      <c r="A98" s="880">
        <v>38</v>
      </c>
      <c r="B98" s="3270"/>
      <c r="C98" s="880" t="s">
        <v>691</v>
      </c>
      <c r="D98" s="816" t="s">
        <v>692</v>
      </c>
      <c r="E98" s="893">
        <v>0.2</v>
      </c>
      <c r="F98" s="880">
        <v>30</v>
      </c>
    </row>
    <row r="99" spans="1:6" s="876" customFormat="1" ht="36">
      <c r="A99" s="880">
        <v>39</v>
      </c>
      <c r="B99" s="3270" t="s">
        <v>693</v>
      </c>
      <c r="C99" s="880" t="s">
        <v>694</v>
      </c>
      <c r="D99" s="816" t="s">
        <v>695</v>
      </c>
      <c r="E99" s="893">
        <v>0.3</v>
      </c>
      <c r="F99" s="880">
        <v>50</v>
      </c>
    </row>
    <row r="100" spans="1:6" s="876" customFormat="1" ht="24">
      <c r="A100" s="880">
        <v>40</v>
      </c>
      <c r="B100" s="3270"/>
      <c r="C100" s="880" t="s">
        <v>696</v>
      </c>
      <c r="D100" s="816" t="s">
        <v>697</v>
      </c>
      <c r="E100" s="893">
        <v>0.2</v>
      </c>
      <c r="F100" s="880">
        <v>30</v>
      </c>
    </row>
    <row r="101" spans="1:6" s="876" customFormat="1" ht="36">
      <c r="A101" s="880">
        <v>41</v>
      </c>
      <c r="B101" s="327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0" t="s">
        <v>708</v>
      </c>
      <c r="C105" s="880" t="s">
        <v>709</v>
      </c>
      <c r="D105" s="816" t="s">
        <v>710</v>
      </c>
      <c r="E105" s="893">
        <v>0.2</v>
      </c>
      <c r="F105" s="880">
        <v>30</v>
      </c>
    </row>
    <row r="106" spans="1:6" s="876" customFormat="1" ht="36">
      <c r="A106" s="880">
        <v>46</v>
      </c>
      <c r="B106" s="3270"/>
      <c r="C106" s="880" t="s">
        <v>711</v>
      </c>
      <c r="D106" s="816" t="s">
        <v>712</v>
      </c>
      <c r="E106" s="893">
        <v>0.2</v>
      </c>
      <c r="F106" s="880">
        <v>30</v>
      </c>
    </row>
    <row r="107" spans="1:6" s="876" customFormat="1" ht="36">
      <c r="A107" s="880">
        <v>47</v>
      </c>
      <c r="B107" s="3270" t="s">
        <v>713</v>
      </c>
      <c r="C107" s="880" t="s">
        <v>714</v>
      </c>
      <c r="D107" s="816" t="s">
        <v>715</v>
      </c>
      <c r="E107" s="893">
        <v>0.3</v>
      </c>
      <c r="F107" s="880">
        <v>50</v>
      </c>
    </row>
    <row r="108" spans="1:6" s="876" customFormat="1" ht="36">
      <c r="A108" s="880">
        <v>48</v>
      </c>
      <c r="B108" s="327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0" t="s">
        <v>724</v>
      </c>
      <c r="C111" s="880" t="s">
        <v>725</v>
      </c>
      <c r="D111" s="816" t="s">
        <v>726</v>
      </c>
      <c r="E111" s="893">
        <v>0.2</v>
      </c>
      <c r="F111" s="880">
        <v>30</v>
      </c>
    </row>
    <row r="112" spans="1:6" s="876" customFormat="1" ht="24">
      <c r="A112" s="880">
        <v>52</v>
      </c>
      <c r="B112" s="3270"/>
      <c r="C112" s="880" t="s">
        <v>727</v>
      </c>
      <c r="D112" s="816" t="s">
        <v>728</v>
      </c>
      <c r="E112" s="893">
        <v>0.2</v>
      </c>
      <c r="F112" s="880">
        <v>30</v>
      </c>
    </row>
    <row r="113" spans="1:6" s="876" customFormat="1" ht="24">
      <c r="A113" s="880">
        <v>53</v>
      </c>
      <c r="B113" s="327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0" t="s">
        <v>737</v>
      </c>
      <c r="C116" s="880" t="s">
        <v>738</v>
      </c>
      <c r="D116" s="816" t="s">
        <v>739</v>
      </c>
      <c r="E116" s="893">
        <v>0.2</v>
      </c>
      <c r="F116" s="880">
        <v>30</v>
      </c>
    </row>
    <row r="117" spans="1:6" ht="36">
      <c r="A117" s="880">
        <v>57</v>
      </c>
      <c r="B117" s="327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0</v>
      </c>
      <c r="C2" s="2902" t="s">
        <v>2993</v>
      </c>
      <c r="D2" s="2902" t="s">
        <v>2994</v>
      </c>
      <c r="E2" s="2903">
        <f ca="1">SUMIF(E6:E13,"&lt;&gt;#ref!",E6:E13)</f>
        <v>107.22</v>
      </c>
    </row>
    <row r="3" spans="1:5" ht="15.75">
      <c r="A3" s="2902" t="s">
        <v>2995</v>
      </c>
      <c r="B3" s="2903">
        <f ca="1">ROUND(B2*10000/E2,0)</f>
        <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0</v>
      </c>
      <c r="C6" s="2902" t="s">
        <v>2993</v>
      </c>
      <c r="D6" s="2904"/>
      <c r="E6" s="2575">
        <f ca="1">SUMIF(INDIRECT("'"&amp;A6&amp;"'"&amp;"!C:C"),"建筑面积",INDIRECT("'"&amp;A6&amp;"'"&amp;"!D:D"))</f>
        <v>107.22</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1145</v>
      </c>
      <c r="C1" s="3276"/>
      <c r="D1" s="3276"/>
      <c r="E1" s="3276"/>
      <c r="F1" s="3276"/>
      <c r="G1" s="3272" t="s">
        <v>1146</v>
      </c>
      <c r="H1" s="3272"/>
      <c r="I1" s="3272"/>
      <c r="J1" s="3272"/>
      <c r="K1" s="3272"/>
      <c r="L1" s="3272"/>
      <c r="N1" s="3272" t="s">
        <v>1147</v>
      </c>
      <c r="O1" s="3272"/>
      <c r="P1" s="3272"/>
      <c r="Q1" s="3272"/>
      <c r="R1" s="1444"/>
      <c r="S1" s="3272" t="s">
        <v>1148</v>
      </c>
      <c r="T1" s="3272"/>
      <c r="U1" s="3272"/>
      <c r="V1" s="3272"/>
      <c r="X1" s="3271" t="s">
        <v>1149</v>
      </c>
      <c r="Y1" s="3272"/>
      <c r="Z1" s="3272"/>
      <c r="AA1" s="3272"/>
      <c r="AB1" s="3272"/>
      <c r="AD1" s="3271" t="s">
        <v>1150</v>
      </c>
      <c r="AE1" s="3272"/>
      <c r="AF1" s="3272"/>
      <c r="AG1" s="3272"/>
      <c r="AH1" s="3272"/>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25">
      <c r="A3" s="2927" t="s">
        <v>3032</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3033</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3046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3044</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3042</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3045</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74">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74"/>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74"/>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1"/>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77">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74"/>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74"/>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281"/>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77">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74"/>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74"/>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75"/>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3">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74"/>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74"/>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75"/>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3">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74"/>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74"/>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75"/>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1158</v>
      </c>
      <c r="B29" s="1467">
        <v>299</v>
      </c>
      <c r="C29" s="1467">
        <v>252</v>
      </c>
      <c r="D29" s="1467">
        <f t="shared" si="108"/>
        <v>252</v>
      </c>
      <c r="E29" s="1467">
        <v>409</v>
      </c>
      <c r="F29" s="1468">
        <v>227</v>
      </c>
      <c r="G29" s="3278">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79"/>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79"/>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80"/>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1162</v>
      </c>
      <c r="B33" s="1509">
        <v>278</v>
      </c>
      <c r="C33" s="1509">
        <v>234</v>
      </c>
      <c r="D33" s="1509">
        <f t="shared" si="108"/>
        <v>234</v>
      </c>
      <c r="E33" s="1509">
        <v>379</v>
      </c>
      <c r="F33" s="1510">
        <v>220</v>
      </c>
      <c r="G33" s="3273">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74"/>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74"/>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1165</v>
      </c>
      <c r="B36" s="1475">
        <f>B35/(1+N35)</f>
        <v>275.19025476197027</v>
      </c>
      <c r="C36" s="1511">
        <v>232</v>
      </c>
      <c r="D36" s="1511">
        <f t="shared" si="108"/>
        <v>232</v>
      </c>
      <c r="E36" s="1475">
        <f t="shared" si="119"/>
        <v>375.65990977608692</v>
      </c>
      <c r="F36" s="1475">
        <f t="shared" si="119"/>
        <v>214.12518283971252</v>
      </c>
      <c r="G36" s="3275"/>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1166</v>
      </c>
      <c r="B37" s="1467">
        <v>275</v>
      </c>
      <c r="C37" s="1467">
        <v>232</v>
      </c>
      <c r="D37" s="1467">
        <f t="shared" si="108"/>
        <v>232</v>
      </c>
      <c r="E37" s="1467">
        <v>376</v>
      </c>
      <c r="F37" s="1468">
        <v>213</v>
      </c>
      <c r="G37" s="3273">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74">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74">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75">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1170</v>
      </c>
      <c r="B41" s="1467">
        <v>269</v>
      </c>
      <c r="C41" s="1467">
        <v>221</v>
      </c>
      <c r="D41" s="1467">
        <f t="shared" si="108"/>
        <v>221</v>
      </c>
      <c r="E41" s="1467">
        <v>373</v>
      </c>
      <c r="F41" s="1468">
        <v>196</v>
      </c>
      <c r="G41" s="3273">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74">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74">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75">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1174</v>
      </c>
      <c r="B45" s="1467">
        <v>220</v>
      </c>
      <c r="C45" s="1467">
        <v>187</v>
      </c>
      <c r="D45" s="1467">
        <f t="shared" si="108"/>
        <v>187</v>
      </c>
      <c r="E45" s="1467">
        <v>301</v>
      </c>
      <c r="F45" s="1468">
        <v>168</v>
      </c>
      <c r="G45" s="3273">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74">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74">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75">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1178</v>
      </c>
      <c r="B49" s="1509">
        <v>214</v>
      </c>
      <c r="C49" s="1509">
        <v>188</v>
      </c>
      <c r="D49" s="1509">
        <f t="shared" si="108"/>
        <v>188</v>
      </c>
      <c r="E49" s="1509">
        <v>289</v>
      </c>
      <c r="F49" s="1510">
        <v>166</v>
      </c>
      <c r="G49" s="3273">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74">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74">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75">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1182</v>
      </c>
      <c r="B53" s="1467">
        <v>188</v>
      </c>
      <c r="C53" s="1467">
        <v>165</v>
      </c>
      <c r="D53" s="1467">
        <f t="shared" si="108"/>
        <v>165</v>
      </c>
      <c r="E53" s="1467">
        <v>254</v>
      </c>
      <c r="F53" s="1468">
        <v>148</v>
      </c>
      <c r="G53" s="3273">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74">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74">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75">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1186</v>
      </c>
      <c r="B57" s="1488">
        <v>159</v>
      </c>
      <c r="C57" s="1488">
        <v>141</v>
      </c>
      <c r="D57" s="1488">
        <f t="shared" si="108"/>
        <v>141</v>
      </c>
      <c r="E57" s="1488">
        <v>195</v>
      </c>
      <c r="F57" s="1489">
        <v>122</v>
      </c>
      <c r="G57" s="3273">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74">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74">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75">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1190</v>
      </c>
      <c r="B61" s="1488">
        <v>138</v>
      </c>
      <c r="C61" s="1488">
        <v>131</v>
      </c>
      <c r="D61" s="1488">
        <f t="shared" si="108"/>
        <v>131</v>
      </c>
      <c r="E61" s="1488">
        <v>155</v>
      </c>
      <c r="F61" s="1489">
        <v>114</v>
      </c>
      <c r="G61" s="3273">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74">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74">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75">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1194</v>
      </c>
      <c r="B65" s="1509">
        <v>121</v>
      </c>
      <c r="C65" s="1509">
        <v>122</v>
      </c>
      <c r="D65" s="1509">
        <f t="shared" si="108"/>
        <v>122</v>
      </c>
      <c r="E65" s="1509">
        <v>124</v>
      </c>
      <c r="F65" s="1510">
        <v>107</v>
      </c>
      <c r="G65" s="3273">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74">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74">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75">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1198</v>
      </c>
      <c r="B69" s="1530">
        <v>111</v>
      </c>
      <c r="C69" s="1530">
        <v>114</v>
      </c>
      <c r="D69" s="1530">
        <f t="shared" si="108"/>
        <v>114</v>
      </c>
      <c r="E69" s="1530">
        <v>108</v>
      </c>
      <c r="F69" s="1531">
        <v>104</v>
      </c>
      <c r="G69" s="3273">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74">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74">
        <v>2003</v>
      </c>
      <c r="H71" s="1463">
        <v>2</v>
      </c>
      <c r="I71" s="1532"/>
      <c r="J71" s="1532"/>
      <c r="K71" s="1532"/>
      <c r="L71" s="1532"/>
      <c r="X71" s="1524"/>
      <c r="Y71" s="1524"/>
      <c r="Z71" s="1524"/>
    </row>
    <row r="72" spans="1:26" ht="13.5" thickBot="1">
      <c r="A72" s="1459" t="s">
        <v>1201</v>
      </c>
      <c r="B72" s="1534">
        <f t="shared" si="144"/>
        <v>107.25</v>
      </c>
      <c r="C72" s="1534">
        <f t="shared" si="144"/>
        <v>108.75</v>
      </c>
      <c r="D72" s="1534">
        <f t="shared" si="108"/>
        <v>108.75</v>
      </c>
      <c r="E72" s="1534">
        <f t="shared" si="145"/>
        <v>105.75</v>
      </c>
      <c r="F72" s="1534">
        <f t="shared" si="145"/>
        <v>102.5</v>
      </c>
      <c r="G72" s="3275">
        <v>2003</v>
      </c>
      <c r="H72" s="1535">
        <v>1</v>
      </c>
      <c r="I72" s="1532"/>
      <c r="J72" s="1532"/>
      <c r="K72" s="1532"/>
      <c r="L72" s="1532"/>
      <c r="S72" s="1470"/>
      <c r="T72" s="1471"/>
      <c r="U72" s="1471"/>
      <c r="X72" s="1524"/>
      <c r="Y72" s="1524"/>
      <c r="Z72" s="1524"/>
    </row>
    <row r="73" spans="1:26" ht="13.5" thickBot="1">
      <c r="A73" s="1459" t="s">
        <v>1202</v>
      </c>
      <c r="B73" s="1536">
        <v>106</v>
      </c>
      <c r="C73" s="1536">
        <v>107</v>
      </c>
      <c r="D73" s="1536">
        <f t="shared" si="108"/>
        <v>107</v>
      </c>
      <c r="E73" s="1536">
        <v>105</v>
      </c>
      <c r="F73" s="1537">
        <v>102</v>
      </c>
      <c r="G73" s="3273">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74">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74">
        <v>2002</v>
      </c>
      <c r="H75" s="1463">
        <v>2</v>
      </c>
      <c r="I75" s="1532"/>
      <c r="J75" s="1532"/>
      <c r="K75" s="1532"/>
      <c r="L75" s="1532"/>
      <c r="X75" s="1524"/>
      <c r="Y75" s="1524"/>
      <c r="Z75" s="1524"/>
    </row>
    <row r="76" spans="1:26" s="1496" customFormat="1" ht="13.5" thickBot="1">
      <c r="A76" s="1492" t="s">
        <v>1205</v>
      </c>
      <c r="B76" s="1538">
        <f t="shared" si="146"/>
        <v>103</v>
      </c>
      <c r="C76" s="1538">
        <f t="shared" si="146"/>
        <v>104</v>
      </c>
      <c r="D76" s="1538">
        <f t="shared" si="108"/>
        <v>104</v>
      </c>
      <c r="E76" s="1538">
        <f t="shared" si="147"/>
        <v>103.5</v>
      </c>
      <c r="F76" s="1538">
        <f t="shared" si="147"/>
        <v>100.5</v>
      </c>
      <c r="G76" s="3275">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5"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0" width="9" style="793"/>
    <col min="21" max="21" width="12.125" style="793" bestFit="1" customWidth="1"/>
    <col min="22" max="45" width="9" style="793"/>
    <col min="46" max="16384" width="9" style="139"/>
  </cols>
  <sheetData>
    <row r="1" spans="1:45" ht="14.25" customHeight="1" thickBot="1">
      <c r="A1" s="155"/>
      <c r="B1" s="1202" t="s">
        <v>3002</v>
      </c>
      <c r="C1" s="3283" t="s">
        <v>3003</v>
      </c>
      <c r="D1" s="3284"/>
      <c r="E1" s="3284"/>
      <c r="F1" s="3284"/>
      <c r="G1" s="3284"/>
      <c r="H1" s="3284"/>
      <c r="I1" s="3284"/>
      <c r="J1" s="3284"/>
      <c r="K1" s="3284"/>
      <c r="L1" s="3284"/>
      <c r="M1" s="3284"/>
      <c r="N1" s="3284"/>
      <c r="O1" s="3284"/>
      <c r="P1" s="3284"/>
      <c r="Q1" s="3284"/>
      <c r="R1" s="3284"/>
      <c r="S1" s="3285"/>
      <c r="T1" s="1202" t="s">
        <v>3004</v>
      </c>
    </row>
    <row r="2" spans="1:45" s="707" customFormat="1" ht="38.25">
      <c r="A2" s="1203"/>
      <c r="B2" s="703" t="s">
        <v>3005</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2958" t="s">
        <v>3121</v>
      </c>
      <c r="C5" s="2959" t="s">
        <v>3122</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3011</v>
      </c>
      <c r="B17" s="2909" t="s">
        <v>3012</v>
      </c>
      <c r="C17" s="1229" t="s">
        <v>3113</v>
      </c>
      <c r="D17" s="1230" t="s">
        <v>3104</v>
      </c>
      <c r="E17" s="1230" t="s">
        <v>3114</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3013</v>
      </c>
      <c r="E19" s="1790"/>
      <c r="F19" s="1790"/>
      <c r="G19" s="1790"/>
      <c r="H19" s="1278"/>
      <c r="I19" s="168"/>
      <c r="J19" s="168"/>
      <c r="K19" s="168"/>
      <c r="L19" s="168"/>
      <c r="M19" s="168"/>
      <c r="N19" s="168"/>
      <c r="O19" s="168"/>
      <c r="P19" s="168"/>
      <c r="Q19" s="168"/>
      <c r="R19" s="786"/>
      <c r="S19" s="138"/>
    </row>
    <row r="20" spans="1:45" ht="16.5" thickBot="1">
      <c r="A20" s="713" t="s">
        <v>3014</v>
      </c>
      <c r="B20" s="338">
        <f ca="1">IF(D20="——",S22,S22-F20)</f>
        <v>4083</v>
      </c>
      <c r="C20" s="168"/>
      <c r="D20" s="2911" t="s">
        <v>70</v>
      </c>
      <c r="E20" s="1791"/>
      <c r="F20" s="1202" t="e">
        <f ca="1">SUMIF(INDIRECT("'"&amp;H20&amp;"'"&amp;"!A:A"),"承租人权益价值",INDIRECT("'"&amp;H20&amp;"'"&amp;"!c:c"))</f>
        <v>#REF!</v>
      </c>
      <c r="G20" s="1202" t="s">
        <v>3015</v>
      </c>
      <c r="H20" s="2912"/>
      <c r="I20" s="168"/>
      <c r="J20" s="168"/>
      <c r="K20" s="168"/>
      <c r="L20" s="168"/>
      <c r="M20" s="168"/>
      <c r="N20" s="168"/>
      <c r="O20" s="168"/>
      <c r="P20" s="168"/>
      <c r="Q20" s="168"/>
      <c r="R20" s="786"/>
      <c r="S20" s="138"/>
    </row>
    <row r="21" spans="1:45" ht="15.75">
      <c r="A21" s="713" t="s">
        <v>3016</v>
      </c>
      <c r="B21" s="338">
        <f ca="1">R22</f>
        <v>39854</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1024.48</v>
      </c>
      <c r="C22" s="3062" t="s">
        <v>33</v>
      </c>
      <c r="D22" s="3063"/>
      <c r="E22" s="3063"/>
      <c r="F22" s="3063"/>
      <c r="G22" s="3063"/>
      <c r="H22" s="3063"/>
      <c r="I22" s="3063"/>
      <c r="J22" s="3063"/>
      <c r="K22" s="3063"/>
      <c r="L22" s="3063"/>
      <c r="M22" s="3063"/>
      <c r="N22" s="3063"/>
      <c r="O22" s="3063"/>
      <c r="P22" s="3063"/>
      <c r="Q22" s="3282"/>
      <c r="R22" s="714">
        <f ca="1">ROUND(S22*10000/B22,0)</f>
        <v>39854</v>
      </c>
      <c r="S22" s="24">
        <f ca="1">SUM(S24:S10000)</f>
        <v>4083</v>
      </c>
      <c r="T22" s="793">
        <v>4290</v>
      </c>
      <c r="U22" s="793">
        <f ca="1">T22-S22</f>
        <v>207</v>
      </c>
    </row>
    <row r="23" spans="1:45" s="12" customFormat="1" ht="24">
      <c r="A23" s="11" t="s">
        <v>3018</v>
      </c>
      <c r="B23" s="11" t="s">
        <v>3019</v>
      </c>
      <c r="C23" s="11" t="s">
        <v>3020</v>
      </c>
      <c r="D23" s="11" t="str">
        <f>B5</f>
        <v>装修</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3125</v>
      </c>
      <c r="B24" s="716">
        <f>'数据-汇总表'!F19</f>
        <v>107.22</v>
      </c>
      <c r="C24" s="717">
        <v>1</v>
      </c>
      <c r="D24" s="718"/>
      <c r="E24" s="717">
        <v>1</v>
      </c>
      <c r="F24" s="718"/>
      <c r="G24" s="717">
        <v>1</v>
      </c>
      <c r="H24" s="718"/>
      <c r="I24" s="717">
        <v>1</v>
      </c>
      <c r="J24" s="718"/>
      <c r="K24" s="717">
        <v>1</v>
      </c>
      <c r="L24" s="718"/>
      <c r="M24" s="717">
        <v>1</v>
      </c>
      <c r="N24" s="718"/>
      <c r="O24" s="717">
        <v>1</v>
      </c>
      <c r="P24" s="718" t="s">
        <v>3113</v>
      </c>
      <c r="Q24" s="717">
        <v>1</v>
      </c>
      <c r="R24" s="719">
        <f ca="1">结果表!G20</f>
        <v>40157</v>
      </c>
      <c r="S24" s="717">
        <f t="shared" ref="S24:S54" ca="1" si="11">ROUND(R24*B24/10000,0)</f>
        <v>431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3126</v>
      </c>
      <c r="B25" s="2960">
        <v>89.85</v>
      </c>
      <c r="C25" s="24">
        <f>IF(B25="",1,(LOOKUP(B25,$3:$3,$4:$4)-LOOKUP($B$24,$3:$3,$4:$4)+100)/100)</f>
        <v>0.99</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3113</v>
      </c>
      <c r="Q25" s="24">
        <f>(SUMIF($17:$17,P25,$18:$18)-SUMIF($17:$17,$P$24,$18:$18)+100)/100</f>
        <v>1</v>
      </c>
      <c r="R25" s="714">
        <f ca="1">IF(B25="",0,ROUND($R$24*C25*E25*G25*I25*K25*M25*O25*Q25,0))</f>
        <v>39755</v>
      </c>
      <c r="S25" s="361">
        <f t="shared" ca="1" si="11"/>
        <v>357</v>
      </c>
    </row>
    <row r="26" spans="1:45">
      <c r="A26" s="159" t="s">
        <v>3127</v>
      </c>
      <c r="B26" s="2960">
        <v>83.75</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3113</v>
      </c>
      <c r="Q26" s="24">
        <f t="shared" ref="Q26:Q89" si="19">(SUMIF($17:$17,P26,$18:$18)-SUMIF($17:$17,$P$24,$18:$18)+100)/100</f>
        <v>1</v>
      </c>
      <c r="R26" s="714">
        <f t="shared" ref="R26:R89" ca="1" si="20">IF(B26="",0,ROUND($R$24*C26*E26*G26*I26*K26*M26*O26*Q26,0))</f>
        <v>39755</v>
      </c>
      <c r="S26" s="361">
        <f t="shared" ca="1" si="11"/>
        <v>333</v>
      </c>
    </row>
    <row r="27" spans="1:45">
      <c r="A27" s="159" t="s">
        <v>3128</v>
      </c>
      <c r="B27" s="2960">
        <v>89.85</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3113</v>
      </c>
      <c r="Q27" s="24">
        <f t="shared" si="19"/>
        <v>1</v>
      </c>
      <c r="R27" s="714">
        <f t="shared" ca="1" si="20"/>
        <v>39755</v>
      </c>
      <c r="S27" s="361">
        <f t="shared" ca="1" si="11"/>
        <v>357</v>
      </c>
    </row>
    <row r="28" spans="1:45">
      <c r="A28" s="159" t="s">
        <v>3129</v>
      </c>
      <c r="B28" s="2960">
        <v>83.75</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3113</v>
      </c>
      <c r="Q28" s="24">
        <f t="shared" si="19"/>
        <v>1</v>
      </c>
      <c r="R28" s="714">
        <f t="shared" ca="1" si="20"/>
        <v>39755</v>
      </c>
      <c r="S28" s="361">
        <f t="shared" ca="1" si="11"/>
        <v>333</v>
      </c>
      <c r="T28" s="793" t="s">
        <v>3139</v>
      </c>
    </row>
    <row r="29" spans="1:45">
      <c r="A29" s="159" t="s">
        <v>3130</v>
      </c>
      <c r="B29" s="2960">
        <v>83.75</v>
      </c>
      <c r="C29" s="24">
        <f t="shared" si="12"/>
        <v>0.99</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3113</v>
      </c>
      <c r="Q29" s="24">
        <f t="shared" si="19"/>
        <v>1</v>
      </c>
      <c r="R29" s="714">
        <f t="shared" ca="1" si="20"/>
        <v>39755</v>
      </c>
      <c r="S29" s="361">
        <f t="shared" ca="1" si="11"/>
        <v>333</v>
      </c>
    </row>
    <row r="30" spans="1:45">
      <c r="A30" s="159" t="s">
        <v>3131</v>
      </c>
      <c r="B30" s="2960">
        <v>89.85</v>
      </c>
      <c r="C30" s="24">
        <f t="shared" si="12"/>
        <v>0.99</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3113</v>
      </c>
      <c r="Q30" s="24">
        <f t="shared" si="19"/>
        <v>1</v>
      </c>
      <c r="R30" s="714">
        <f t="shared" ca="1" si="20"/>
        <v>39755</v>
      </c>
      <c r="S30" s="361">
        <f t="shared" ca="1" si="11"/>
        <v>357</v>
      </c>
    </row>
    <row r="31" spans="1:45">
      <c r="A31" s="159" t="s">
        <v>3132</v>
      </c>
      <c r="B31" s="2960">
        <v>83.75</v>
      </c>
      <c r="C31" s="24">
        <f t="shared" si="12"/>
        <v>0.99</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3113</v>
      </c>
      <c r="Q31" s="24">
        <f t="shared" si="19"/>
        <v>1</v>
      </c>
      <c r="R31" s="714">
        <f t="shared" ca="1" si="20"/>
        <v>39755</v>
      </c>
      <c r="S31" s="361">
        <f t="shared" ca="1" si="11"/>
        <v>333</v>
      </c>
    </row>
    <row r="32" spans="1:45">
      <c r="A32" s="159" t="s">
        <v>3133</v>
      </c>
      <c r="B32" s="2960">
        <v>145.21</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3113</v>
      </c>
      <c r="Q32" s="24">
        <f t="shared" si="19"/>
        <v>1</v>
      </c>
      <c r="R32" s="714">
        <f t="shared" ca="1" si="20"/>
        <v>40157</v>
      </c>
      <c r="S32" s="361">
        <f t="shared" ca="1" si="11"/>
        <v>583</v>
      </c>
    </row>
    <row r="33" spans="1:19">
      <c r="A33" s="159" t="s">
        <v>3134</v>
      </c>
      <c r="B33" s="2960">
        <v>83.75</v>
      </c>
      <c r="C33" s="24">
        <f t="shared" si="12"/>
        <v>0.99</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3113</v>
      </c>
      <c r="Q33" s="24">
        <f t="shared" si="19"/>
        <v>1</v>
      </c>
      <c r="R33" s="714">
        <f t="shared" ca="1" si="20"/>
        <v>39755</v>
      </c>
      <c r="S33" s="361">
        <f t="shared" ca="1" si="11"/>
        <v>333</v>
      </c>
    </row>
    <row r="34" spans="1:19">
      <c r="A34" s="159" t="s">
        <v>3135</v>
      </c>
      <c r="B34" s="2960">
        <v>83.75</v>
      </c>
      <c r="C34" s="24">
        <f t="shared" si="12"/>
        <v>0.99</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3113</v>
      </c>
      <c r="Q34" s="24">
        <f t="shared" si="19"/>
        <v>1</v>
      </c>
      <c r="R34" s="714">
        <f t="shared" ca="1" si="20"/>
        <v>39755</v>
      </c>
      <c r="S34" s="361">
        <f t="shared" ca="1" si="11"/>
        <v>333</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1624</v>
      </c>
      <c r="C4" s="2965"/>
      <c r="D4" s="2965"/>
      <c r="E4" s="1958"/>
    </row>
    <row r="5" spans="1:5" ht="16.5" thickTop="1">
      <c r="A5" s="1956"/>
      <c r="B5" s="2963" t="s">
        <v>1616</v>
      </c>
      <c r="C5" s="1959" t="s">
        <v>1617</v>
      </c>
      <c r="D5" s="1038">
        <f ca="1">结果表!H101</f>
        <v>431</v>
      </c>
      <c r="E5" s="1956"/>
    </row>
    <row r="6" spans="1:5" ht="15.75">
      <c r="A6" s="1956"/>
      <c r="B6" s="2963"/>
      <c r="C6" s="1959" t="s">
        <v>1618</v>
      </c>
      <c r="D6" s="1038" t="str">
        <f ca="1">NUMBERSTRING(INT(D5*10000),2)&amp;"元整"</f>
        <v>肆佰叁拾壹万元整</v>
      </c>
      <c r="E6" s="1956"/>
    </row>
    <row r="7" spans="1:5" ht="15.75">
      <c r="A7" s="1956"/>
      <c r="B7" s="2968"/>
      <c r="C7" s="1960" t="s">
        <v>1619</v>
      </c>
      <c r="D7" s="1039">
        <f ca="1">结果表!H102</f>
        <v>40198</v>
      </c>
      <c r="E7" s="1956"/>
    </row>
    <row r="8" spans="1:5" ht="15.75">
      <c r="A8" s="1956"/>
      <c r="B8" s="2969" t="str">
        <f>结果表!E103</f>
        <v>2.估价师知悉的法定优先受偿款</v>
      </c>
      <c r="C8" s="1961" t="s">
        <v>1620</v>
      </c>
      <c r="D8" s="1039">
        <f>结果表!H103</f>
        <v>0</v>
      </c>
      <c r="E8" s="1956"/>
    </row>
    <row r="9" spans="1:5" ht="15.75">
      <c r="A9" s="1956"/>
      <c r="B9" s="2971"/>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2962" t="str">
        <f>结果表!E107</f>
        <v>3.房地产抵押价值</v>
      </c>
      <c r="C13" s="1964" t="s">
        <v>1617</v>
      </c>
      <c r="D13" s="1041">
        <f ca="1">结果表!H107</f>
        <v>431</v>
      </c>
      <c r="E13" s="1956"/>
    </row>
    <row r="14" spans="1:5" ht="15.75">
      <c r="A14" s="1956"/>
      <c r="B14" s="2963"/>
      <c r="C14" s="1959" t="s">
        <v>1618</v>
      </c>
      <c r="D14" s="1038" t="str">
        <f ca="1">NUMBERSTRING(INT(D13*10000),2)&amp;"元整"</f>
        <v>肆佰叁拾壹万元整</v>
      </c>
      <c r="E14" s="1956"/>
    </row>
    <row r="15" spans="1:5" ht="15">
      <c r="A15" s="1956"/>
      <c r="B15" s="2968"/>
      <c r="C15" s="1960" t="s">
        <v>1628</v>
      </c>
      <c r="D15" s="1050">
        <f ca="1">结果表!H108</f>
        <v>40198</v>
      </c>
      <c r="E15" s="1956"/>
    </row>
    <row r="16" spans="1:5" ht="15">
      <c r="A16" s="1956"/>
      <c r="B16" s="2969" t="str">
        <f>结果表!E109</f>
        <v>——</v>
      </c>
      <c r="C16" s="1964" t="s">
        <v>1629</v>
      </c>
      <c r="D16" s="1965" t="str">
        <f>结果表!H109</f>
        <v>——</v>
      </c>
      <c r="E16" s="1956"/>
    </row>
    <row r="17" spans="1:5" ht="15.75">
      <c r="A17" s="1956"/>
      <c r="B17" s="2970"/>
      <c r="C17" s="1959" t="s">
        <v>1630</v>
      </c>
      <c r="D17" s="1038" t="e">
        <f>NUMBERSTRING(INT(D16*10000),2)&amp;"元整"</f>
        <v>#VALUE!</v>
      </c>
      <c r="E17" s="1956"/>
    </row>
    <row r="18" spans="1:5" ht="15">
      <c r="A18" s="1956"/>
      <c r="B18" s="2971"/>
      <c r="C18" s="1960" t="s">
        <v>1619</v>
      </c>
      <c r="D18" s="1050" t="str">
        <f>结果表!H110</f>
        <v>——</v>
      </c>
      <c r="E18" s="1956"/>
    </row>
    <row r="19" spans="1:5" ht="15.75">
      <c r="A19" s="1956"/>
      <c r="B19" s="2962" t="str">
        <f>结果表!E111</f>
        <v>——</v>
      </c>
      <c r="C19" s="1964" t="s">
        <v>1617</v>
      </c>
      <c r="D19" s="1039" t="str">
        <f>结果表!H111</f>
        <v>——</v>
      </c>
      <c r="E19" s="1956"/>
    </row>
    <row r="20" spans="1:5" ht="15.75">
      <c r="A20" s="1956"/>
      <c r="B20" s="2963"/>
      <c r="C20" s="1959" t="s">
        <v>1630</v>
      </c>
      <c r="D20" s="1038" t="e">
        <f>NUMBERSTRING(INT(D19*10000),2)&amp;"元整"</f>
        <v>#VALUE!</v>
      </c>
      <c r="E20" s="1956"/>
    </row>
    <row r="21" spans="1:5" ht="15.75" thickBot="1">
      <c r="A21" s="1956"/>
      <c r="B21" s="2964"/>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27813</v>
      </c>
      <c r="C2" s="2" t="s">
        <v>133</v>
      </c>
      <c r="D2" s="243"/>
      <c r="E2" s="243"/>
      <c r="F2" s="243"/>
      <c r="G2" s="243"/>
    </row>
    <row r="3" spans="1:7" s="244" customFormat="1" ht="18" customHeight="1" thickBot="1">
      <c r="A3" s="247" t="s">
        <v>85</v>
      </c>
      <c r="B3" s="248">
        <f ca="1">ROUND(B2*10000/'数据-汇总表'!E3,0)</f>
        <v>2594012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4.75">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47" t="s">
        <v>121</v>
      </c>
    </row>
    <row r="43" spans="1:7" ht="13.5" customHeight="1">
      <c r="A43" s="949" t="s">
        <v>792</v>
      </c>
      <c r="B43" s="259" t="s">
        <v>1060</v>
      </c>
      <c r="C43" s="282">
        <f ca="1">ROUND(IF('数据-取费表'!B22&lt;=1,C39*F22*'数据-取费表'!B21/2,C39*(POWER((1+F22),'数据-取费表'!B21/2)-1)),0)</f>
        <v>0</v>
      </c>
      <c r="D43" s="282"/>
      <c r="E43" s="282"/>
      <c r="F43" s="283"/>
      <c r="G43" s="3148"/>
    </row>
    <row r="44" spans="1:7" ht="13.5" customHeight="1">
      <c r="A44" s="949" t="s">
        <v>793</v>
      </c>
      <c r="B44" s="259" t="s">
        <v>1062</v>
      </c>
      <c r="C44" s="282">
        <f ca="1">ROUND(IF('数据-取费表'!B22&lt;=1,C40*F22*'数据-取费表'!B21/2,C40*(POWER((1+F22),'数据-取费表'!B21/2)-1)),4)</f>
        <v>5.0000000000000001E-4</v>
      </c>
      <c r="D44" s="282"/>
      <c r="E44" s="282"/>
      <c r="F44" s="283"/>
      <c r="G44" s="3149"/>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0.83</v>
      </c>
      <c r="G50" s="291" t="s">
        <v>125</v>
      </c>
    </row>
    <row r="51" spans="1:7" ht="16.5" customHeight="1">
      <c r="A51" s="946" t="s">
        <v>790</v>
      </c>
      <c r="B51" s="254" t="s">
        <v>132</v>
      </c>
      <c r="C51" s="276">
        <f ca="1">ROUND(C49*F50,0)</f>
        <v>44</v>
      </c>
      <c r="D51" s="276"/>
      <c r="E51" s="276"/>
      <c r="F51" s="308"/>
      <c r="G51" s="278" t="s">
        <v>64</v>
      </c>
    </row>
    <row r="52" spans="1:7" s="252" customFormat="1" ht="16.5" thickBot="1">
      <c r="A52" s="309" t="s">
        <v>65</v>
      </c>
      <c r="B52" s="310"/>
      <c r="C52" s="311">
        <f ca="1">C31+C51</f>
        <v>27813</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6" t="s">
        <v>156</v>
      </c>
      <c r="B1" s="3286"/>
      <c r="C1" s="3286"/>
      <c r="D1" s="3286"/>
      <c r="E1" s="3286"/>
      <c r="F1" s="328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7" t="s">
        <v>169</v>
      </c>
      <c r="B2" s="3287"/>
      <c r="C2" s="3287"/>
      <c r="D2" s="3287"/>
      <c r="E2" s="3287"/>
      <c r="F2" s="328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6" t="s">
        <v>867</v>
      </c>
      <c r="B1" s="3286"/>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44011</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0</v>
      </c>
      <c r="E4" s="1042">
        <f ca="1">结果表!E118</f>
        <v>0</v>
      </c>
      <c r="F4" s="1042">
        <f ca="1">结果表!F118</f>
        <v>431</v>
      </c>
      <c r="G4" s="1042">
        <f ca="1">结果表!G118</f>
        <v>40198</v>
      </c>
      <c r="H4" s="1042">
        <f ca="1">结果表!H118</f>
        <v>431</v>
      </c>
      <c r="I4" s="1042">
        <f ca="1">结果表!I118</f>
        <v>40198</v>
      </c>
    </row>
    <row r="5" spans="1:9" ht="30" customHeight="1">
      <c r="A5" s="2974" t="s">
        <v>1634</v>
      </c>
      <c r="B5" s="2974"/>
      <c r="C5" s="2974"/>
      <c r="D5" s="2975" t="str">
        <f ca="1">结果表!D119</f>
        <v>零元整</v>
      </c>
      <c r="E5" s="2975"/>
      <c r="F5" s="2975" t="str">
        <f ca="1">结果表!F119</f>
        <v>肆佰叁拾壹万元整</v>
      </c>
      <c r="G5" s="2975"/>
      <c r="H5" s="2975" t="str">
        <f ca="1">结果表!H119</f>
        <v>肆佰叁拾壹万元整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房地产抵押价值</v>
      </c>
      <c r="B8" s="2976"/>
      <c r="C8" s="2976"/>
      <c r="D8" s="2976">
        <f ca="1">结果表!D122</f>
        <v>431</v>
      </c>
      <c r="E8" s="2976"/>
      <c r="F8" s="2976"/>
      <c r="G8" s="2976"/>
      <c r="H8" s="2976"/>
      <c r="I8" s="2976"/>
    </row>
    <row r="9" spans="1:9" ht="15">
      <c r="A9" s="2974" t="s">
        <v>1634</v>
      </c>
      <c r="B9" s="2974"/>
      <c r="C9" s="2974"/>
      <c r="D9" s="2975" t="str">
        <f ca="1">结果表!D123</f>
        <v>肆佰叁拾壹万元整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83" t="s">
        <v>1656</v>
      </c>
      <c r="B1" s="2983"/>
      <c r="C1" s="2983"/>
      <c r="D1" s="2983"/>
    </row>
    <row r="2" spans="1:4" ht="18">
      <c r="A2" s="2984" t="s">
        <v>1640</v>
      </c>
      <c r="B2" s="2984"/>
      <c r="C2" s="2984"/>
      <c r="D2" s="2984"/>
    </row>
    <row r="3" spans="1:4" ht="18.75">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8">
      <c r="A6" s="2984" t="s">
        <v>1646</v>
      </c>
      <c r="B6" s="2984"/>
      <c r="C6" s="2984"/>
      <c r="D6" s="2984"/>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1652</v>
      </c>
      <c r="B22" s="2991"/>
      <c r="C22" s="2991"/>
      <c r="D22" s="2991"/>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2997" t="s">
        <v>1663</v>
      </c>
      <c r="B15" s="2992" t="s">
        <v>136</v>
      </c>
      <c r="C15" s="2993"/>
    </row>
    <row r="16" spans="1:7" ht="13.5">
      <c r="A16" s="2998"/>
      <c r="B16" s="2992" t="s">
        <v>69</v>
      </c>
      <c r="C16" s="2993"/>
    </row>
    <row r="17" spans="1:3" ht="13.5">
      <c r="A17" s="2998"/>
      <c r="B17" s="2995" t="s">
        <v>1664</v>
      </c>
      <c r="C17" s="1997" t="s">
        <v>1663</v>
      </c>
    </row>
    <row r="18" spans="1:3" ht="13.5">
      <c r="A18" s="2998"/>
      <c r="B18" s="2995"/>
      <c r="C18" s="1997" t="s">
        <v>1665</v>
      </c>
    </row>
    <row r="19" spans="1:3" ht="13.5">
      <c r="A19" s="2998"/>
      <c r="B19" s="2995"/>
      <c r="C19" s="1997" t="s">
        <v>1666</v>
      </c>
    </row>
    <row r="20" spans="1:3" ht="13.5">
      <c r="A20" s="2999"/>
      <c r="B20" s="2994" t="s">
        <v>1667</v>
      </c>
      <c r="C20" s="2993"/>
    </row>
    <row r="21" spans="1:3" ht="13.5">
      <c r="A21" s="1998" t="s">
        <v>1668</v>
      </c>
      <c r="B21" s="1999"/>
      <c r="C21" s="2000"/>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7" t="s">
        <v>1674</v>
      </c>
    </row>
    <row r="26" spans="1:3" ht="13.5">
      <c r="A26" s="2996"/>
      <c r="B26" s="2995"/>
      <c r="C26" s="1997" t="s">
        <v>1675</v>
      </c>
    </row>
    <row r="27" spans="1:3" ht="13.5">
      <c r="A27" s="2996"/>
      <c r="B27" s="2995"/>
      <c r="C27" s="1997" t="s">
        <v>1676</v>
      </c>
    </row>
    <row r="28" spans="1:3" ht="13.5">
      <c r="A28" s="2996"/>
      <c r="B28" s="2995"/>
      <c r="C28" s="1997" t="s">
        <v>1677</v>
      </c>
    </row>
    <row r="29" spans="1:3" ht="13.5">
      <c r="A29" s="2996"/>
      <c r="B29" s="2995"/>
      <c r="C29" s="1997" t="s">
        <v>1678</v>
      </c>
    </row>
    <row r="30" spans="1:3" ht="13.5">
      <c r="A30" s="2996"/>
      <c r="B30" s="2995"/>
      <c r="C30" s="1997" t="s">
        <v>1679</v>
      </c>
    </row>
    <row r="31" spans="1:3" ht="13.5">
      <c r="A31" s="2996"/>
      <c r="B31" s="2995"/>
      <c r="C31" s="1997" t="s">
        <v>1680</v>
      </c>
    </row>
    <row r="32" spans="1:3" ht="13.5">
      <c r="A32" s="2996"/>
      <c r="B32" s="2995"/>
      <c r="C32" s="1997" t="s">
        <v>1681</v>
      </c>
    </row>
    <row r="33" spans="1:3" ht="13.5">
      <c r="A33" s="2996"/>
      <c r="B33" s="2995"/>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44013</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t="str">
        <f ca="1">IF(C4&lt;B2,"已过期",1119970066)</f>
        <v>已过期</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t="str">
        <f ca="1">IF(C8&lt;B2,"已过期",1120000080)</f>
        <v>已过期</v>
      </c>
      <c r="C8" s="2346">
        <v>43849</v>
      </c>
      <c r="D8" s="2349" t="s">
        <v>835</v>
      </c>
      <c r="E8" s="1020">
        <f ca="1">IF(F8&lt;B2,"已过期",2000110082)</f>
        <v>2000110082</v>
      </c>
      <c r="F8" s="1028">
        <v>46387</v>
      </c>
    </row>
    <row r="9" spans="1:6" ht="24" customHeight="1">
      <c r="A9" s="1700" t="s">
        <v>836</v>
      </c>
      <c r="B9" s="1020" t="str">
        <f ca="1">IF(C9&lt;B2,"已过期",1419970001)</f>
        <v>已过期</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3040</v>
      </c>
      <c r="B14" s="1020">
        <f ca="1">IF(C14&lt;B2,"已过期",1120040230)</f>
        <v>1120040230</v>
      </c>
      <c r="C14" s="2346">
        <v>44864</v>
      </c>
      <c r="D14" s="2349" t="s">
        <v>3040</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3048</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3050</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00" t="s">
        <v>842</v>
      </c>
      <c r="B25" s="3000"/>
      <c r="C25" s="3000"/>
      <c r="D25" s="3000"/>
      <c r="E25" s="3000"/>
      <c r="F25" s="3000"/>
      <c r="G25" s="3000"/>
    </row>
    <row r="26" spans="1:7" s="1023" customFormat="1" ht="24" customHeight="1">
      <c r="A26" s="3001" t="s">
        <v>843</v>
      </c>
      <c r="B26" s="3001"/>
      <c r="C26" s="3002"/>
      <c r="D26" s="3003" t="s">
        <v>844</v>
      </c>
      <c r="E26" s="3001"/>
      <c r="F26" s="3001"/>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3049</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2020-07-01T01:44:03Z</dcterms:modified>
</cp:coreProperties>
</file>