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8772" windowHeight="11016"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state="hidden"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82" l="1"/>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E80" i="83"/>
  <c r="F80" i="83" s="1"/>
  <c r="G80" i="83" s="1"/>
  <c r="D80" i="83"/>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J15" i="83" s="1"/>
  <c r="AC15" i="83" s="1"/>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H47" i="82" s="1"/>
  <c r="AB47" i="82" s="1"/>
  <c r="B129" i="82"/>
  <c r="H46" i="82" s="1"/>
  <c r="AB46" i="82" s="1"/>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H31" i="82" s="1"/>
  <c r="AB31" i="82" s="1"/>
  <c r="B95" i="82"/>
  <c r="H30" i="82" s="1"/>
  <c r="AB30" i="82" s="1"/>
  <c r="B93" i="82"/>
  <c r="D92" i="82"/>
  <c r="E92" i="82" s="1"/>
  <c r="F92" i="82" s="1"/>
  <c r="G92" i="82" s="1"/>
  <c r="H92" i="82" s="1"/>
  <c r="I92" i="82" s="1"/>
  <c r="J92" i="82" s="1"/>
  <c r="K92" i="82" s="1"/>
  <c r="L92" i="82" s="1"/>
  <c r="M92" i="82" s="1"/>
  <c r="B91" i="82"/>
  <c r="H28" i="82" s="1"/>
  <c r="AB28" i="82" s="1"/>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F14" i="82" s="1"/>
  <c r="AA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F9" i="82" s="1"/>
  <c r="AA9" i="82" s="1"/>
  <c r="I55" i="82"/>
  <c r="J55" i="82" s="1"/>
  <c r="G55" i="82"/>
  <c r="H55" i="82" s="1"/>
  <c r="E55" i="82"/>
  <c r="F55" i="82" s="1"/>
  <c r="P50" i="82"/>
  <c r="P49" i="82"/>
  <c r="K49" i="82"/>
  <c r="V48" i="82"/>
  <c r="T48" i="82"/>
  <c r="R48" i="82"/>
  <c r="P48" i="82"/>
  <c r="Q47" i="82"/>
  <c r="Z47" i="82" s="1"/>
  <c r="J47" i="82"/>
  <c r="AC47" i="82" s="1"/>
  <c r="Q46" i="82"/>
  <c r="Z46" i="82" s="1"/>
  <c r="J46" i="82"/>
  <c r="AC46" i="82" s="1"/>
  <c r="Q45" i="82"/>
  <c r="Z45" i="82" s="1"/>
  <c r="J45" i="82"/>
  <c r="AC45" i="82" s="1"/>
  <c r="H45" i="82"/>
  <c r="AB45" i="82" s="1"/>
  <c r="F45" i="82"/>
  <c r="AA45" i="82" s="1"/>
  <c r="Q44" i="82"/>
  <c r="Z44" i="82" s="1"/>
  <c r="J44" i="82"/>
  <c r="AC44" i="82" s="1"/>
  <c r="F44" i="82"/>
  <c r="AA44" i="82" s="1"/>
  <c r="Q43" i="82"/>
  <c r="Z43" i="82" s="1"/>
  <c r="J43" i="82"/>
  <c r="G43" i="82"/>
  <c r="Q42" i="82"/>
  <c r="Z42" i="82" s="1"/>
  <c r="I42" i="82"/>
  <c r="E42" i="82"/>
  <c r="Q41" i="82"/>
  <c r="Z41" i="82" s="1"/>
  <c r="I41" i="82"/>
  <c r="F41" i="82"/>
  <c r="AA41" i="82" s="1"/>
  <c r="Q40" i="82"/>
  <c r="Z40" i="82" s="1"/>
  <c r="G40" i="82"/>
  <c r="I40" i="82" s="1"/>
  <c r="J40" i="82" s="1"/>
  <c r="F40" i="82"/>
  <c r="AA40" i="82" s="1"/>
  <c r="Q39" i="82"/>
  <c r="Z39" i="82" s="1"/>
  <c r="I39" i="82"/>
  <c r="G39" i="82"/>
  <c r="H39" i="82" s="1"/>
  <c r="F39" i="82"/>
  <c r="AA39" i="82" s="1"/>
  <c r="Q38" i="82"/>
  <c r="Z38" i="82" s="1"/>
  <c r="H38" i="82"/>
  <c r="AB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F31" i="82"/>
  <c r="AA31" i="82" s="1"/>
  <c r="Q30" i="82"/>
  <c r="Z30" i="82" s="1"/>
  <c r="J30" i="82"/>
  <c r="AC30" i="82" s="1"/>
  <c r="Q29" i="82"/>
  <c r="Z29" i="82" s="1"/>
  <c r="J29" i="82"/>
  <c r="AC29" i="82" s="1"/>
  <c r="H29" i="82"/>
  <c r="AB29" i="82" s="1"/>
  <c r="F29" i="82"/>
  <c r="AA29" i="82" s="1"/>
  <c r="Q28" i="82"/>
  <c r="Z28" i="82" s="1"/>
  <c r="J28" i="82"/>
  <c r="AC28" i="82" s="1"/>
  <c r="F28" i="82"/>
  <c r="AA28" i="82" s="1"/>
  <c r="Q27" i="82"/>
  <c r="Z27" i="82" s="1"/>
  <c r="F27" i="82"/>
  <c r="AA27" i="82" s="1"/>
  <c r="G26" i="82"/>
  <c r="I26" i="82" s="1"/>
  <c r="J25" i="82" s="1"/>
  <c r="Q25" i="82"/>
  <c r="Z25" i="82" s="1"/>
  <c r="H25" i="82"/>
  <c r="AB25" i="82" s="1"/>
  <c r="F25" i="82"/>
  <c r="AA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Q15" i="82"/>
  <c r="Z15" i="82" s="1"/>
  <c r="H15" i="82"/>
  <c r="AB15" i="82" s="1"/>
  <c r="F15" i="82"/>
  <c r="AA15" i="82" s="1"/>
  <c r="C15" i="82"/>
  <c r="Q14" i="82"/>
  <c r="Z14" i="82" s="1"/>
  <c r="H14" i="82"/>
  <c r="AB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H9" i="82"/>
  <c r="AB9" i="82" s="1"/>
  <c r="J8" i="82"/>
  <c r="W8" i="82" s="1"/>
  <c r="H8" i="82"/>
  <c r="AB8" i="82" s="1"/>
  <c r="F8" i="82"/>
  <c r="S8" i="82" s="1"/>
  <c r="G5" i="82"/>
  <c r="I5" i="82" s="1"/>
  <c r="P23" i="81"/>
  <c r="E37" i="82" s="1"/>
  <c r="I37" i="82" s="1"/>
  <c r="D2" i="82"/>
  <c r="D2" i="83"/>
  <c r="F88" i="83" l="1"/>
  <c r="G88" i="83" s="1"/>
  <c r="H88" i="83" s="1"/>
  <c r="I88" i="83" s="1"/>
  <c r="J88" i="83" s="1"/>
  <c r="K88" i="83" s="1"/>
  <c r="L88" i="83" s="1"/>
  <c r="M88" i="83" s="1"/>
  <c r="F25" i="83"/>
  <c r="AA25" i="83" s="1"/>
  <c r="F109" i="82"/>
  <c r="G109" i="82" s="1"/>
  <c r="H109" i="82" s="1"/>
  <c r="I109" i="82" s="1"/>
  <c r="J109" i="82" s="1"/>
  <c r="K109" i="82" s="1"/>
  <c r="L109" i="82" s="1"/>
  <c r="M109" i="82" s="1"/>
  <c r="F36" i="82"/>
  <c r="AA36" i="82" s="1"/>
  <c r="H36" i="82"/>
  <c r="AB36" i="82" s="1"/>
  <c r="J36" i="82"/>
  <c r="AC36" i="82" s="1"/>
  <c r="F86" i="83"/>
  <c r="G86" i="83" s="1"/>
  <c r="F23" i="83"/>
  <c r="AA23" i="83" s="1"/>
  <c r="H23" i="83"/>
  <c r="AB23" i="83" s="1"/>
  <c r="J23" i="83"/>
  <c r="W23" i="83" s="1"/>
  <c r="G114" i="83"/>
  <c r="H114" i="83" s="1"/>
  <c r="I114" i="83" s="1"/>
  <c r="J114" i="83" s="1"/>
  <c r="K114" i="83" s="1"/>
  <c r="L114" i="83" s="1"/>
  <c r="M114" i="83" s="1"/>
  <c r="J38" i="83"/>
  <c r="AC38" i="83" s="1"/>
  <c r="F38" i="83"/>
  <c r="AA38" i="83" s="1"/>
  <c r="H38" i="83"/>
  <c r="AB38" i="83" s="1"/>
  <c r="J12" i="83"/>
  <c r="AC12" i="83" s="1"/>
  <c r="J25" i="83"/>
  <c r="H28" i="83"/>
  <c r="AB28" i="83" s="1"/>
  <c r="H30" i="83"/>
  <c r="F43" i="82"/>
  <c r="AA43" i="82" s="1"/>
  <c r="F46" i="82"/>
  <c r="AA46" i="82" s="1"/>
  <c r="F47" i="82"/>
  <c r="AA47" i="82" s="1"/>
  <c r="W27" i="83"/>
  <c r="W31" i="83"/>
  <c r="H40" i="83"/>
  <c r="AB40" i="83" s="1"/>
  <c r="J9" i="82"/>
  <c r="AC9" i="82" s="1"/>
  <c r="J14" i="82"/>
  <c r="AC14" i="82" s="1"/>
  <c r="F30" i="82"/>
  <c r="AA30" i="82" s="1"/>
  <c r="J38" i="82"/>
  <c r="AC38" i="82" s="1"/>
  <c r="J39" i="82"/>
  <c r="AC39" i="82" s="1"/>
  <c r="H43" i="82"/>
  <c r="H44" i="82"/>
  <c r="AB44" i="82" s="1"/>
  <c r="F90" i="82"/>
  <c r="G90" i="82" s="1"/>
  <c r="H90" i="82" s="1"/>
  <c r="I90" i="82" s="1"/>
  <c r="J90" i="82" s="1"/>
  <c r="K90" i="82" s="1"/>
  <c r="L90" i="82" s="1"/>
  <c r="M90" i="82" s="1"/>
  <c r="J27" i="82"/>
  <c r="AC27" i="82" s="1"/>
  <c r="H27" i="82"/>
  <c r="AB27"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H25" i="83"/>
  <c r="S27" i="83"/>
  <c r="U28" i="83"/>
  <c r="W29" i="83"/>
  <c r="S31" i="83"/>
  <c r="U32" i="83"/>
  <c r="AC39" i="83"/>
  <c r="W39" i="83"/>
  <c r="AB43" i="83"/>
  <c r="U43" i="83"/>
  <c r="S10" i="83"/>
  <c r="W10" i="83"/>
  <c r="U11" i="83"/>
  <c r="S12" i="83"/>
  <c r="U13" i="83"/>
  <c r="S14" i="83"/>
  <c r="W14" i="83"/>
  <c r="S15" i="83"/>
  <c r="W15" i="83"/>
  <c r="S17" i="83"/>
  <c r="W17" i="83"/>
  <c r="S21" i="83"/>
  <c r="W21" i="83"/>
  <c r="S23" i="83"/>
  <c r="AC25" i="83"/>
  <c r="W25" i="83"/>
  <c r="S29" i="83"/>
  <c r="AB39" i="83"/>
  <c r="U39" i="83"/>
  <c r="AC40" i="83"/>
  <c r="W40" i="83"/>
  <c r="AC43" i="83"/>
  <c r="W43" i="83"/>
  <c r="S25" i="83"/>
  <c r="U27" i="83"/>
  <c r="S28" i="83"/>
  <c r="W28" i="83"/>
  <c r="U29" i="83"/>
  <c r="S30" i="83"/>
  <c r="W30" i="83"/>
  <c r="U31" i="83"/>
  <c r="S32" i="83"/>
  <c r="W32" i="83"/>
  <c r="U33" i="83"/>
  <c r="S35" i="83"/>
  <c r="W35" i="83"/>
  <c r="U36" i="83"/>
  <c r="S39" i="83"/>
  <c r="U40" i="83"/>
  <c r="U41" i="83"/>
  <c r="S44" i="83"/>
  <c r="W44" i="83"/>
  <c r="U45" i="83"/>
  <c r="AA45" i="83"/>
  <c r="U46" i="83"/>
  <c r="S33" i="83"/>
  <c r="W33" i="83"/>
  <c r="U35" i="83"/>
  <c r="S36" i="83"/>
  <c r="W36" i="83"/>
  <c r="G37" i="83"/>
  <c r="S38"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S15" i="82"/>
  <c r="W15" i="82"/>
  <c r="S17" i="82"/>
  <c r="W17" i="82"/>
  <c r="S19" i="82"/>
  <c r="W19" i="82"/>
  <c r="S21" i="82"/>
  <c r="U25" i="82"/>
  <c r="S27" i="82"/>
  <c r="AB43" i="82"/>
  <c r="U43" i="82"/>
  <c r="S9" i="82"/>
  <c r="W9" i="82"/>
  <c r="U10" i="82"/>
  <c r="S11" i="82"/>
  <c r="W11" i="82"/>
  <c r="U12" i="82"/>
  <c r="S13" i="82"/>
  <c r="W13" i="82"/>
  <c r="U14" i="82"/>
  <c r="U15" i="82"/>
  <c r="U17" i="82"/>
  <c r="W21" i="82"/>
  <c r="S23" i="82"/>
  <c r="AC25" i="82"/>
  <c r="W25" i="82"/>
  <c r="AB39" i="82"/>
  <c r="U39" i="82"/>
  <c r="AC40" i="82"/>
  <c r="W40" i="82"/>
  <c r="AC43" i="82"/>
  <c r="W43" i="82"/>
  <c r="U21" i="82"/>
  <c r="U23" i="82"/>
  <c r="S25" i="82"/>
  <c r="U27" i="82"/>
  <c r="S28" i="82"/>
  <c r="W28" i="82"/>
  <c r="U29" i="82"/>
  <c r="S30" i="82"/>
  <c r="W30" i="82"/>
  <c r="U31" i="82"/>
  <c r="S32" i="82"/>
  <c r="W32" i="82"/>
  <c r="U33" i="82"/>
  <c r="S35" i="82"/>
  <c r="W35" i="82"/>
  <c r="U36" i="82"/>
  <c r="U38" i="82"/>
  <c r="S39" i="82"/>
  <c r="S44" i="82"/>
  <c r="W44" i="82"/>
  <c r="U45" i="82"/>
  <c r="S46" i="82"/>
  <c r="W46" i="82"/>
  <c r="U47" i="82"/>
  <c r="U28" i="82"/>
  <c r="S29" i="82"/>
  <c r="W29" i="82"/>
  <c r="U30" i="82"/>
  <c r="S31" i="82"/>
  <c r="W31" i="82"/>
  <c r="U32" i="82"/>
  <c r="S33" i="82"/>
  <c r="W33" i="82"/>
  <c r="U35" i="82"/>
  <c r="S36" i="82"/>
  <c r="W36" i="82"/>
  <c r="G37" i="82"/>
  <c r="S38" i="82"/>
  <c r="W38" i="82"/>
  <c r="S40" i="82"/>
  <c r="S41" i="82"/>
  <c r="S45" i="82"/>
  <c r="W45" i="82"/>
  <c r="U46" i="82"/>
  <c r="S47" i="82"/>
  <c r="W47" i="82"/>
  <c r="U44" i="82" l="1"/>
  <c r="W39" i="82"/>
  <c r="U30" i="83"/>
  <c r="AB30" i="83"/>
  <c r="S43" i="82"/>
  <c r="W14" i="82"/>
  <c r="U38" i="83"/>
  <c r="S19" i="83"/>
  <c r="W12" i="83"/>
  <c r="AC23" i="83"/>
  <c r="W27" i="82"/>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 i="83"/>
  <c r="D33" i="43"/>
  <c r="B14" i="74"/>
  <c r="I7" i="79"/>
  <c r="J37" i="83" l="1"/>
  <c r="F37" i="83"/>
  <c r="H37" i="83"/>
  <c r="J37" i="82"/>
  <c r="F37" i="82"/>
  <c r="H37" i="82"/>
  <c r="I29" i="79"/>
  <c r="I28" i="79"/>
  <c r="N28" i="79"/>
  <c r="M28" i="79"/>
  <c r="P28" i="79" s="1"/>
  <c r="L28" i="79"/>
  <c r="N29" i="79"/>
  <c r="M29" i="79"/>
  <c r="L29" i="79"/>
  <c r="P6" i="79"/>
  <c r="O6" i="79"/>
  <c r="N6" i="79"/>
  <c r="M6" i="79"/>
  <c r="L6" i="79"/>
  <c r="K6" i="79"/>
  <c r="O7" i="79"/>
  <c r="N7" i="79"/>
  <c r="M7" i="79"/>
  <c r="P7" i="79" s="1"/>
  <c r="L7" i="79"/>
  <c r="K7" i="79"/>
  <c r="AA37" i="83" l="1"/>
  <c r="S37" i="83"/>
  <c r="W37" i="82"/>
  <c r="AC37" i="82"/>
  <c r="AB37" i="83"/>
  <c r="U37" i="83"/>
  <c r="AB37" i="82"/>
  <c r="U37" i="82"/>
  <c r="AA37" i="82"/>
  <c r="S37" i="82"/>
  <c r="W37" i="83"/>
  <c r="AC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U3" i="79"/>
  <c r="R12" i="79"/>
  <c r="S13" i="79"/>
  <c r="M25" i="79"/>
  <c r="P25" i="79" s="1"/>
  <c r="U36" i="79"/>
  <c r="AD37" i="79"/>
  <c r="V3" i="79"/>
  <c r="Z3" i="79"/>
  <c r="V12" i="79"/>
  <c r="S12" i="79"/>
  <c r="U14" i="79"/>
  <c r="U15" i="79"/>
  <c r="S28" i="79"/>
  <c r="T34" i="79"/>
  <c r="U35" i="79"/>
  <c r="AD36" i="79"/>
  <c r="S37" i="79"/>
  <c r="S27" i="79"/>
  <c r="M3" i="79"/>
  <c r="P3" i="79" s="1"/>
  <c r="T3" i="79"/>
  <c r="W3" i="79" s="1"/>
  <c r="U27" i="79"/>
  <c r="AD33" i="79"/>
  <c r="T32" i="79"/>
  <c r="T30" i="79"/>
  <c r="W30" i="79" s="1"/>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E88" i="71"/>
  <c r="E87" i="71"/>
  <c r="E86" i="71"/>
  <c r="C88" i="71"/>
  <c r="D88" i="71"/>
  <c r="B88" i="71"/>
  <c r="F87" i="71"/>
  <c r="F86" i="71" s="1"/>
  <c r="B87" i="71"/>
  <c r="B86" i="71" s="1"/>
  <c r="D85" i="71"/>
  <c r="F84" i="71"/>
  <c r="E84" i="71"/>
  <c r="E83" i="71" s="1"/>
  <c r="E82" i="71" s="1"/>
  <c r="C84" i="71"/>
  <c r="D84" i="71"/>
  <c r="B84" i="71"/>
  <c r="F83" i="71"/>
  <c r="F82" i="71" s="1"/>
  <c r="B83" i="71"/>
  <c r="B82" i="7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F75" i="71" s="1"/>
  <c r="F74" i="71" s="1"/>
  <c r="V76" i="71"/>
  <c r="E76" i="71"/>
  <c r="U76" i="71" s="1"/>
  <c r="C76" i="71"/>
  <c r="T76" i="71"/>
  <c r="B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c r="Q71" i="71"/>
  <c r="P71" i="71"/>
  <c r="O71" i="71"/>
  <c r="N71" i="71"/>
  <c r="F71" i="71"/>
  <c r="F70" i="71" s="1"/>
  <c r="B71" i="71"/>
  <c r="B70" i="71"/>
  <c r="Q70" i="71"/>
  <c r="P70" i="71"/>
  <c r="O70" i="71"/>
  <c r="N70" i="71"/>
  <c r="Q69" i="71"/>
  <c r="P69" i="71"/>
  <c r="O69" i="71"/>
  <c r="N69" i="71"/>
  <c r="D69" i="71"/>
  <c r="F68" i="71"/>
  <c r="E68" i="71"/>
  <c r="U68" i="71" s="1"/>
  <c r="P68" i="71"/>
  <c r="C68" i="71"/>
  <c r="T68"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c r="N57" i="71"/>
  <c r="B58" i="71" s="1"/>
  <c r="D57" i="71"/>
  <c r="Q56" i="71"/>
  <c r="P56" i="71"/>
  <c r="O56" i="71"/>
  <c r="N56" i="71"/>
  <c r="Q55" i="71"/>
  <c r="P55" i="71"/>
  <c r="O55" i="71"/>
  <c r="N55" i="71"/>
  <c r="Q54" i="71"/>
  <c r="P54" i="71"/>
  <c r="O54" i="71"/>
  <c r="N54" i="71"/>
  <c r="C54" i="71"/>
  <c r="D54" i="71" s="1"/>
  <c r="Q53" i="71"/>
  <c r="F54" i="71"/>
  <c r="P53" i="71"/>
  <c r="E54" i="71" s="1"/>
  <c r="O53" i="7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F46" i="71"/>
  <c r="F47" i="71"/>
  <c r="F48" i="71" s="1"/>
  <c r="V48" i="71" s="1"/>
  <c r="Q45" i="71"/>
  <c r="P45" i="71"/>
  <c r="E46" i="71"/>
  <c r="E47" i="71" s="1"/>
  <c r="E48" i="71" s="1"/>
  <c r="U48" i="71" s="1"/>
  <c r="O45" i="71"/>
  <c r="C46" i="71" s="1"/>
  <c r="C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c r="E44" i="71"/>
  <c r="U44" i="71" s="1"/>
  <c r="O41" i="71"/>
  <c r="C42" i="71" s="1"/>
  <c r="N41" i="71"/>
  <c r="B42" i="71" s="1"/>
  <c r="B43" i="71"/>
  <c r="B44" i="71" s="1"/>
  <c r="S44" i="71" s="1"/>
  <c r="D41" i="71"/>
  <c r="Q40" i="71"/>
  <c r="P40" i="71"/>
  <c r="O40" i="71"/>
  <c r="N40" i="71"/>
  <c r="AB39" i="71"/>
  <c r="Q39" i="71"/>
  <c r="P39" i="71"/>
  <c r="O39" i="71"/>
  <c r="Y39" i="71"/>
  <c r="Z39" i="71" s="1"/>
  <c r="N39" i="71"/>
  <c r="X39" i="71"/>
  <c r="Q38" i="71"/>
  <c r="P38" i="71"/>
  <c r="O38" i="71"/>
  <c r="Y38" i="71"/>
  <c r="Z38" i="71" s="1"/>
  <c r="N38" i="71"/>
  <c r="F38" i="71"/>
  <c r="Q37" i="71"/>
  <c r="P37" i="71"/>
  <c r="O37" i="71"/>
  <c r="N37" i="71"/>
  <c r="D37" i="71"/>
  <c r="Q36" i="71"/>
  <c r="AB34" i="71" s="1"/>
  <c r="P36" i="71"/>
  <c r="O36" i="71"/>
  <c r="N36" i="71"/>
  <c r="Q35" i="71"/>
  <c r="P35" i="71"/>
  <c r="O35" i="71"/>
  <c r="N35" i="71"/>
  <c r="Q34" i="71"/>
  <c r="P34" i="71"/>
  <c r="AA33" i="71" s="1"/>
  <c r="O34" i="71"/>
  <c r="Y34" i="71" s="1"/>
  <c r="Z34" i="71" s="1"/>
  <c r="N34" i="71"/>
  <c r="F34" i="71"/>
  <c r="F35" i="71" s="1"/>
  <c r="F36" i="71"/>
  <c r="V36" i="71" s="1"/>
  <c r="Q33" i="71"/>
  <c r="P33" i="71"/>
  <c r="O33" i="71"/>
  <c r="N33" i="71"/>
  <c r="X33" i="71" s="1"/>
  <c r="D33" i="71"/>
  <c r="Q32" i="71"/>
  <c r="P32" i="71"/>
  <c r="O32" i="71"/>
  <c r="N32" i="71"/>
  <c r="Q31" i="71"/>
  <c r="P31" i="71"/>
  <c r="O31" i="71"/>
  <c r="N31" i="71"/>
  <c r="Q30" i="71"/>
  <c r="P30" i="71"/>
  <c r="O30" i="71"/>
  <c r="N30" i="71"/>
  <c r="Q29" i="71"/>
  <c r="P29" i="71"/>
  <c r="AA29" i="71" s="1"/>
  <c r="O29" i="71"/>
  <c r="N29" i="71"/>
  <c r="D29" i="71"/>
  <c r="O28" i="71"/>
  <c r="N28" i="71"/>
  <c r="B30" i="71"/>
  <c r="B31" i="71"/>
  <c r="B32" i="71" s="1"/>
  <c r="S32" i="71" s="1"/>
  <c r="E30" i="71"/>
  <c r="E31" i="71"/>
  <c r="E32" i="71" s="1"/>
  <c r="U32" i="71" s="1"/>
  <c r="B34" i="71"/>
  <c r="B35" i="71"/>
  <c r="B36" i="71" s="1"/>
  <c r="S36" i="71" s="1"/>
  <c r="B38" i="71"/>
  <c r="B39" i="71" s="1"/>
  <c r="B40" i="71"/>
  <c r="S40" i="71" s="1"/>
  <c r="X37" i="71"/>
  <c r="N68" i="71"/>
  <c r="E34" i="71"/>
  <c r="E35" i="71"/>
  <c r="E36" i="71" s="1"/>
  <c r="U36" i="71" s="1"/>
  <c r="C30" i="71"/>
  <c r="AA35" i="71"/>
  <c r="X36" i="71"/>
  <c r="AA36" i="71"/>
  <c r="X38" i="71"/>
  <c r="AA38" i="71"/>
  <c r="F51" i="71"/>
  <c r="F52" i="71" s="1"/>
  <c r="V52" i="71" s="1"/>
  <c r="C28" i="71"/>
  <c r="B28" i="71"/>
  <c r="B27" i="71" s="1"/>
  <c r="B26" i="71" s="1"/>
  <c r="X26" i="71"/>
  <c r="C31" i="71"/>
  <c r="D30" i="71"/>
  <c r="D47" i="71"/>
  <c r="D46" i="71"/>
  <c r="C51" i="71"/>
  <c r="P28" i="71"/>
  <c r="E55" i="71"/>
  <c r="E56" i="71" s="1"/>
  <c r="U56" i="71" s="1"/>
  <c r="E59" i="71"/>
  <c r="E60" i="71"/>
  <c r="U60" i="71"/>
  <c r="E64" i="71"/>
  <c r="U64" i="71" s="1"/>
  <c r="E67" i="71"/>
  <c r="P67" i="71" s="1"/>
  <c r="Q28" i="71"/>
  <c r="AB28" i="71" s="1"/>
  <c r="C55" i="71"/>
  <c r="C59" i="71"/>
  <c r="D58" i="71"/>
  <c r="C63" i="71"/>
  <c r="N67" i="71"/>
  <c r="B66" i="71"/>
  <c r="Q67" i="71"/>
  <c r="O68" i="71"/>
  <c r="D68" i="71"/>
  <c r="C67" i="71"/>
  <c r="C71" i="71"/>
  <c r="C70" i="71" s="1"/>
  <c r="D70" i="71" s="1"/>
  <c r="E71" i="71"/>
  <c r="E70" i="71" s="1"/>
  <c r="C75" i="71"/>
  <c r="E75" i="71"/>
  <c r="E74" i="71" s="1"/>
  <c r="D76" i="71"/>
  <c r="C79" i="71"/>
  <c r="E79" i="71"/>
  <c r="E78" i="71" s="1"/>
  <c r="D80" i="71"/>
  <c r="C83" i="71"/>
  <c r="D83" i="71" s="1"/>
  <c r="C87" i="71"/>
  <c r="T28" i="71"/>
  <c r="C27" i="71"/>
  <c r="S28" i="71"/>
  <c r="F28" i="71"/>
  <c r="F27" i="71" s="1"/>
  <c r="F26" i="71" s="1"/>
  <c r="E28" i="71"/>
  <c r="E27" i="71"/>
  <c r="E26" i="71" s="1"/>
  <c r="AA26" i="71"/>
  <c r="D28" i="71"/>
  <c r="U28" i="71"/>
  <c r="C66" i="71"/>
  <c r="D66" i="71" s="1"/>
  <c r="O67" i="71"/>
  <c r="D67" i="71"/>
  <c r="C64" i="71"/>
  <c r="D63" i="71"/>
  <c r="C82" i="71"/>
  <c r="D82" i="71"/>
  <c r="D75" i="71"/>
  <c r="C74" i="71"/>
  <c r="D74" i="71"/>
  <c r="N65" i="71"/>
  <c r="N66" i="71"/>
  <c r="D79" i="71"/>
  <c r="C78" i="71"/>
  <c r="D78" i="71"/>
  <c r="D71" i="71"/>
  <c r="C60" i="71"/>
  <c r="D59" i="71"/>
  <c r="C56" i="71"/>
  <c r="T56" i="71" s="1"/>
  <c r="D55" i="71"/>
  <c r="E66" i="71"/>
  <c r="P65" i="71" s="1"/>
  <c r="C52" i="71"/>
  <c r="D51" i="71"/>
  <c r="C32" i="71"/>
  <c r="D31" i="71"/>
  <c r="C26" i="71"/>
  <c r="D26" i="71"/>
  <c r="D27" i="71"/>
  <c r="V28" i="71"/>
  <c r="O66" i="71"/>
  <c r="O65" i="71"/>
  <c r="T32" i="71"/>
  <c r="D32" i="71"/>
  <c r="T52" i="71"/>
  <c r="D52" i="71"/>
  <c r="D56"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AB18" i="36" s="1"/>
  <c r="F18" i="36"/>
  <c r="C18" i="36"/>
  <c r="Q18" i="35"/>
  <c r="Z18" i="35" s="1"/>
  <c r="D68" i="35"/>
  <c r="E68" i="35"/>
  <c r="F18" i="35"/>
  <c r="S18" i="35" s="1"/>
  <c r="AA18" i="35"/>
  <c r="C18" i="35"/>
  <c r="Q21" i="37"/>
  <c r="Z21" i="37" s="1"/>
  <c r="D77" i="37"/>
  <c r="E77" i="37" s="1"/>
  <c r="C21" i="37"/>
  <c r="Q21" i="33"/>
  <c r="Z21" i="33" s="1"/>
  <c r="D83" i="33"/>
  <c r="E83" i="33"/>
  <c r="C21" i="33"/>
  <c r="C21" i="21"/>
  <c r="Q21" i="21"/>
  <c r="Z21" i="21"/>
  <c r="H19" i="21"/>
  <c r="D83" i="21"/>
  <c r="E83" i="21" s="1"/>
  <c r="F83" i="21" s="1"/>
  <c r="G83" i="21" s="1"/>
  <c r="F21" i="21"/>
  <c r="AA21" i="21" s="1"/>
  <c r="D81" i="21"/>
  <c r="G20" i="20"/>
  <c r="C22" i="20"/>
  <c r="B100" i="43" s="1"/>
  <c r="B77" i="43"/>
  <c r="B57" i="43"/>
  <c r="B68" i="43"/>
  <c r="C29" i="39"/>
  <c r="S25" i="40"/>
  <c r="U18" i="36"/>
  <c r="F94" i="40"/>
  <c r="G94" i="40" s="1"/>
  <c r="H25" i="40"/>
  <c r="AB25" i="40" s="1"/>
  <c r="J25" i="40"/>
  <c r="H29" i="39"/>
  <c r="AB29" i="39" s="1"/>
  <c r="J29" i="39"/>
  <c r="J18" i="36"/>
  <c r="F68" i="35"/>
  <c r="G68" i="35" s="1"/>
  <c r="H18" i="35"/>
  <c r="J18" i="35"/>
  <c r="F77" i="37"/>
  <c r="G77" i="37" s="1"/>
  <c r="H21" i="37"/>
  <c r="F21" i="37"/>
  <c r="F83" i="33"/>
  <c r="H21" i="33"/>
  <c r="F21" i="33"/>
  <c r="S21" i="21"/>
  <c r="H1" i="69"/>
  <c r="AC25" i="40"/>
  <c r="W25" i="40"/>
  <c r="U25" i="40"/>
  <c r="AC18" i="36"/>
  <c r="W18" i="36"/>
  <c r="AB21" i="37"/>
  <c r="U21" i="37"/>
  <c r="AA21" i="37"/>
  <c r="S21" i="37"/>
  <c r="AA21" i="33"/>
  <c r="S21" i="33"/>
  <c r="AC18" i="35"/>
  <c r="W18" i="35"/>
  <c r="J21" i="37"/>
  <c r="G83" i="33"/>
  <c r="J21" i="33"/>
  <c r="H21" i="21"/>
  <c r="F38" i="69"/>
  <c r="E37" i="69"/>
  <c r="F36" i="69"/>
  <c r="F35" i="69"/>
  <c r="F21" i="69"/>
  <c r="F40" i="69" s="1"/>
  <c r="F20" i="69"/>
  <c r="F39" i="69" s="1"/>
  <c r="E10" i="69"/>
  <c r="E9" i="69"/>
  <c r="AC21" i="37"/>
  <c r="W21" i="37"/>
  <c r="AB21" i="21"/>
  <c r="U21" i="21"/>
  <c r="J21" i="21"/>
  <c r="AC21" i="21" s="1"/>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Z99" i="3"/>
  <c r="AX99" i="3"/>
  <c r="AW99" i="3"/>
  <c r="AV99" i="3"/>
  <c r="AC99" i="3"/>
  <c r="G99" i="3" s="1"/>
  <c r="H99" i="3"/>
  <c r="BT98" i="3"/>
  <c r="BS98" i="3"/>
  <c r="BR98" i="3"/>
  <c r="BQ98" i="3"/>
  <c r="BP98" i="3"/>
  <c r="BO98" i="3"/>
  <c r="BL98" i="3" s="1"/>
  <c r="BN98" i="3"/>
  <c r="BM98" i="3"/>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G90" i="3" s="1"/>
  <c r="H90" i="3"/>
  <c r="BT89" i="3"/>
  <c r="BS89" i="3"/>
  <c r="BR89" i="3"/>
  <c r="BQ89" i="3"/>
  <c r="BP89" i="3"/>
  <c r="BO89" i="3"/>
  <c r="BL89" i="3" s="1"/>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L78" i="3" s="1"/>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A73" i="3" s="1"/>
  <c r="AZ73" i="3" s="1"/>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L40" i="3"/>
  <c r="BK40" i="3"/>
  <c r="BJ40" i="3"/>
  <c r="BI40" i="3"/>
  <c r="BH40" i="3"/>
  <c r="BG40" i="3"/>
  <c r="BF40" i="3"/>
  <c r="BE40" i="3"/>
  <c r="BD40" i="3"/>
  <c r="BC40" i="3"/>
  <c r="BA40" i="3" s="1"/>
  <c r="BB40" i="3"/>
  <c r="AZ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c r="BK30" i="3"/>
  <c r="BJ30" i="3"/>
  <c r="BI30" i="3"/>
  <c r="BH30" i="3"/>
  <c r="BG30" i="3"/>
  <c r="BF30" i="3"/>
  <c r="BE30" i="3"/>
  <c r="BD30" i="3"/>
  <c r="BC30" i="3"/>
  <c r="BA30" i="3" s="1"/>
  <c r="AZ30" i="3" s="1"/>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L201" i="3" s="1"/>
  <c r="AZ201" i="3" s="1"/>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AZ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L470" i="3" s="1"/>
  <c r="AZ470" i="3" s="1"/>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AZ466" i="3" s="1"/>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G445" i="3" s="1"/>
  <c r="H445" i="3"/>
  <c r="BT444" i="3"/>
  <c r="BS444" i="3"/>
  <c r="BR444" i="3"/>
  <c r="BQ444" i="3"/>
  <c r="BP444" i="3"/>
  <c r="BO444" i="3"/>
  <c r="BL444" i="3" s="1"/>
  <c r="BN444" i="3"/>
  <c r="BM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L437" i="3" s="1"/>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A526" i="3" s="1"/>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L555" i="3" s="1"/>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A558" i="3" s="1"/>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S31" i="35" s="1"/>
  <c r="D87" i="35"/>
  <c r="E87" i="35"/>
  <c r="F87" i="35" s="1"/>
  <c r="G87" i="35" s="1"/>
  <c r="H87" i="35" s="1"/>
  <c r="I87" i="35"/>
  <c r="J87" i="35" s="1"/>
  <c r="K87" i="35" s="1"/>
  <c r="L87" i="35" s="1"/>
  <c r="M87" i="35" s="1"/>
  <c r="H34" i="37"/>
  <c r="D101" i="37"/>
  <c r="F34" i="37"/>
  <c r="D99" i="37"/>
  <c r="E99" i="37" s="1"/>
  <c r="F99" i="37" s="1"/>
  <c r="G99" i="37" s="1"/>
  <c r="H99" i="37" s="1"/>
  <c r="I99" i="37" s="1"/>
  <c r="J99" i="37" s="1"/>
  <c r="K99" i="37" s="1"/>
  <c r="L99" i="37" s="1"/>
  <c r="M99" i="37" s="1"/>
  <c r="F40" i="33"/>
  <c r="S40" i="33" s="1"/>
  <c r="J41" i="33"/>
  <c r="D113" i="33"/>
  <c r="F37" i="33"/>
  <c r="D111" i="33"/>
  <c r="E111" i="33" s="1"/>
  <c r="F111" i="33" s="1"/>
  <c r="G111" i="33" s="1"/>
  <c r="S515" i="31"/>
  <c r="S517" i="31"/>
  <c r="S519" i="31"/>
  <c r="S521" i="31"/>
  <c r="S523" i="31"/>
  <c r="F41" i="21"/>
  <c r="J41" i="21"/>
  <c r="AC41" i="21"/>
  <c r="H41" i="21"/>
  <c r="D80" i="39"/>
  <c r="E80" i="39" s="1"/>
  <c r="F80" i="39" s="1"/>
  <c r="G80" i="39" s="1"/>
  <c r="H80" i="39" s="1"/>
  <c r="I80" i="39" s="1"/>
  <c r="J80" i="39" s="1"/>
  <c r="K80" i="39" s="1"/>
  <c r="L80" i="39" s="1"/>
  <c r="M80" i="39" s="1"/>
  <c r="D76" i="40"/>
  <c r="E76" i="40" s="1"/>
  <c r="F76" i="40" s="1"/>
  <c r="G76" i="40" s="1"/>
  <c r="H76" i="40" s="1"/>
  <c r="I76" i="40" s="1"/>
  <c r="J76" i="40"/>
  <c r="K76" i="40" s="1"/>
  <c r="L76" i="40" s="1"/>
  <c r="M76" i="40" s="1"/>
  <c r="B120" i="40"/>
  <c r="J40" i="40" s="1"/>
  <c r="B118" i="40"/>
  <c r="J39" i="40"/>
  <c r="B116" i="40"/>
  <c r="H38" i="40" s="1"/>
  <c r="U38" i="40" s="1"/>
  <c r="F38" i="40"/>
  <c r="AA38" i="40" s="1"/>
  <c r="D115" i="40"/>
  <c r="E115" i="40" s="1"/>
  <c r="F115" i="40"/>
  <c r="G115" i="40" s="1"/>
  <c r="H115" i="40" s="1"/>
  <c r="I115" i="40" s="1"/>
  <c r="J115" i="40" s="1"/>
  <c r="K115" i="40" s="1"/>
  <c r="L115" i="40" s="1"/>
  <c r="M115" i="40"/>
  <c r="D113" i="40"/>
  <c r="E113" i="40" s="1"/>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H33" i="40" s="1"/>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c r="K96" i="40" s="1"/>
  <c r="L96" i="40" s="1"/>
  <c r="M96" i="40" s="1"/>
  <c r="B95" i="40"/>
  <c r="D92" i="40"/>
  <c r="E92" i="40" s="1"/>
  <c r="F92" i="40" s="1"/>
  <c r="G92" i="40" s="1"/>
  <c r="D90" i="40"/>
  <c r="E90" i="40"/>
  <c r="F90" i="40" s="1"/>
  <c r="G90" i="40" s="1"/>
  <c r="D88" i="40"/>
  <c r="E88" i="40" s="1"/>
  <c r="D86" i="40"/>
  <c r="E86" i="40"/>
  <c r="F86" i="40" s="1"/>
  <c r="G86" i="40" s="1"/>
  <c r="D84" i="40"/>
  <c r="E84" i="40"/>
  <c r="F84" i="40"/>
  <c r="G84" i="40" s="1"/>
  <c r="B81" i="40"/>
  <c r="B79" i="40"/>
  <c r="J13" i="40" s="1"/>
  <c r="B77" i="40"/>
  <c r="M74" i="40"/>
  <c r="L74" i="40"/>
  <c r="K74" i="40"/>
  <c r="J74" i="40"/>
  <c r="I74" i="40"/>
  <c r="H74" i="40"/>
  <c r="G74" i="40"/>
  <c r="F74" i="40"/>
  <c r="E74" i="40"/>
  <c r="D74" i="40"/>
  <c r="C74" i="40"/>
  <c r="P43" i="40"/>
  <c r="P42" i="40"/>
  <c r="V41" i="40"/>
  <c r="T41" i="40"/>
  <c r="R41" i="40"/>
  <c r="P41" i="40"/>
  <c r="Q40" i="40"/>
  <c r="Z40" i="40"/>
  <c r="Q39" i="40"/>
  <c r="Z39" i="40"/>
  <c r="H39" i="40"/>
  <c r="Q38" i="40"/>
  <c r="Z38" i="40" s="1"/>
  <c r="J38" i="40"/>
  <c r="AC38" i="40" s="1"/>
  <c r="Q37" i="40"/>
  <c r="Z37" i="40" s="1"/>
  <c r="Q36" i="40"/>
  <c r="Z36" i="40" s="1"/>
  <c r="Q35" i="40"/>
  <c r="Z35" i="40" s="1"/>
  <c r="Q34" i="40"/>
  <c r="Z34" i="40"/>
  <c r="J34" i="40"/>
  <c r="AC34" i="40" s="1"/>
  <c r="H34" i="40"/>
  <c r="F34" i="40"/>
  <c r="Q33" i="40"/>
  <c r="Z33" i="40" s="1"/>
  <c r="Q32" i="40"/>
  <c r="Z32" i="40" s="1"/>
  <c r="Q31" i="40"/>
  <c r="Z31" i="40"/>
  <c r="Q30" i="40"/>
  <c r="Z30" i="40" s="1"/>
  <c r="Q28" i="40"/>
  <c r="Z28" i="40"/>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s="1"/>
  <c r="J9" i="40"/>
  <c r="W9" i="40" s="1"/>
  <c r="H9" i="40"/>
  <c r="AB9" i="40"/>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B103" i="39"/>
  <c r="D96" i="39"/>
  <c r="E96" i="39" s="1"/>
  <c r="F96" i="39" s="1"/>
  <c r="G96" i="39" s="1"/>
  <c r="J23" i="39"/>
  <c r="AC23" i="39" s="1"/>
  <c r="D94" i="39"/>
  <c r="E94" i="39" s="1"/>
  <c r="F94" i="39" s="1"/>
  <c r="G94" i="39" s="1"/>
  <c r="D92" i="39"/>
  <c r="E92" i="39"/>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J25" i="37" s="1"/>
  <c r="W25" i="37" s="1"/>
  <c r="B110" i="37"/>
  <c r="J39" i="37"/>
  <c r="AC39" i="37"/>
  <c r="B108" i="37"/>
  <c r="C23" i="37"/>
  <c r="C19" i="37"/>
  <c r="C17" i="37"/>
  <c r="C15" i="37"/>
  <c r="B112" i="37"/>
  <c r="D107" i="37"/>
  <c r="E107" i="37"/>
  <c r="F107" i="37" s="1"/>
  <c r="D105" i="37"/>
  <c r="E105" i="37"/>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Q29" i="37"/>
  <c r="Z29" i="37" s="1"/>
  <c r="H29" i="37"/>
  <c r="AB29" i="37"/>
  <c r="Q28" i="37"/>
  <c r="Z28" i="37" s="1"/>
  <c r="Q27" i="37"/>
  <c r="Z27" i="37" s="1"/>
  <c r="Q26" i="37"/>
  <c r="Z26" i="37" s="1"/>
  <c r="J26" i="37"/>
  <c r="AC26" i="37"/>
  <c r="H26" i="37"/>
  <c r="AB26" i="37" s="1"/>
  <c r="F26" i="37"/>
  <c r="Q25" i="37"/>
  <c r="Z25" i="37" s="1"/>
  <c r="F25" i="37"/>
  <c r="AA25" i="37" s="1"/>
  <c r="Q23" i="37"/>
  <c r="Z23" i="37" s="1"/>
  <c r="Q19" i="37"/>
  <c r="Z19" i="37" s="1"/>
  <c r="Q17" i="37"/>
  <c r="Z17" i="37"/>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J25" i="36" s="1"/>
  <c r="W25" i="36" s="1"/>
  <c r="B73" i="36"/>
  <c r="J24" i="36" s="1"/>
  <c r="AC24" i="36"/>
  <c r="B71" i="36"/>
  <c r="D70" i="36"/>
  <c r="H22" i="36"/>
  <c r="AB22" i="36"/>
  <c r="D68" i="36"/>
  <c r="E68" i="36"/>
  <c r="F68" i="36" s="1"/>
  <c r="G68" i="36" s="1"/>
  <c r="D64" i="36"/>
  <c r="E64" i="36" s="1"/>
  <c r="F64" i="36" s="1"/>
  <c r="G64" i="36" s="1"/>
  <c r="J16" i="36"/>
  <c r="AC16" i="36" s="1"/>
  <c r="W16" i="36"/>
  <c r="D62" i="36"/>
  <c r="E62" i="36"/>
  <c r="F62" i="36" s="1"/>
  <c r="G62" i="36"/>
  <c r="B59" i="36"/>
  <c r="B57" i="36"/>
  <c r="B55" i="36"/>
  <c r="C51" i="36"/>
  <c r="P37" i="36"/>
  <c r="P36" i="36"/>
  <c r="V35" i="36"/>
  <c r="T35" i="36"/>
  <c r="R35" i="36"/>
  <c r="P35" i="36"/>
  <c r="Q34" i="36"/>
  <c r="Z34" i="36" s="1"/>
  <c r="Q33" i="36"/>
  <c r="Z33" i="36"/>
  <c r="Q32" i="36"/>
  <c r="Z32" i="36" s="1"/>
  <c r="Q31" i="36"/>
  <c r="Z31" i="36" s="1"/>
  <c r="Q30" i="36"/>
  <c r="Z30" i="36" s="1"/>
  <c r="Q29" i="36"/>
  <c r="Z29" i="36" s="1"/>
  <c r="Q28" i="36"/>
  <c r="Z28" i="36"/>
  <c r="J28" i="36"/>
  <c r="Q27" i="36"/>
  <c r="Z27" i="36" s="1"/>
  <c r="Q26" i="36"/>
  <c r="Z26" i="36" s="1"/>
  <c r="H26" i="36"/>
  <c r="AB26" i="36" s="1"/>
  <c r="Q25" i="36"/>
  <c r="Z25" i="36"/>
  <c r="Q24" i="36"/>
  <c r="Z24" i="36" s="1"/>
  <c r="H24" i="36"/>
  <c r="AB24" i="36" s="1"/>
  <c r="Q23" i="36"/>
  <c r="Z23" i="36" s="1"/>
  <c r="J23" i="36"/>
  <c r="AC23" i="36"/>
  <c r="H23" i="36"/>
  <c r="AB23" i="36" s="1"/>
  <c r="F23" i="36"/>
  <c r="AA23" i="36" s="1"/>
  <c r="Q22" i="36"/>
  <c r="Z22" i="36" s="1"/>
  <c r="J22" i="36"/>
  <c r="AC22" i="36"/>
  <c r="Q20" i="36"/>
  <c r="Z20" i="36" s="1"/>
  <c r="Q16" i="36"/>
  <c r="Z16" i="36" s="1"/>
  <c r="Q14" i="36"/>
  <c r="Z14" i="36" s="1"/>
  <c r="Q13" i="36"/>
  <c r="Z13" i="36"/>
  <c r="Q12" i="36"/>
  <c r="Z12" i="36" s="1"/>
  <c r="H12" i="36"/>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F27" i="35"/>
  <c r="AA27" i="35"/>
  <c r="J22" i="35"/>
  <c r="B101" i="35"/>
  <c r="H36" i="35"/>
  <c r="AB36" i="35"/>
  <c r="B99" i="35"/>
  <c r="B97" i="35"/>
  <c r="B77" i="35"/>
  <c r="B75" i="35"/>
  <c r="J24" i="35" s="1"/>
  <c r="B73" i="35"/>
  <c r="B57" i="35"/>
  <c r="B61" i="35"/>
  <c r="J13" i="35" s="1"/>
  <c r="AC13" i="35" s="1"/>
  <c r="B59" i="35"/>
  <c r="F12" i="35" s="1"/>
  <c r="S12" i="35" s="1"/>
  <c r="B130" i="33"/>
  <c r="B128" i="33"/>
  <c r="B126" i="33"/>
  <c r="F44" i="33" s="1"/>
  <c r="B98" i="33"/>
  <c r="F31" i="33" s="1"/>
  <c r="B96" i="33"/>
  <c r="F30" i="33" s="1"/>
  <c r="B94" i="33"/>
  <c r="B74" i="33"/>
  <c r="B72" i="33"/>
  <c r="H13" i="33" s="1"/>
  <c r="U13" i="33" s="1"/>
  <c r="B70" i="33"/>
  <c r="J12" i="33" s="1"/>
  <c r="W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c r="G72" i="35" s="1"/>
  <c r="D70" i="35"/>
  <c r="E70" i="35" s="1"/>
  <c r="F70" i="35" s="1"/>
  <c r="G70" i="35"/>
  <c r="D66" i="35"/>
  <c r="E66" i="35" s="1"/>
  <c r="F66" i="35"/>
  <c r="G66" i="35" s="1"/>
  <c r="D64" i="35"/>
  <c r="E64" i="35" s="1"/>
  <c r="F64" i="35" s="1"/>
  <c r="G64" i="35"/>
  <c r="J14" i="35"/>
  <c r="W14" i="35" s="1"/>
  <c r="C53" i="35"/>
  <c r="P39" i="35"/>
  <c r="P38" i="35"/>
  <c r="V37" i="35"/>
  <c r="T37" i="35"/>
  <c r="R37" i="35"/>
  <c r="P37" i="35"/>
  <c r="Q36" i="35"/>
  <c r="Z36" i="35" s="1"/>
  <c r="J36" i="35"/>
  <c r="AC36" i="35" s="1"/>
  <c r="Q35" i="35"/>
  <c r="Z35" i="35"/>
  <c r="Q34" i="35"/>
  <c r="Z34" i="35" s="1"/>
  <c r="J34" i="35"/>
  <c r="H34" i="35"/>
  <c r="AB34" i="35" s="1"/>
  <c r="F34" i="35"/>
  <c r="S34" i="35" s="1"/>
  <c r="AA34" i="35"/>
  <c r="Q33" i="35"/>
  <c r="Z33" i="35" s="1"/>
  <c r="Q32" i="35"/>
  <c r="Z32" i="35" s="1"/>
  <c r="H32" i="35"/>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c r="Q16" i="35"/>
  <c r="Z16" i="35" s="1"/>
  <c r="Q14" i="35"/>
  <c r="Z14" i="35"/>
  <c r="Q13" i="35"/>
  <c r="Z13" i="35" s="1"/>
  <c r="Q12" i="35"/>
  <c r="Z12" i="35"/>
  <c r="J12" i="35"/>
  <c r="W12" i="35" s="1"/>
  <c r="H12" i="35"/>
  <c r="U12" i="35" s="1"/>
  <c r="Q11" i="35"/>
  <c r="Z11" i="35" s="1"/>
  <c r="Q10" i="35"/>
  <c r="Z10" i="35" s="1"/>
  <c r="Q9" i="35"/>
  <c r="Z9" i="35"/>
  <c r="J8" i="35"/>
  <c r="W8" i="35" s="1"/>
  <c r="H8" i="35"/>
  <c r="AB8" i="35" s="1"/>
  <c r="F8" i="35"/>
  <c r="AA8" i="35" s="1"/>
  <c r="D121" i="33"/>
  <c r="E121" i="33" s="1"/>
  <c r="F109" i="33"/>
  <c r="E109" i="33"/>
  <c r="D109" i="33"/>
  <c r="C109" i="33"/>
  <c r="D91" i="33"/>
  <c r="E91" i="33"/>
  <c r="B88" i="33"/>
  <c r="C23" i="33"/>
  <c r="C19" i="33"/>
  <c r="C17" i="33"/>
  <c r="C15" i="33"/>
  <c r="C15" i="21"/>
  <c r="D125" i="33"/>
  <c r="D123" i="33"/>
  <c r="E123" i="33" s="1"/>
  <c r="F123" i="33" s="1"/>
  <c r="G123" i="33" s="1"/>
  <c r="D117" i="33"/>
  <c r="E117" i="33" s="1"/>
  <c r="F117" i="33"/>
  <c r="G117" i="33" s="1"/>
  <c r="D115" i="33"/>
  <c r="E115" i="33" s="1"/>
  <c r="F115" i="33" s="1"/>
  <c r="G115" i="33"/>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F101" i="33" s="1"/>
  <c r="B92" i="33"/>
  <c r="F28" i="33" s="1"/>
  <c r="B90" i="33"/>
  <c r="D87" i="33"/>
  <c r="E87" i="33"/>
  <c r="D85" i="33"/>
  <c r="E85" i="33" s="1"/>
  <c r="D81" i="33"/>
  <c r="E81" i="33" s="1"/>
  <c r="F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c r="Q42" i="33"/>
  <c r="Z42" i="33" s="1"/>
  <c r="J42" i="33"/>
  <c r="AC42" i="33" s="1"/>
  <c r="AC41" i="33"/>
  <c r="W41" i="33"/>
  <c r="Q41" i="33"/>
  <c r="Z41" i="33" s="1"/>
  <c r="Q40" i="33"/>
  <c r="Z40" i="33" s="1"/>
  <c r="J40" i="33"/>
  <c r="W40" i="33" s="1"/>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c r="C24" i="20"/>
  <c r="C21" i="20"/>
  <c r="C20" i="20"/>
  <c r="C18" i="20"/>
  <c r="B94" i="43" s="1"/>
  <c r="B73" i="43"/>
  <c r="C17" i="20"/>
  <c r="B61" i="43" s="1"/>
  <c r="C16" i="20"/>
  <c r="C17" i="39" s="1"/>
  <c r="C15" i="20"/>
  <c r="E54" i="21"/>
  <c r="F54" i="21" s="1"/>
  <c r="I54" i="21"/>
  <c r="J54" i="21" s="1"/>
  <c r="G54" i="21"/>
  <c r="H54" i="21" s="1"/>
  <c r="D125" i="21"/>
  <c r="E125" i="21"/>
  <c r="F125" i="21"/>
  <c r="G125" i="21" s="1"/>
  <c r="D123" i="21"/>
  <c r="E123" i="21"/>
  <c r="F123" i="21"/>
  <c r="G123" i="21" s="1"/>
  <c r="F42" i="21"/>
  <c r="AA42" i="21" s="1"/>
  <c r="D119" i="21"/>
  <c r="F40" i="21"/>
  <c r="AA40" i="21"/>
  <c r="D117" i="21"/>
  <c r="E117" i="21"/>
  <c r="F117" i="21" s="1"/>
  <c r="G117" i="21" s="1"/>
  <c r="D115" i="21"/>
  <c r="E115" i="21"/>
  <c r="F115" i="21" s="1"/>
  <c r="G115" i="21" s="1"/>
  <c r="H115" i="21" s="1"/>
  <c r="I115" i="21" s="1"/>
  <c r="J115" i="21" s="1"/>
  <c r="K115" i="21" s="1"/>
  <c r="L115" i="21" s="1"/>
  <c r="M115" i="2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s="1"/>
  <c r="F101" i="21"/>
  <c r="G101" i="21" s="1"/>
  <c r="H101" i="21"/>
  <c r="I101" i="21" s="1"/>
  <c r="D89" i="21"/>
  <c r="E89" i="21"/>
  <c r="F89" i="21" s="1"/>
  <c r="G89" i="21" s="1"/>
  <c r="H89" i="21" s="1"/>
  <c r="I89" i="21" s="1"/>
  <c r="J89" i="2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c r="W45" i="21" s="1"/>
  <c r="B126" i="21"/>
  <c r="B98" i="21"/>
  <c r="H31" i="21"/>
  <c r="B96" i="21"/>
  <c r="J30" i="21" s="1"/>
  <c r="B94" i="21"/>
  <c r="J29" i="21" s="1"/>
  <c r="AC29" i="21" s="1"/>
  <c r="B92" i="21"/>
  <c r="B90" i="21"/>
  <c r="J27" i="21" s="1"/>
  <c r="W27" i="21"/>
  <c r="B74" i="21"/>
  <c r="B72" i="21"/>
  <c r="H13" i="21" s="1"/>
  <c r="AB13" i="21" s="1"/>
  <c r="B70" i="21"/>
  <c r="J12" i="21" s="1"/>
  <c r="AC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T5" i="3" s="1"/>
  <c r="BB586" i="3"/>
  <c r="BC586" i="3"/>
  <c r="BD586" i="3"/>
  <c r="BE586" i="3"/>
  <c r="BF586" i="3"/>
  <c r="BG586" i="3"/>
  <c r="BH586" i="3"/>
  <c r="BI586" i="3"/>
  <c r="BI5" i="3" s="1"/>
  <c r="BJ586" i="3"/>
  <c r="BK586" i="3"/>
  <c r="BM586" i="3"/>
  <c r="BN586" i="3"/>
  <c r="BO586" i="3"/>
  <c r="BP586" i="3"/>
  <c r="BQ586" i="3"/>
  <c r="BL586" i="3" s="1"/>
  <c r="BR586" i="3"/>
  <c r="BS586" i="3"/>
  <c r="BT586" i="3"/>
  <c r="BB587" i="3"/>
  <c r="BA587" i="3" s="1"/>
  <c r="BC587" i="3"/>
  <c r="BD587" i="3"/>
  <c r="BE587" i="3"/>
  <c r="BF587" i="3"/>
  <c r="BF5" i="3" s="1"/>
  <c r="BG587" i="3"/>
  <c r="BH587" i="3"/>
  <c r="BI587" i="3"/>
  <c r="BJ587" i="3"/>
  <c r="BK587" i="3"/>
  <c r="BM587" i="3"/>
  <c r="BN587" i="3"/>
  <c r="BO587" i="3"/>
  <c r="BO5" i="3" s="1"/>
  <c r="BP587" i="3"/>
  <c r="BQ587" i="3"/>
  <c r="BR587" i="3"/>
  <c r="BS587" i="3"/>
  <c r="BS5" i="3" s="1"/>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S34" i="21" s="1"/>
  <c r="AA34" i="21"/>
  <c r="H34" i="21"/>
  <c r="AB34" i="21" s="1"/>
  <c r="F43" i="21"/>
  <c r="S43" i="21" s="1"/>
  <c r="H38" i="21"/>
  <c r="U38" i="21" s="1"/>
  <c r="H43" i="21"/>
  <c r="AB43" i="21"/>
  <c r="F38" i="21"/>
  <c r="S38" i="21" s="1"/>
  <c r="F36" i="21"/>
  <c r="F39" i="21"/>
  <c r="AA39" i="21" s="1"/>
  <c r="J40" i="21"/>
  <c r="W40" i="2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J26" i="21"/>
  <c r="W26" i="21"/>
  <c r="F26" i="21"/>
  <c r="S26" i="21"/>
  <c r="S41" i="21"/>
  <c r="AA41" i="21"/>
  <c r="J45" i="39"/>
  <c r="J44" i="39"/>
  <c r="AC44" i="39" s="1"/>
  <c r="F36" i="39"/>
  <c r="S36" i="39"/>
  <c r="H36" i="39"/>
  <c r="AB36" i="39" s="1"/>
  <c r="J35" i="39"/>
  <c r="AC35" i="39" s="1"/>
  <c r="F35" i="39"/>
  <c r="J36" i="39"/>
  <c r="W36" i="39" s="1"/>
  <c r="AC36" i="39"/>
  <c r="U9" i="39"/>
  <c r="W40" i="39"/>
  <c r="U30" i="37"/>
  <c r="W31" i="37"/>
  <c r="F103" i="37"/>
  <c r="G103" i="37" s="1"/>
  <c r="H103" i="37"/>
  <c r="I103" i="37" s="1"/>
  <c r="J103" i="37" s="1"/>
  <c r="K103" i="37" s="1"/>
  <c r="L103" i="37" s="1"/>
  <c r="M103" i="37" s="1"/>
  <c r="F39" i="37"/>
  <c r="U14" i="37"/>
  <c r="F29" i="36"/>
  <c r="AA29" i="36" s="1"/>
  <c r="F16" i="36"/>
  <c r="AA16" i="36" s="1"/>
  <c r="U9" i="36"/>
  <c r="U31" i="36"/>
  <c r="J33" i="36"/>
  <c r="AC33" i="36" s="1"/>
  <c r="H22" i="35"/>
  <c r="AB22" i="35" s="1"/>
  <c r="AC27" i="35"/>
  <c r="W28" i="35"/>
  <c r="U31" i="35"/>
  <c r="W36" i="35"/>
  <c r="U34" i="35"/>
  <c r="H39" i="33"/>
  <c r="AB39" i="33"/>
  <c r="U35" i="33"/>
  <c r="W33" i="33"/>
  <c r="W39" i="33"/>
  <c r="H39" i="37"/>
  <c r="S27" i="35"/>
  <c r="F11" i="40"/>
  <c r="H11" i="40"/>
  <c r="AB11" i="40"/>
  <c r="W8" i="40"/>
  <c r="AA9" i="40"/>
  <c r="AC9" i="40"/>
  <c r="U9" i="40"/>
  <c r="W31"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s="1"/>
  <c r="E100" i="39"/>
  <c r="H19" i="39"/>
  <c r="AB19" i="39" s="1"/>
  <c r="F19" i="39"/>
  <c r="H17" i="39"/>
  <c r="AB17" i="39" s="1"/>
  <c r="F17" i="39"/>
  <c r="J23" i="40"/>
  <c r="AC23" i="40"/>
  <c r="F21" i="40"/>
  <c r="AA21" i="40"/>
  <c r="J21" i="40"/>
  <c r="W21" i="40"/>
  <c r="H42" i="39"/>
  <c r="AB42" i="39" s="1"/>
  <c r="J34" i="39"/>
  <c r="AC34" i="39" s="1"/>
  <c r="J31" i="39"/>
  <c r="F100" i="39"/>
  <c r="G100" i="39" s="1"/>
  <c r="H27" i="39"/>
  <c r="U27" i="39" s="1"/>
  <c r="J19" i="39"/>
  <c r="AC19" i="39" s="1"/>
  <c r="J17" i="39"/>
  <c r="J27" i="39"/>
  <c r="F27" i="39"/>
  <c r="F11" i="21"/>
  <c r="S11" i="21" s="1"/>
  <c r="S40" i="21"/>
  <c r="C25" i="39"/>
  <c r="C21" i="39"/>
  <c r="H11" i="39"/>
  <c r="S40" i="39"/>
  <c r="H32" i="33"/>
  <c r="AB32" i="33" s="1"/>
  <c r="H11" i="21"/>
  <c r="U11" i="21" s="1"/>
  <c r="J11" i="21"/>
  <c r="W11" i="21" s="1"/>
  <c r="H37" i="40"/>
  <c r="U37" i="40" s="1"/>
  <c r="H36" i="40"/>
  <c r="F35" i="40"/>
  <c r="AA35" i="40" s="1"/>
  <c r="H23" i="40"/>
  <c r="AB23" i="40"/>
  <c r="H17" i="40"/>
  <c r="U17" i="40" s="1"/>
  <c r="J15" i="40"/>
  <c r="W15" i="40"/>
  <c r="J11" i="40"/>
  <c r="W11" i="40" s="1"/>
  <c r="AB12" i="33"/>
  <c r="AB12" i="35"/>
  <c r="W32" i="40"/>
  <c r="F37" i="39"/>
  <c r="AA37" i="39" s="1"/>
  <c r="J34" i="36"/>
  <c r="W34" i="36" s="1"/>
  <c r="U30" i="36"/>
  <c r="J30" i="35"/>
  <c r="W30" i="35" s="1"/>
  <c r="H30" i="35"/>
  <c r="AB30" i="35" s="1"/>
  <c r="F22" i="35"/>
  <c r="H10" i="35"/>
  <c r="U10" i="35" s="1"/>
  <c r="F33" i="36"/>
  <c r="AA33" i="36"/>
  <c r="W30" i="36"/>
  <c r="H16" i="36"/>
  <c r="AB16" i="36"/>
  <c r="E85" i="36"/>
  <c r="F85" i="36" s="1"/>
  <c r="G85" i="36" s="1"/>
  <c r="H85" i="36" s="1"/>
  <c r="I85" i="36" s="1"/>
  <c r="J85" i="36" s="1"/>
  <c r="K85" i="36" s="1"/>
  <c r="L85" i="36"/>
  <c r="M85" i="36" s="1"/>
  <c r="J29" i="36"/>
  <c r="AC29" i="36" s="1"/>
  <c r="F24" i="36"/>
  <c r="S24" i="36" s="1"/>
  <c r="F34" i="36"/>
  <c r="S34" i="36" s="1"/>
  <c r="F14" i="35"/>
  <c r="S14" i="35" s="1"/>
  <c r="J32" i="35"/>
  <c r="AC32" i="35" s="1"/>
  <c r="J16" i="35"/>
  <c r="W16" i="35" s="1"/>
  <c r="H16" i="35"/>
  <c r="U16" i="35"/>
  <c r="F16" i="35"/>
  <c r="S16" i="35" s="1"/>
  <c r="H14" i="35"/>
  <c r="AB14" i="35"/>
  <c r="J29" i="35"/>
  <c r="H33" i="35"/>
  <c r="AB33" i="35" s="1"/>
  <c r="J20" i="35"/>
  <c r="W20" i="35" s="1"/>
  <c r="F35" i="37"/>
  <c r="E101" i="37"/>
  <c r="F101" i="37" s="1"/>
  <c r="G101" i="37" s="1"/>
  <c r="H101" i="37" s="1"/>
  <c r="I101" i="37" s="1"/>
  <c r="J101" i="37" s="1"/>
  <c r="K101" i="37" s="1"/>
  <c r="L101" i="37" s="1"/>
  <c r="M101" i="37" s="1"/>
  <c r="J34" i="37"/>
  <c r="W34" i="37" s="1"/>
  <c r="AB34" i="37"/>
  <c r="J33" i="37"/>
  <c r="AC33" i="37" s="1"/>
  <c r="F41" i="33"/>
  <c r="AA41" i="33" s="1"/>
  <c r="S38" i="33"/>
  <c r="E113" i="33"/>
  <c r="F113" i="33" s="1"/>
  <c r="G113" i="33" s="1"/>
  <c r="H113" i="33" s="1"/>
  <c r="F32" i="33"/>
  <c r="AA32" i="33" s="1"/>
  <c r="J19" i="33"/>
  <c r="AC19" i="33" s="1"/>
  <c r="J15" i="33"/>
  <c r="F11" i="33"/>
  <c r="AA11" i="33" s="1"/>
  <c r="U40" i="33"/>
  <c r="F37" i="40"/>
  <c r="F36" i="40"/>
  <c r="AA36" i="40" s="1"/>
  <c r="H28" i="40"/>
  <c r="U28" i="40" s="1"/>
  <c r="F23" i="40"/>
  <c r="AA23" i="40" s="1"/>
  <c r="F17" i="40"/>
  <c r="AA17" i="40" s="1"/>
  <c r="J17" i="40"/>
  <c r="F15" i="40"/>
  <c r="S15" i="40"/>
  <c r="H15" i="40"/>
  <c r="AB15" i="40" s="1"/>
  <c r="AC11" i="40"/>
  <c r="AB30" i="36"/>
  <c r="U33" i="35"/>
  <c r="F29" i="35"/>
  <c r="S29" i="35" s="1"/>
  <c r="H29" i="35"/>
  <c r="AB29" i="35" s="1"/>
  <c r="H33" i="37"/>
  <c r="AB33" i="37" s="1"/>
  <c r="F33" i="37"/>
  <c r="AA33" i="37" s="1"/>
  <c r="U34" i="37"/>
  <c r="S34" i="37"/>
  <c r="AA34" i="37"/>
  <c r="S41" i="33"/>
  <c r="I113" i="33"/>
  <c r="J113" i="33" s="1"/>
  <c r="K113" i="33" s="1"/>
  <c r="L113" i="33" s="1"/>
  <c r="M113" i="33" s="1"/>
  <c r="H37" i="33"/>
  <c r="AB37" i="33"/>
  <c r="H15" i="33"/>
  <c r="AB15" i="33"/>
  <c r="H11" i="33"/>
  <c r="AB11" i="33" s="1"/>
  <c r="F28" i="40"/>
  <c r="AA29" i="35"/>
  <c r="J11" i="33"/>
  <c r="W11" i="33" s="1"/>
  <c r="U23" i="40"/>
  <c r="H123" i="21"/>
  <c r="I123" i="21" s="1"/>
  <c r="J123" i="21" s="1"/>
  <c r="K123" i="21" s="1"/>
  <c r="L123" i="21" s="1"/>
  <c r="M123" i="21" s="1"/>
  <c r="J42" i="21"/>
  <c r="AC42" i="21" s="1"/>
  <c r="H42" i="21"/>
  <c r="U42" i="21" s="1"/>
  <c r="J10" i="35"/>
  <c r="AC10" i="35" s="1"/>
  <c r="J14" i="21"/>
  <c r="W14" i="21"/>
  <c r="F14" i="21"/>
  <c r="S14" i="21" s="1"/>
  <c r="H14" i="21"/>
  <c r="U14" i="21" s="1"/>
  <c r="H28" i="21"/>
  <c r="AB28" i="21" s="1"/>
  <c r="H30" i="21"/>
  <c r="U30" i="21"/>
  <c r="F30" i="21"/>
  <c r="S30" i="21" s="1"/>
  <c r="AC30" i="21"/>
  <c r="J44" i="21"/>
  <c r="AC44" i="21" s="1"/>
  <c r="H44" i="21"/>
  <c r="U44" i="21" s="1"/>
  <c r="F44" i="21"/>
  <c r="AA44" i="21" s="1"/>
  <c r="F46" i="21"/>
  <c r="AA46" i="21" s="1"/>
  <c r="E119" i="21"/>
  <c r="F119" i="21" s="1"/>
  <c r="G119" i="21" s="1"/>
  <c r="H119" i="21" s="1"/>
  <c r="I119" i="21"/>
  <c r="J119" i="21" s="1"/>
  <c r="K119" i="21" s="1"/>
  <c r="L119" i="21" s="1"/>
  <c r="M119" i="21" s="1"/>
  <c r="H28" i="33"/>
  <c r="U28" i="33" s="1"/>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c r="F28" i="36"/>
  <c r="AA28" i="36" s="1"/>
  <c r="J13" i="21"/>
  <c r="H27" i="21"/>
  <c r="AB27" i="21"/>
  <c r="H29" i="21"/>
  <c r="U29" i="21"/>
  <c r="J31" i="21"/>
  <c r="AC31" i="21" s="1"/>
  <c r="F31" i="21"/>
  <c r="S31" i="21"/>
  <c r="F45" i="21"/>
  <c r="F27" i="33"/>
  <c r="AA27" i="33" s="1"/>
  <c r="J13" i="33"/>
  <c r="F13" i="33"/>
  <c r="S13" i="33"/>
  <c r="J29" i="33"/>
  <c r="AC29" i="33" s="1"/>
  <c r="H29" i="33"/>
  <c r="U29" i="33" s="1"/>
  <c r="F29" i="33"/>
  <c r="S29" i="33" s="1"/>
  <c r="J31" i="33"/>
  <c r="W31" i="33"/>
  <c r="H31" i="33"/>
  <c r="H45" i="33"/>
  <c r="J45" i="33"/>
  <c r="W45" i="33" s="1"/>
  <c r="F45" i="33"/>
  <c r="AA45" i="33" s="1"/>
  <c r="H11" i="35"/>
  <c r="AB11" i="35" s="1"/>
  <c r="J11" i="35"/>
  <c r="W11" i="35" s="1"/>
  <c r="AC11" i="35"/>
  <c r="F11" i="35"/>
  <c r="S11" i="35" s="1"/>
  <c r="J26" i="36"/>
  <c r="W26" i="36" s="1"/>
  <c r="H28" i="36"/>
  <c r="U28" i="36" s="1"/>
  <c r="H32" i="36"/>
  <c r="AB32" i="36" s="1"/>
  <c r="J32" i="36"/>
  <c r="W32" i="36" s="1"/>
  <c r="F11" i="36"/>
  <c r="H13" i="36"/>
  <c r="J13" i="36"/>
  <c r="AC13" i="36" s="1"/>
  <c r="F13" i="36"/>
  <c r="S13" i="36"/>
  <c r="F89" i="37"/>
  <c r="G89" i="37"/>
  <c r="H89" i="37" s="1"/>
  <c r="I89" i="37" s="1"/>
  <c r="J89" i="37" s="1"/>
  <c r="K89" i="37" s="1"/>
  <c r="L89" i="37" s="1"/>
  <c r="M89" i="37" s="1"/>
  <c r="J29" i="37"/>
  <c r="W29" i="37"/>
  <c r="F29" i="37"/>
  <c r="F105" i="37"/>
  <c r="H36" i="37"/>
  <c r="AB36" i="37"/>
  <c r="J37" i="37"/>
  <c r="H37" i="37"/>
  <c r="U37" i="37" s="1"/>
  <c r="H40" i="37"/>
  <c r="U40" i="37"/>
  <c r="J40" i="37"/>
  <c r="AC40" i="37" s="1"/>
  <c r="F40" i="37"/>
  <c r="AA40" i="37"/>
  <c r="H14" i="33"/>
  <c r="F14" i="33"/>
  <c r="J14" i="33"/>
  <c r="H30" i="33"/>
  <c r="J30" i="33"/>
  <c r="H44" i="33"/>
  <c r="J44" i="33"/>
  <c r="AC44" i="33" s="1"/>
  <c r="S44" i="33"/>
  <c r="J46" i="33"/>
  <c r="AC46" i="33" s="1"/>
  <c r="F46" i="33"/>
  <c r="AA46" i="33" s="1"/>
  <c r="H46" i="33"/>
  <c r="AB46" i="33" s="1"/>
  <c r="F13" i="35"/>
  <c r="S13" i="35" s="1"/>
  <c r="H13" i="35"/>
  <c r="U13" i="35" s="1"/>
  <c r="J25" i="35"/>
  <c r="F25" i="35"/>
  <c r="S25" i="35"/>
  <c r="H25" i="35"/>
  <c r="AB25" i="35" s="1"/>
  <c r="J35" i="35"/>
  <c r="AC35" i="35" s="1"/>
  <c r="F35" i="35"/>
  <c r="AA35" i="35" s="1"/>
  <c r="H35" i="35"/>
  <c r="AB35" i="35" s="1"/>
  <c r="F25" i="36"/>
  <c r="H25" i="36"/>
  <c r="AB25" i="36" s="1"/>
  <c r="F13" i="37"/>
  <c r="S13" i="37"/>
  <c r="F28" i="37"/>
  <c r="AA28" i="37" s="1"/>
  <c r="J28" i="37"/>
  <c r="H28" i="37"/>
  <c r="U28" i="37"/>
  <c r="H38" i="37"/>
  <c r="AB38" i="37" s="1"/>
  <c r="J38" i="37"/>
  <c r="AC38" i="37" s="1"/>
  <c r="F38" i="37"/>
  <c r="H43" i="39"/>
  <c r="J14" i="39"/>
  <c r="AC14" i="39" s="1"/>
  <c r="F14" i="39"/>
  <c r="H14" i="39"/>
  <c r="U14" i="39" s="1"/>
  <c r="AB14" i="39"/>
  <c r="H12" i="40"/>
  <c r="AB12" i="40"/>
  <c r="H30" i="40"/>
  <c r="AB30" i="40"/>
  <c r="U33" i="40"/>
  <c r="J35" i="40"/>
  <c r="AC35" i="40" s="1"/>
  <c r="J37" i="40"/>
  <c r="AC37" i="40"/>
  <c r="H13" i="40"/>
  <c r="U13" i="40" s="1"/>
  <c r="W13" i="40"/>
  <c r="F13" i="40"/>
  <c r="AA13" i="40"/>
  <c r="F14" i="37"/>
  <c r="S14" i="37"/>
  <c r="F27" i="37"/>
  <c r="AA27" i="37"/>
  <c r="H13" i="39"/>
  <c r="H14" i="40"/>
  <c r="AB14" i="40" s="1"/>
  <c r="J14" i="40"/>
  <c r="W14" i="40" s="1"/>
  <c r="F14" i="40"/>
  <c r="AA14" i="40" s="1"/>
  <c r="J14" i="37"/>
  <c r="AC14" i="37"/>
  <c r="AA44" i="33"/>
  <c r="AA13" i="35"/>
  <c r="U46" i="33"/>
  <c r="J36" i="37"/>
  <c r="AC36" i="37"/>
  <c r="G105" i="37"/>
  <c r="J10" i="36"/>
  <c r="AC10" i="36" s="1"/>
  <c r="AB30" i="21"/>
  <c r="AA14" i="37"/>
  <c r="W13" i="36"/>
  <c r="S45" i="33"/>
  <c r="AB31" i="33"/>
  <c r="U31" i="33"/>
  <c r="W29" i="33"/>
  <c r="BA585" i="3"/>
  <c r="F17" i="21"/>
  <c r="AA17" i="21" s="1"/>
  <c r="H17" i="21"/>
  <c r="AB17" i="21"/>
  <c r="F15" i="21"/>
  <c r="S15" i="21" s="1"/>
  <c r="J41" i="39"/>
  <c r="W41" i="39" s="1"/>
  <c r="W44" i="39"/>
  <c r="W35" i="39"/>
  <c r="U36" i="39"/>
  <c r="G540" i="3"/>
  <c r="G536" i="3"/>
  <c r="G535" i="3"/>
  <c r="G528" i="3"/>
  <c r="G527" i="3"/>
  <c r="G518" i="3"/>
  <c r="G510" i="3"/>
  <c r="G504" i="3"/>
  <c r="G500" i="3"/>
  <c r="G496" i="3"/>
  <c r="G580" i="3"/>
  <c r="G576" i="3"/>
  <c r="G572" i="3"/>
  <c r="G564" i="3"/>
  <c r="G560" i="3"/>
  <c r="G554" i="3"/>
  <c r="G550" i="3"/>
  <c r="BL580" i="3"/>
  <c r="BL576" i="3"/>
  <c r="BL568" i="3"/>
  <c r="BL560" i="3"/>
  <c r="BL546" i="3"/>
  <c r="BL542" i="3"/>
  <c r="BL530" i="3"/>
  <c r="BL526" i="3"/>
  <c r="BL522" i="3"/>
  <c r="BL506" i="3"/>
  <c r="BL502" i="3"/>
  <c r="BL494" i="3"/>
  <c r="BL578" i="3"/>
  <c r="BL570" i="3"/>
  <c r="BL566" i="3"/>
  <c r="BL552" i="3"/>
  <c r="BL544" i="3"/>
  <c r="BL540" i="3"/>
  <c r="BL532" i="3"/>
  <c r="G529" i="3"/>
  <c r="G525" i="3"/>
  <c r="BL518" i="3"/>
  <c r="BL510" i="3"/>
  <c r="BL504" i="3"/>
  <c r="G493" i="3"/>
  <c r="BA584" i="3"/>
  <c r="BA582" i="3"/>
  <c r="BA578" i="3"/>
  <c r="AZ578" i="3" s="1"/>
  <c r="BA576" i="3"/>
  <c r="AZ576" i="3" s="1"/>
  <c r="BA574" i="3"/>
  <c r="BA572" i="3"/>
  <c r="BA568" i="3"/>
  <c r="AZ568" i="3"/>
  <c r="BA566" i="3"/>
  <c r="AZ564" i="3"/>
  <c r="BA562" i="3"/>
  <c r="AZ562" i="3" s="1"/>
  <c r="BA560" i="3"/>
  <c r="AZ560" i="3" s="1"/>
  <c r="BA554" i="3"/>
  <c r="BA548" i="3"/>
  <c r="AZ548" i="3" s="1"/>
  <c r="BA546" i="3"/>
  <c r="AZ546" i="3" s="1"/>
  <c r="BA542" i="3"/>
  <c r="AZ542" i="3"/>
  <c r="AZ538" i="3"/>
  <c r="BA534" i="3"/>
  <c r="BA530" i="3"/>
  <c r="AZ530" i="3" s="1"/>
  <c r="BA528" i="3"/>
  <c r="AZ526" i="3"/>
  <c r="BA524" i="3"/>
  <c r="AZ524" i="3" s="1"/>
  <c r="BA522" i="3"/>
  <c r="BA518" i="3"/>
  <c r="AZ518" i="3" s="1"/>
  <c r="BA516" i="3"/>
  <c r="BA510" i="3"/>
  <c r="AZ510" i="3"/>
  <c r="BA504" i="3"/>
  <c r="AZ504" i="3"/>
  <c r="BA500" i="3"/>
  <c r="AZ500" i="3" s="1"/>
  <c r="BA494" i="3"/>
  <c r="AZ494" i="3" s="1"/>
  <c r="BA581" i="3"/>
  <c r="BA579" i="3"/>
  <c r="BA573" i="3"/>
  <c r="BA571" i="3"/>
  <c r="BA567" i="3"/>
  <c r="BA563" i="3"/>
  <c r="BA559" i="3"/>
  <c r="BA555" i="3"/>
  <c r="BA547" i="3"/>
  <c r="BA545" i="3"/>
  <c r="BA543" i="3"/>
  <c r="BA537" i="3"/>
  <c r="BA535" i="3"/>
  <c r="BA531" i="3"/>
  <c r="BA527" i="3"/>
  <c r="BA523" i="3"/>
  <c r="BA519" i="3"/>
  <c r="BA513" i="3"/>
  <c r="BA511" i="3"/>
  <c r="BA507" i="3"/>
  <c r="BA501" i="3"/>
  <c r="BA499" i="3"/>
  <c r="BA495" i="3"/>
  <c r="AZ495" i="3" s="1"/>
  <c r="G581" i="3"/>
  <c r="G579" i="3"/>
  <c r="G577" i="3"/>
  <c r="G573" i="3"/>
  <c r="G571" i="3"/>
  <c r="G569" i="3"/>
  <c r="G565" i="3"/>
  <c r="G563" i="3"/>
  <c r="G561" i="3"/>
  <c r="BA557" i="3"/>
  <c r="AC557" i="3"/>
  <c r="BQ557" i="3"/>
  <c r="BL557" i="3"/>
  <c r="BQ583" i="3"/>
  <c r="BQ581" i="3"/>
  <c r="BL581" i="3"/>
  <c r="AZ581" i="3" s="1"/>
  <c r="BQ579" i="3"/>
  <c r="BL579" i="3"/>
  <c r="AZ579" i="3" s="1"/>
  <c r="BQ577" i="3"/>
  <c r="BQ575" i="3"/>
  <c r="BL575" i="3"/>
  <c r="BQ573" i="3"/>
  <c r="BQ571" i="3"/>
  <c r="BL571" i="3"/>
  <c r="BQ569" i="3"/>
  <c r="BQ567" i="3"/>
  <c r="BQ565" i="3"/>
  <c r="BL565" i="3" s="1"/>
  <c r="AZ565" i="3" s="1"/>
  <c r="BQ563" i="3"/>
  <c r="BL563" i="3"/>
  <c r="BQ561" i="3"/>
  <c r="BL561" i="3"/>
  <c r="BQ559" i="3"/>
  <c r="BL559" i="3"/>
  <c r="G555" i="3"/>
  <c r="G553" i="3"/>
  <c r="G549" i="3"/>
  <c r="G547" i="3"/>
  <c r="G545" i="3"/>
  <c r="G541" i="3"/>
  <c r="G537" i="3"/>
  <c r="BQ555" i="3"/>
  <c r="BQ553" i="3"/>
  <c r="BL553" i="3" s="1"/>
  <c r="BQ551" i="3"/>
  <c r="BL551" i="3"/>
  <c r="BQ549" i="3"/>
  <c r="BQ547" i="3"/>
  <c r="BQ545" i="3"/>
  <c r="BL545" i="3"/>
  <c r="BQ543" i="3"/>
  <c r="BQ541" i="3"/>
  <c r="BL541" i="3"/>
  <c r="BQ539" i="3"/>
  <c r="BQ537" i="3"/>
  <c r="BQ535" i="3"/>
  <c r="BL535" i="3" s="1"/>
  <c r="AZ535" i="3" s="1"/>
  <c r="BQ533" i="3"/>
  <c r="BL533" i="3"/>
  <c r="BQ531" i="3"/>
  <c r="BQ529" i="3"/>
  <c r="BL529" i="3"/>
  <c r="BQ527" i="3"/>
  <c r="BQ525" i="3"/>
  <c r="BL525" i="3"/>
  <c r="BQ523" i="3"/>
  <c r="BA521" i="3"/>
  <c r="AC521" i="3"/>
  <c r="G521" i="3"/>
  <c r="BQ521" i="3"/>
  <c r="G519" i="3"/>
  <c r="G517" i="3"/>
  <c r="G513" i="3"/>
  <c r="G511" i="3"/>
  <c r="BQ519" i="3"/>
  <c r="BQ517" i="3"/>
  <c r="BL517" i="3"/>
  <c r="BQ515" i="3"/>
  <c r="BL515" i="3" s="1"/>
  <c r="BQ513" i="3"/>
  <c r="BL513" i="3"/>
  <c r="AZ513" i="3"/>
  <c r="BQ511" i="3"/>
  <c r="BA509" i="3"/>
  <c r="AC509" i="3"/>
  <c r="BQ509" i="3"/>
  <c r="BL509" i="3"/>
  <c r="BL508" i="3"/>
  <c r="G507" i="3"/>
  <c r="G505" i="3"/>
  <c r="G503" i="3"/>
  <c r="G501" i="3"/>
  <c r="G499" i="3"/>
  <c r="G497" i="3"/>
  <c r="G495" i="3"/>
  <c r="BQ507" i="3"/>
  <c r="BQ505" i="3"/>
  <c r="BL505" i="3"/>
  <c r="BQ503" i="3"/>
  <c r="BL503" i="3"/>
  <c r="AZ503" i="3"/>
  <c r="BQ501" i="3"/>
  <c r="BQ499" i="3"/>
  <c r="BL499" i="3" s="1"/>
  <c r="AZ499" i="3" s="1"/>
  <c r="BQ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s="1"/>
  <c r="J25" i="21"/>
  <c r="AC25" i="21"/>
  <c r="E125" i="33"/>
  <c r="F125" i="33" s="1"/>
  <c r="G125" i="33" s="1"/>
  <c r="H43" i="33"/>
  <c r="AB43" i="33"/>
  <c r="H17" i="37"/>
  <c r="AB17" i="37" s="1"/>
  <c r="AA36" i="39"/>
  <c r="F39" i="33"/>
  <c r="AA39" i="33" s="1"/>
  <c r="F42" i="33"/>
  <c r="F14" i="36"/>
  <c r="AA14" i="36"/>
  <c r="F22" i="36"/>
  <c r="F26" i="36"/>
  <c r="S26" i="36"/>
  <c r="F10" i="35"/>
  <c r="S10" i="35" s="1"/>
  <c r="F24" i="35"/>
  <c r="AA24" i="35" s="1"/>
  <c r="H24" i="35"/>
  <c r="AB24" i="35" s="1"/>
  <c r="H23" i="37"/>
  <c r="J32" i="37"/>
  <c r="AC32" i="37"/>
  <c r="F36" i="37"/>
  <c r="AA36" i="37" s="1"/>
  <c r="F37" i="37"/>
  <c r="F31" i="40"/>
  <c r="AA31" i="40" s="1"/>
  <c r="H31" i="40"/>
  <c r="U31" i="40"/>
  <c r="F32" i="40"/>
  <c r="S32" i="40" s="1"/>
  <c r="H32" i="40"/>
  <c r="AB32" i="40" s="1"/>
  <c r="J36" i="40"/>
  <c r="W36" i="40" s="1"/>
  <c r="H19" i="37"/>
  <c r="AB19" i="37"/>
  <c r="H123" i="33"/>
  <c r="I123" i="33" s="1"/>
  <c r="J123" i="33" s="1"/>
  <c r="K123" i="33" s="1"/>
  <c r="L123" i="33" s="1"/>
  <c r="M123" i="33" s="1"/>
  <c r="H42" i="33"/>
  <c r="AB42" i="33" s="1"/>
  <c r="J43" i="33"/>
  <c r="AC43" i="33"/>
  <c r="U43" i="33"/>
  <c r="U14" i="40"/>
  <c r="U35" i="35"/>
  <c r="AA12" i="35"/>
  <c r="W14" i="37"/>
  <c r="AB28" i="37"/>
  <c r="U33" i="37"/>
  <c r="W26" i="37"/>
  <c r="U26" i="37"/>
  <c r="AA13" i="33"/>
  <c r="AC31" i="33"/>
  <c r="AC45" i="33"/>
  <c r="W44" i="33"/>
  <c r="U11" i="33"/>
  <c r="U19" i="21"/>
  <c r="W44" i="21"/>
  <c r="U26" i="21"/>
  <c r="AB38" i="21"/>
  <c r="F43" i="33"/>
  <c r="AA43" i="33" s="1"/>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G71" i="37"/>
  <c r="J15" i="37"/>
  <c r="W15" i="37"/>
  <c r="AT6" i="3"/>
  <c r="AA25" i="21"/>
  <c r="H19" i="40"/>
  <c r="F88" i="40"/>
  <c r="G88" i="40"/>
  <c r="F19" i="40"/>
  <c r="AC13" i="40"/>
  <c r="AB33" i="40"/>
  <c r="W23" i="39"/>
  <c r="U45" i="39"/>
  <c r="AB44" i="39"/>
  <c r="U44" i="39"/>
  <c r="H25" i="39"/>
  <c r="AB25" i="39"/>
  <c r="J25" i="39"/>
  <c r="F25" i="39"/>
  <c r="AA25" i="39" s="1"/>
  <c r="F15" i="39"/>
  <c r="AA15" i="39" s="1"/>
  <c r="H15" i="39"/>
  <c r="U15" i="39" s="1"/>
  <c r="J15" i="39"/>
  <c r="W15" i="39" s="1"/>
  <c r="H41" i="39"/>
  <c r="AB41" i="39" s="1"/>
  <c r="AB34" i="39"/>
  <c r="U40" i="39"/>
  <c r="S42" i="39"/>
  <c r="AA41" i="39"/>
  <c r="W9" i="39"/>
  <c r="W8" i="39"/>
  <c r="J19" i="40"/>
  <c r="J50" i="40"/>
  <c r="H103" i="9"/>
  <c r="D8" i="53" s="1"/>
  <c r="B16" i="53"/>
  <c r="B33" i="72" s="1"/>
  <c r="C7" i="37"/>
  <c r="C7" i="36"/>
  <c r="W35" i="40"/>
  <c r="A118" i="9"/>
  <c r="A4" i="52"/>
  <c r="B41" i="72" s="1"/>
  <c r="J11" i="39"/>
  <c r="F11" i="39"/>
  <c r="AA11" i="39" s="1"/>
  <c r="S11" i="39"/>
  <c r="G4" i="4"/>
  <c r="I4" i="4"/>
  <c r="A2" i="9"/>
  <c r="F61" i="43"/>
  <c r="H64" i="43" s="1"/>
  <c r="AZ20" i="3"/>
  <c r="AZ28" i="3"/>
  <c r="BL549" i="3"/>
  <c r="AZ522" i="3"/>
  <c r="G546" i="3"/>
  <c r="G524" i="3"/>
  <c r="G303" i="3"/>
  <c r="BL304" i="3"/>
  <c r="G305" i="3"/>
  <c r="BL306" i="3"/>
  <c r="AZ306" i="3" s="1"/>
  <c r="BA308" i="3"/>
  <c r="AZ308" i="3"/>
  <c r="BA309" i="3"/>
  <c r="BL309" i="3"/>
  <c r="G310" i="3"/>
  <c r="BA311" i="3"/>
  <c r="G319" i="3"/>
  <c r="BL320" i="3"/>
  <c r="AZ320" i="3" s="1"/>
  <c r="G321" i="3"/>
  <c r="BL322" i="3"/>
  <c r="BA324" i="3"/>
  <c r="BA325" i="3"/>
  <c r="BL325" i="3"/>
  <c r="G326" i="3"/>
  <c r="BA327" i="3"/>
  <c r="AZ327" i="3" s="1"/>
  <c r="G335" i="3"/>
  <c r="BL336" i="3"/>
  <c r="G337" i="3"/>
  <c r="BL338" i="3"/>
  <c r="BA340" i="3"/>
  <c r="BA341" i="3"/>
  <c r="BL341" i="3"/>
  <c r="BA343" i="3"/>
  <c r="BA345" i="3"/>
  <c r="BL355" i="3"/>
  <c r="G356" i="3"/>
  <c r="BL357" i="3"/>
  <c r="BA359" i="3"/>
  <c r="AZ359" i="3"/>
  <c r="BA360" i="3"/>
  <c r="AZ360" i="3" s="1"/>
  <c r="BL360" i="3"/>
  <c r="G361" i="3"/>
  <c r="BA362" i="3"/>
  <c r="AZ362" i="3"/>
  <c r="G370" i="3"/>
  <c r="BL371" i="3"/>
  <c r="G372" i="3"/>
  <c r="BL373" i="3"/>
  <c r="BA375" i="3"/>
  <c r="AZ375" i="3"/>
  <c r="BA376" i="3"/>
  <c r="BL376" i="3"/>
  <c r="AZ376" i="3" s="1"/>
  <c r="G377" i="3"/>
  <c r="BA378" i="3"/>
  <c r="BL378" i="3"/>
  <c r="AZ378" i="3" s="1"/>
  <c r="G379" i="3"/>
  <c r="BA380" i="3"/>
  <c r="AZ380" i="3" s="1"/>
  <c r="G388" i="3"/>
  <c r="BL389" i="3"/>
  <c r="G390" i="3"/>
  <c r="BL391" i="3"/>
  <c r="BA393" i="3"/>
  <c r="AZ393" i="3"/>
  <c r="BA394" i="3"/>
  <c r="BL394" i="3"/>
  <c r="G113" i="3"/>
  <c r="BA115" i="3"/>
  <c r="AZ115" i="3" s="1"/>
  <c r="BL116" i="3"/>
  <c r="AZ116" i="3" s="1"/>
  <c r="G117" i="3"/>
  <c r="BA119" i="3"/>
  <c r="AZ119" i="3"/>
  <c r="BL120" i="3"/>
  <c r="G121" i="3"/>
  <c r="BA123" i="3"/>
  <c r="BL124" i="3"/>
  <c r="AZ124" i="3"/>
  <c r="G125" i="3"/>
  <c r="BA127" i="3"/>
  <c r="AZ127" i="3" s="1"/>
  <c r="BL128" i="3"/>
  <c r="G129" i="3"/>
  <c r="BA131" i="3"/>
  <c r="BL132" i="3"/>
  <c r="AZ132" i="3" s="1"/>
  <c r="G133" i="3"/>
  <c r="BA135" i="3"/>
  <c r="AZ135" i="3" s="1"/>
  <c r="BL136" i="3"/>
  <c r="G137" i="3"/>
  <c r="BA139" i="3"/>
  <c r="BL140" i="3"/>
  <c r="AZ140" i="3"/>
  <c r="G141" i="3"/>
  <c r="BA143" i="3"/>
  <c r="AZ143" i="3" s="1"/>
  <c r="BL144" i="3"/>
  <c r="G145" i="3"/>
  <c r="BA147" i="3"/>
  <c r="BL148" i="3"/>
  <c r="AZ148" i="3"/>
  <c r="G149" i="3"/>
  <c r="BA151" i="3"/>
  <c r="AZ151" i="3"/>
  <c r="BL152" i="3"/>
  <c r="AZ152" i="3" s="1"/>
  <c r="G153" i="3"/>
  <c r="BA155" i="3"/>
  <c r="BL156" i="3"/>
  <c r="AZ156" i="3"/>
  <c r="G157" i="3"/>
  <c r="BA159" i="3"/>
  <c r="AZ159" i="3"/>
  <c r="BL160" i="3"/>
  <c r="AZ160" i="3" s="1"/>
  <c r="G161" i="3"/>
  <c r="BA163" i="3"/>
  <c r="AZ163" i="3"/>
  <c r="BL164" i="3"/>
  <c r="AZ164" i="3" s="1"/>
  <c r="G165" i="3"/>
  <c r="BA167" i="3"/>
  <c r="BL168" i="3"/>
  <c r="G169" i="3"/>
  <c r="BA171" i="3"/>
  <c r="AZ171" i="3"/>
  <c r="BL172" i="3"/>
  <c r="G173" i="3"/>
  <c r="BA175" i="3"/>
  <c r="AZ175" i="3" s="1"/>
  <c r="BL176" i="3"/>
  <c r="G177" i="3"/>
  <c r="BA179" i="3"/>
  <c r="BL180" i="3"/>
  <c r="AZ180" i="3"/>
  <c r="G181" i="3"/>
  <c r="BA183" i="3"/>
  <c r="AZ183" i="3"/>
  <c r="BL184" i="3"/>
  <c r="AZ184" i="3" s="1"/>
  <c r="G185" i="3"/>
  <c r="BA187" i="3"/>
  <c r="BL188" i="3"/>
  <c r="AZ188" i="3"/>
  <c r="G189" i="3"/>
  <c r="BA191" i="3"/>
  <c r="AZ191" i="3"/>
  <c r="BL192" i="3"/>
  <c r="G193" i="3"/>
  <c r="BA195" i="3"/>
  <c r="AZ195" i="3"/>
  <c r="BL196" i="3"/>
  <c r="AZ196" i="3" s="1"/>
  <c r="G197" i="3"/>
  <c r="BA199" i="3"/>
  <c r="AZ199" i="3"/>
  <c r="BL200" i="3"/>
  <c r="G201" i="3"/>
  <c r="BA203" i="3"/>
  <c r="AZ203" i="3"/>
  <c r="BL204" i="3"/>
  <c r="AZ204" i="3"/>
  <c r="AZ43" i="3"/>
  <c r="AZ51" i="3"/>
  <c r="AZ59" i="3"/>
  <c r="AZ67" i="3"/>
  <c r="AZ71" i="3"/>
  <c r="AZ75" i="3"/>
  <c r="AZ83" i="3"/>
  <c r="AZ136" i="3"/>
  <c r="AZ144" i="3"/>
  <c r="AZ168" i="3"/>
  <c r="AZ176" i="3"/>
  <c r="AZ200" i="3"/>
  <c r="AZ85" i="3"/>
  <c r="AZ89" i="3"/>
  <c r="AZ93" i="3"/>
  <c r="AZ101" i="3"/>
  <c r="AZ105"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AZ390" i="3" s="1"/>
  <c r="BL390" i="3"/>
  <c r="G391" i="3"/>
  <c r="G394" i="3"/>
  <c r="AZ142" i="3"/>
  <c r="AZ154" i="3"/>
  <c r="AZ162" i="3"/>
  <c r="AZ166" i="3"/>
  <c r="AZ174" i="3"/>
  <c r="AZ178" i="3"/>
  <c r="AZ194" i="3"/>
  <c r="AZ198" i="3"/>
  <c r="AZ202" i="3"/>
  <c r="BA16" i="3"/>
  <c r="AZ16" i="3"/>
  <c r="BL303" i="3"/>
  <c r="G304" i="3"/>
  <c r="BA306" i="3"/>
  <c r="BL307" i="3"/>
  <c r="AZ307" i="3" s="1"/>
  <c r="G308" i="3"/>
  <c r="BA310" i="3"/>
  <c r="BL311" i="3"/>
  <c r="AZ311" i="3"/>
  <c r="G312" i="3"/>
  <c r="BA314" i="3"/>
  <c r="AZ314" i="3" s="1"/>
  <c r="BL315" i="3"/>
  <c r="G316" i="3"/>
  <c r="BA318" i="3"/>
  <c r="AZ318" i="3"/>
  <c r="BL319" i="3"/>
  <c r="G320" i="3"/>
  <c r="BA322" i="3"/>
  <c r="AZ322" i="3"/>
  <c r="BL323" i="3"/>
  <c r="AZ323" i="3" s="1"/>
  <c r="G324" i="3"/>
  <c r="BA326" i="3"/>
  <c r="AZ326" i="3"/>
  <c r="BL327" i="3"/>
  <c r="G328" i="3"/>
  <c r="BA330" i="3"/>
  <c r="AZ330" i="3"/>
  <c r="BL331" i="3"/>
  <c r="G332" i="3"/>
  <c r="BA334" i="3"/>
  <c r="BL335" i="3"/>
  <c r="G336" i="3"/>
  <c r="BA338" i="3"/>
  <c r="AZ338" i="3" s="1"/>
  <c r="BL339" i="3"/>
  <c r="AZ339" i="3" s="1"/>
  <c r="G340" i="3"/>
  <c r="BL343" i="3"/>
  <c r="G344" i="3"/>
  <c r="G348" i="3"/>
  <c r="G355" i="3"/>
  <c r="AZ209" i="3"/>
  <c r="AZ214" i="3"/>
  <c r="AZ218" i="3"/>
  <c r="AZ222" i="3"/>
  <c r="AZ319"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s="1"/>
  <c r="G367" i="3"/>
  <c r="BA369" i="3"/>
  <c r="AZ369" i="3" s="1"/>
  <c r="BL370" i="3"/>
  <c r="G371" i="3"/>
  <c r="BA373" i="3"/>
  <c r="AZ373" i="3" s="1"/>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25" i="3"/>
  <c r="AZ333" i="3"/>
  <c r="G548" i="3"/>
  <c r="G538" i="3"/>
  <c r="G520" i="3"/>
  <c r="G502" i="3"/>
  <c r="BP5" i="3"/>
  <c r="AZ343" i="3"/>
  <c r="BK5" i="3"/>
  <c r="BC5" i="3"/>
  <c r="G17" i="3"/>
  <c r="BA17" i="3"/>
  <c r="AZ350" i="3"/>
  <c r="AZ364" i="3"/>
  <c r="AZ368" i="3"/>
  <c r="BA15" i="3"/>
  <c r="AZ15" i="3"/>
  <c r="BB5" i="3"/>
  <c r="BR5" i="3"/>
  <c r="AZ384" i="3"/>
  <c r="AZ388" i="3"/>
  <c r="AZ392" i="3"/>
  <c r="AZ396" i="3"/>
  <c r="AZ394" i="3"/>
  <c r="AZ509" i="3"/>
  <c r="BL493" i="3"/>
  <c r="AZ493" i="3" s="1"/>
  <c r="AZ491" i="3"/>
  <c r="AZ382" i="3"/>
  <c r="F83" i="43"/>
  <c r="H85" i="43" s="1"/>
  <c r="F50" i="43"/>
  <c r="H54" i="43" s="1"/>
  <c r="F72" i="43"/>
  <c r="H75" i="43" s="1"/>
  <c r="U17" i="39"/>
  <c r="U43" i="21"/>
  <c r="U35" i="21"/>
  <c r="G10" i="1"/>
  <c r="AZ563" i="3"/>
  <c r="S15" i="37"/>
  <c r="U12" i="40"/>
  <c r="J37" i="33"/>
  <c r="F106" i="33"/>
  <c r="G106" i="33" s="1"/>
  <c r="H106" i="33"/>
  <c r="I106" i="33" s="1"/>
  <c r="J106" i="33" s="1"/>
  <c r="K106" i="33" s="1"/>
  <c r="L106" i="33" s="1"/>
  <c r="M106" i="33" s="1"/>
  <c r="J34" i="33"/>
  <c r="H20" i="36"/>
  <c r="J20" i="36"/>
  <c r="W24" i="36"/>
  <c r="J27" i="36"/>
  <c r="W27" i="36" s="1"/>
  <c r="F111" i="40"/>
  <c r="G111" i="40" s="1"/>
  <c r="H111" i="40"/>
  <c r="I111" i="40" s="1"/>
  <c r="J111" i="40" s="1"/>
  <c r="K111" i="40" s="1"/>
  <c r="L111" i="40" s="1"/>
  <c r="M111" i="40" s="1"/>
  <c r="H35" i="40"/>
  <c r="AC29" i="35"/>
  <c r="W29" i="35"/>
  <c r="H35" i="37"/>
  <c r="U35" i="37" s="1"/>
  <c r="AC14" i="35"/>
  <c r="H20" i="35"/>
  <c r="U20" i="35"/>
  <c r="F20" i="35"/>
  <c r="AA20" i="35"/>
  <c r="AB29" i="36"/>
  <c r="U29" i="36"/>
  <c r="H32" i="37"/>
  <c r="F96" i="37"/>
  <c r="G96" i="37" s="1"/>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F35" i="33"/>
  <c r="S35" i="33" s="1"/>
  <c r="AC38" i="39"/>
  <c r="F39" i="39"/>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33" i="3"/>
  <c r="AZ45" i="3"/>
  <c r="AZ53" i="3"/>
  <c r="AZ61" i="3"/>
  <c r="AZ72" i="3"/>
  <c r="AZ102" i="3"/>
  <c r="AZ110" i="3"/>
  <c r="F23" i="39"/>
  <c r="AA23" i="39"/>
  <c r="H27" i="36"/>
  <c r="U27" i="36" s="1"/>
  <c r="F27" i="36"/>
  <c r="AA27" i="36" s="1"/>
  <c r="F32" i="37"/>
  <c r="AA32" i="37"/>
  <c r="H96" i="37"/>
  <c r="I96" i="37" s="1"/>
  <c r="J96" i="37"/>
  <c r="K96" i="37" s="1"/>
  <c r="L96" i="37" s="1"/>
  <c r="M96" i="37" s="1"/>
  <c r="F20" i="36"/>
  <c r="AA20" i="36" s="1"/>
  <c r="H23" i="39"/>
  <c r="U23" i="39" s="1"/>
  <c r="D48" i="9"/>
  <c r="M52" i="9" s="1"/>
  <c r="K9" i="1"/>
  <c r="M9" i="1" s="1"/>
  <c r="D93" i="9"/>
  <c r="K6" i="1"/>
  <c r="AP6" i="1" s="1"/>
  <c r="AB34" i="36"/>
  <c r="U34" i="36"/>
  <c r="AB33" i="36"/>
  <c r="U33" i="36"/>
  <c r="AC12" i="39"/>
  <c r="W12" i="39"/>
  <c r="AC39" i="40"/>
  <c r="W39" i="40"/>
  <c r="AZ401" i="3"/>
  <c r="AZ412" i="3"/>
  <c r="AZ417" i="3"/>
  <c r="AZ428" i="3"/>
  <c r="AZ433" i="3"/>
  <c r="AC12" i="33"/>
  <c r="AA32" i="36"/>
  <c r="S32" i="36"/>
  <c r="AZ408" i="3"/>
  <c r="AZ437" i="3"/>
  <c r="AZ441" i="3"/>
  <c r="AZ457" i="3"/>
  <c r="AZ473" i="3"/>
  <c r="BL14" i="3"/>
  <c r="AZ266" i="3"/>
  <c r="F12" i="33"/>
  <c r="AA12" i="33" s="1"/>
  <c r="H12" i="39"/>
  <c r="F39" i="40"/>
  <c r="BA14" i="3"/>
  <c r="AZ14" i="3"/>
  <c r="AZ367" i="3"/>
  <c r="AZ213" i="3"/>
  <c r="AZ224" i="3"/>
  <c r="AZ234" i="3"/>
  <c r="AZ238" i="3"/>
  <c r="AZ250" i="3"/>
  <c r="AZ254" i="3"/>
  <c r="AZ281" i="3"/>
  <c r="AZ286" i="3"/>
  <c r="AZ297" i="3"/>
  <c r="AZ157" i="3"/>
  <c r="AZ173" i="3"/>
  <c r="AZ189" i="3"/>
  <c r="AZ26" i="3"/>
  <c r="AZ35" i="3"/>
  <c r="B12" i="1"/>
  <c r="E12" i="1" s="1"/>
  <c r="B10" i="1"/>
  <c r="E10" i="1" s="1"/>
  <c r="AZ80" i="3"/>
  <c r="AZ84" i="3"/>
  <c r="AZ88" i="3"/>
  <c r="AZ107" i="3"/>
  <c r="K12" i="1"/>
  <c r="M12" i="1" s="1"/>
  <c r="S13" i="1"/>
  <c r="AR13" i="1" s="1"/>
  <c r="R13" i="1"/>
  <c r="J51" i="67"/>
  <c r="C42" i="1"/>
  <c r="AA34" i="33"/>
  <c r="B41" i="1"/>
  <c r="S35" i="40"/>
  <c r="AC36" i="40"/>
  <c r="AA32" i="40"/>
  <c r="S17" i="40"/>
  <c r="S23" i="40"/>
  <c r="AC15" i="40"/>
  <c r="AB27" i="40"/>
  <c r="S30" i="40"/>
  <c r="AA27" i="40"/>
  <c r="U21" i="40"/>
  <c r="S37" i="39"/>
  <c r="F32" i="39"/>
  <c r="AA32" i="39" s="1"/>
  <c r="F106" i="39"/>
  <c r="G106" i="39" s="1"/>
  <c r="H106" i="39" s="1"/>
  <c r="I106" i="39" s="1"/>
  <c r="J106" i="39" s="1"/>
  <c r="K106" i="39" s="1"/>
  <c r="L106" i="39" s="1"/>
  <c r="M106" i="39" s="1"/>
  <c r="U25" i="39"/>
  <c r="AB27" i="39"/>
  <c r="U31" i="39"/>
  <c r="J21" i="39"/>
  <c r="W21" i="39" s="1"/>
  <c r="F21" i="39"/>
  <c r="H21" i="39"/>
  <c r="U21" i="39" s="1"/>
  <c r="W19" i="39"/>
  <c r="U19" i="39"/>
  <c r="S15" i="39"/>
  <c r="AA12" i="39"/>
  <c r="S9" i="39"/>
  <c r="S23" i="36"/>
  <c r="U26" i="36"/>
  <c r="S33" i="36"/>
  <c r="AA26" i="36"/>
  <c r="AA34" i="36"/>
  <c r="AC26" i="36"/>
  <c r="W14" i="36"/>
  <c r="AB14" i="36"/>
  <c r="U22" i="36"/>
  <c r="S16" i="36"/>
  <c r="U24" i="36"/>
  <c r="U23" i="36"/>
  <c r="U16" i="36"/>
  <c r="S14" i="36"/>
  <c r="AA25" i="35"/>
  <c r="AB13" i="35"/>
  <c r="U29" i="35"/>
  <c r="U28" i="35"/>
  <c r="U36" i="35"/>
  <c r="AA33" i="35"/>
  <c r="AC30" i="35"/>
  <c r="S32" i="35"/>
  <c r="AA36" i="35"/>
  <c r="S28" i="35"/>
  <c r="AB16" i="35"/>
  <c r="U22" i="35"/>
  <c r="S20" i="35"/>
  <c r="AC20" i="35"/>
  <c r="U14" i="35"/>
  <c r="AA11" i="35"/>
  <c r="AC12" i="35"/>
  <c r="W13" i="35"/>
  <c r="F9" i="35"/>
  <c r="S9" i="35" s="1"/>
  <c r="AB40" i="37"/>
  <c r="S25" i="37"/>
  <c r="AC29" i="37"/>
  <c r="U29" i="37"/>
  <c r="S32" i="37"/>
  <c r="W30" i="37"/>
  <c r="S36" i="37"/>
  <c r="W38" i="37"/>
  <c r="AC35" i="37"/>
  <c r="W39" i="37"/>
  <c r="AC15" i="37"/>
  <c r="J17" i="37"/>
  <c r="W17" i="37" s="1"/>
  <c r="G73" i="37"/>
  <c r="F17" i="37"/>
  <c r="AA17" i="37"/>
  <c r="F75" i="37"/>
  <c r="F19" i="37"/>
  <c r="F79" i="37"/>
  <c r="F23" i="37"/>
  <c r="S23" i="37"/>
  <c r="U15" i="37"/>
  <c r="AA13" i="37"/>
  <c r="H10" i="37"/>
  <c r="AB10" i="37" s="1"/>
  <c r="F63" i="37"/>
  <c r="F11" i="37"/>
  <c r="S11" i="37" s="1"/>
  <c r="W42" i="33"/>
  <c r="AA35" i="33"/>
  <c r="S27" i="33"/>
  <c r="S32" i="33"/>
  <c r="AA29" i="33"/>
  <c r="AB29" i="33"/>
  <c r="W38" i="33"/>
  <c r="H41" i="33"/>
  <c r="F121" i="33"/>
  <c r="G121" i="33"/>
  <c r="H121" i="33" s="1"/>
  <c r="I121" i="33" s="1"/>
  <c r="J121" i="33" s="1"/>
  <c r="K121" i="33" s="1"/>
  <c r="L121" i="33" s="1"/>
  <c r="M121" i="33" s="1"/>
  <c r="U42" i="33"/>
  <c r="F36" i="33"/>
  <c r="AA36" i="33" s="1"/>
  <c r="G108" i="33"/>
  <c r="H108" i="33" s="1"/>
  <c r="I108" i="33" s="1"/>
  <c r="J108" i="33" s="1"/>
  <c r="K108" i="33"/>
  <c r="L108" i="33" s="1"/>
  <c r="M108" i="33" s="1"/>
  <c r="J35" i="33"/>
  <c r="S37" i="33"/>
  <c r="AA37" i="33"/>
  <c r="S39" i="33"/>
  <c r="G101" i="33"/>
  <c r="H101" i="33"/>
  <c r="I101" i="33"/>
  <c r="J101" i="33" s="1"/>
  <c r="K101" i="33" s="1"/>
  <c r="L101" i="33" s="1"/>
  <c r="M101" i="33" s="1"/>
  <c r="J32" i="33"/>
  <c r="S46" i="33"/>
  <c r="W43" i="33"/>
  <c r="S43" i="33"/>
  <c r="F91" i="33"/>
  <c r="H27" i="33"/>
  <c r="F87" i="33"/>
  <c r="H25" i="33"/>
  <c r="AB25" i="33" s="1"/>
  <c r="F25" i="33"/>
  <c r="J23" i="33"/>
  <c r="F85" i="33"/>
  <c r="H23" i="33"/>
  <c r="U23" i="33" s="1"/>
  <c r="F19" i="33"/>
  <c r="S19" i="33" s="1"/>
  <c r="W19" i="33"/>
  <c r="J17" i="33"/>
  <c r="F79" i="33"/>
  <c r="G79" i="33" s="1"/>
  <c r="S15" i="33"/>
  <c r="U9" i="33"/>
  <c r="J10" i="33"/>
  <c r="W10" i="33" s="1"/>
  <c r="H10" i="33"/>
  <c r="U10" i="33" s="1"/>
  <c r="AC11" i="33"/>
  <c r="W43" i="21"/>
  <c r="W36" i="21"/>
  <c r="W41" i="21"/>
  <c r="AB39" i="21"/>
  <c r="AA43" i="21"/>
  <c r="S39" i="21"/>
  <c r="AA38" i="21"/>
  <c r="AC40" i="21"/>
  <c r="J15" i="21"/>
  <c r="AC15" i="21" s="1"/>
  <c r="W15" i="21"/>
  <c r="F77" i="21"/>
  <c r="G77" i="21" s="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AB28" i="40"/>
  <c r="W28" i="40"/>
  <c r="W34" i="40"/>
  <c r="W27" i="40"/>
  <c r="S36" i="40"/>
  <c r="W37" i="40"/>
  <c r="AC14" i="40"/>
  <c r="S13" i="40"/>
  <c r="AA15" i="40"/>
  <c r="U11" i="40"/>
  <c r="S31" i="40"/>
  <c r="AB13" i="40"/>
  <c r="U15" i="40"/>
  <c r="AB17" i="40"/>
  <c r="U8" i="40"/>
  <c r="S8" i="40"/>
  <c r="AC41" i="39"/>
  <c r="U42" i="39"/>
  <c r="U41" i="39"/>
  <c r="W25" i="39"/>
  <c r="AC25" i="39"/>
  <c r="U13" i="39"/>
  <c r="AB13" i="39"/>
  <c r="S14" i="39"/>
  <c r="AA14" i="39"/>
  <c r="U43" i="39"/>
  <c r="AB43" i="39"/>
  <c r="AB11" i="39"/>
  <c r="U11" i="39"/>
  <c r="AA27" i="39"/>
  <c r="S27" i="39"/>
  <c r="W17" i="39"/>
  <c r="AC17" i="39"/>
  <c r="W31" i="39"/>
  <c r="AC31" i="39"/>
  <c r="S23" i="39"/>
  <c r="AB39" i="39"/>
  <c r="W34" i="39"/>
  <c r="U38" i="39"/>
  <c r="S8" i="39"/>
  <c r="S20" i="36"/>
  <c r="AC25" i="36"/>
  <c r="U32" i="36"/>
  <c r="W29" i="36"/>
  <c r="U25" i="36"/>
  <c r="AB28" i="36"/>
  <c r="AA13" i="36"/>
  <c r="W9" i="36"/>
  <c r="W22" i="36"/>
  <c r="W23" i="36"/>
  <c r="S9" i="36"/>
  <c r="AB20" i="35"/>
  <c r="U25" i="35"/>
  <c r="S24" i="35"/>
  <c r="U24" i="35"/>
  <c r="S35" i="35"/>
  <c r="W35" i="35"/>
  <c r="AA16" i="35"/>
  <c r="W36" i="37"/>
  <c r="S27" i="37"/>
  <c r="S28" i="37"/>
  <c r="W32" i="37"/>
  <c r="U36" i="37"/>
  <c r="S40" i="37"/>
  <c r="U38" i="37"/>
  <c r="AB37" i="37"/>
  <c r="AC34" i="37"/>
  <c r="AA31" i="37"/>
  <c r="U19" i="37"/>
  <c r="U8" i="37"/>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J101" i="21"/>
  <c r="K101" i="21" s="1"/>
  <c r="L101" i="21" s="1"/>
  <c r="M101" i="21" s="1"/>
  <c r="F33" i="21"/>
  <c r="AA33" i="21" s="1"/>
  <c r="J33" i="21"/>
  <c r="AC33" i="21" s="1"/>
  <c r="H33" i="21"/>
  <c r="AB33" i="21" s="1"/>
  <c r="F37" i="21"/>
  <c r="AA37" i="21"/>
  <c r="AA26" i="21"/>
  <c r="AB14" i="21"/>
  <c r="AB31" i="21"/>
  <c r="U31" i="21"/>
  <c r="U13" i="21"/>
  <c r="S35" i="21"/>
  <c r="J37" i="21"/>
  <c r="W37" i="21" s="1"/>
  <c r="H15" i="21"/>
  <c r="U15" i="21" s="1"/>
  <c r="J17" i="21"/>
  <c r="AC17" i="21" s="1"/>
  <c r="AC19" i="21"/>
  <c r="W39" i="21"/>
  <c r="AC14" i="21"/>
  <c r="W30" i="21"/>
  <c r="H45" i="21"/>
  <c r="U45" i="21" s="1"/>
  <c r="F29" i="21"/>
  <c r="S29" i="21"/>
  <c r="AC38" i="21"/>
  <c r="H32" i="21"/>
  <c r="H9" i="21"/>
  <c r="U9" i="21" s="1"/>
  <c r="J9" i="21"/>
  <c r="J32" i="21"/>
  <c r="W32" i="21" s="1"/>
  <c r="F32" i="21"/>
  <c r="AA31" i="21"/>
  <c r="U17" i="21"/>
  <c r="W29" i="21"/>
  <c r="S19" i="21"/>
  <c r="S9" i="21"/>
  <c r="AA9" i="21"/>
  <c r="K141" i="21"/>
  <c r="K144" i="21"/>
  <c r="K143" i="21"/>
  <c r="U27" i="21"/>
  <c r="AB25" i="21"/>
  <c r="AB44" i="21"/>
  <c r="AA30" i="21"/>
  <c r="W42" i="21"/>
  <c r="AC45" i="21"/>
  <c r="F10" i="21"/>
  <c r="AA10" i="21" s="1"/>
  <c r="K145" i="21"/>
  <c r="W25" i="21"/>
  <c r="AA29" i="21"/>
  <c r="W31"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15"/>
  <c r="F60" i="15" s="1"/>
  <c r="M18" i="15"/>
  <c r="AA39" i="40"/>
  <c r="S39" i="40"/>
  <c r="S12" i="33"/>
  <c r="F54" i="9"/>
  <c r="J32" i="39"/>
  <c r="AC32" i="39" s="1"/>
  <c r="H32" i="39"/>
  <c r="AB32" i="39" s="1"/>
  <c r="S32" i="39"/>
  <c r="AA21" i="39"/>
  <c r="S21" i="39"/>
  <c r="AC17" i="37"/>
  <c r="S17" i="37"/>
  <c r="J19" i="37"/>
  <c r="G75" i="37"/>
  <c r="S19" i="37"/>
  <c r="AA19" i="37"/>
  <c r="AA23" i="37"/>
  <c r="J23" i="37"/>
  <c r="W23" i="37" s="1"/>
  <c r="G79" i="37"/>
  <c r="J10" i="37"/>
  <c r="W10" i="37" s="1"/>
  <c r="G63" i="37"/>
  <c r="H11" i="37"/>
  <c r="AB11" i="37"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U25" i="33"/>
  <c r="S25" i="33"/>
  <c r="AA25" i="33"/>
  <c r="G87" i="33"/>
  <c r="H87" i="33" s="1"/>
  <c r="I87" i="33"/>
  <c r="J87" i="33" s="1"/>
  <c r="K87" i="33" s="1"/>
  <c r="L87" i="33" s="1"/>
  <c r="M87" i="33" s="1"/>
  <c r="J25" i="33"/>
  <c r="W25" i="33" s="1"/>
  <c r="AB23" i="33"/>
  <c r="F23" i="33"/>
  <c r="AA23" i="33" s="1"/>
  <c r="G85" i="33"/>
  <c r="AC23" i="33"/>
  <c r="W23" i="33"/>
  <c r="H19" i="33"/>
  <c r="AB19" i="33" s="1"/>
  <c r="G81" i="33"/>
  <c r="H17" i="33"/>
  <c r="U17" i="33" s="1"/>
  <c r="F17" i="33"/>
  <c r="AA17" i="33" s="1"/>
  <c r="W17" i="33"/>
  <c r="AC17" i="33"/>
  <c r="S37" i="21"/>
  <c r="J23" i="21"/>
  <c r="F85" i="21"/>
  <c r="G85" i="21"/>
  <c r="H23" i="21"/>
  <c r="D6" i="52"/>
  <c r="AP7" i="1"/>
  <c r="AB45" i="21"/>
  <c r="AA32" i="21"/>
  <c r="S32" i="21"/>
  <c r="W9" i="21"/>
  <c r="AC9" i="21"/>
  <c r="AB32" i="21"/>
  <c r="U32" i="21"/>
  <c r="U32" i="39"/>
  <c r="W19" i="37"/>
  <c r="AC19" i="37"/>
  <c r="AC23" i="37"/>
  <c r="H63" i="37"/>
  <c r="I63" i="37"/>
  <c r="J63" i="37" s="1"/>
  <c r="K63" i="37" s="1"/>
  <c r="L63" i="37" s="1"/>
  <c r="M63" i="37" s="1"/>
  <c r="J11" i="37"/>
  <c r="AC11" i="37" s="1"/>
  <c r="W27" i="33"/>
  <c r="AC27" i="33"/>
  <c r="S23" i="33"/>
  <c r="U19" i="33"/>
  <c r="AB17" i="33"/>
  <c r="U23" i="21"/>
  <c r="AB23" i="21"/>
  <c r="AC23" i="21"/>
  <c r="W23" i="21"/>
  <c r="H109" i="9"/>
  <c r="D16" i="53"/>
  <c r="B34" i="72" s="1"/>
  <c r="H112" i="9"/>
  <c r="D21" i="53"/>
  <c r="B39" i="72" s="1"/>
  <c r="H111" i="9"/>
  <c r="D126" i="9" s="1"/>
  <c r="D19" i="53"/>
  <c r="B38" i="72" s="1"/>
  <c r="AD3" i="71"/>
  <c r="J1" i="73"/>
  <c r="C24" i="12"/>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D19" i="71"/>
  <c r="M24" i="67"/>
  <c r="M23" i="67"/>
  <c r="F43" i="67"/>
  <c r="L47" i="67"/>
  <c r="F6" i="67"/>
  <c r="F42" i="67"/>
  <c r="B12" i="76"/>
  <c r="F7" i="67"/>
  <c r="F43" i="15"/>
  <c r="M6" i="15"/>
  <c r="F4" i="73"/>
  <c r="F9" i="67"/>
  <c r="F13" i="67"/>
  <c r="J15" i="67"/>
  <c r="B7" i="76"/>
  <c r="D4" i="73"/>
  <c r="F36" i="67"/>
  <c r="F6" i="15"/>
  <c r="F38" i="67"/>
  <c r="C76" i="67"/>
  <c r="M28" i="67"/>
  <c r="M22" i="15"/>
  <c r="F40" i="67"/>
  <c r="F26" i="67"/>
  <c r="M26" i="15"/>
  <c r="F37" i="67"/>
  <c r="C76" i="15"/>
  <c r="F5" i="73"/>
  <c r="F8" i="67"/>
  <c r="E8" i="76"/>
  <c r="E10" i="76"/>
  <c r="B13" i="76"/>
  <c r="AO13" i="1"/>
  <c r="M8" i="67"/>
  <c r="B10" i="76"/>
  <c r="F7" i="15"/>
  <c r="F37" i="15"/>
  <c r="B9" i="76"/>
  <c r="F8" i="15"/>
  <c r="D6" i="73"/>
  <c r="M6" i="67"/>
  <c r="F6" i="73"/>
  <c r="F7" i="73"/>
  <c r="M29" i="67"/>
  <c r="M23" i="15"/>
  <c r="E12" i="76"/>
  <c r="F26" i="15"/>
  <c r="M22" i="67"/>
  <c r="E11" i="76"/>
  <c r="L48" i="15"/>
  <c r="E2" i="69"/>
  <c r="F20" i="31"/>
  <c r="E2" i="68"/>
  <c r="F38" i="15"/>
  <c r="E9" i="76"/>
  <c r="F16" i="67"/>
  <c r="M26" i="67"/>
  <c r="F3" i="73"/>
  <c r="E7" i="76"/>
  <c r="B8" i="76"/>
  <c r="M29" i="15"/>
  <c r="B11" i="76"/>
  <c r="M9" i="67"/>
  <c r="E13" i="76"/>
  <c r="W37" i="33" l="1"/>
  <c r="AC37" i="33"/>
  <c r="AB31" i="37"/>
  <c r="U31" i="37"/>
  <c r="AA42" i="33"/>
  <c r="S42" i="33"/>
  <c r="S25" i="36"/>
  <c r="AA25" i="36"/>
  <c r="S29" i="37"/>
  <c r="AA29" i="37"/>
  <c r="AA45" i="21"/>
  <c r="S45" i="21"/>
  <c r="AC13" i="21"/>
  <c r="W13" i="21"/>
  <c r="S22" i="35"/>
  <c r="AA22" i="35"/>
  <c r="AC27" i="39"/>
  <c r="W27" i="39"/>
  <c r="G585" i="3"/>
  <c r="H5" i="3"/>
  <c r="BA586" i="3"/>
  <c r="AZ586" i="3" s="1"/>
  <c r="J28" i="21"/>
  <c r="F28" i="21"/>
  <c r="J46" i="21"/>
  <c r="H46" i="21"/>
  <c r="J23" i="35"/>
  <c r="H23" i="35"/>
  <c r="F23" i="35"/>
  <c r="AC22" i="35"/>
  <c r="W22" i="35"/>
  <c r="AC28" i="36"/>
  <c r="W28" i="36"/>
  <c r="U34" i="33"/>
  <c r="AB34" i="33"/>
  <c r="W37" i="37"/>
  <c r="AC37" i="37"/>
  <c r="AA28" i="40"/>
  <c r="S28" i="40"/>
  <c r="AB36" i="40"/>
  <c r="U36" i="40"/>
  <c r="AA19" i="39"/>
  <c r="S19" i="39"/>
  <c r="T20" i="71"/>
  <c r="S17" i="33"/>
  <c r="AB36" i="33"/>
  <c r="AB15" i="21"/>
  <c r="AB21" i="39"/>
  <c r="F13" i="21"/>
  <c r="S46" i="21"/>
  <c r="U28" i="21"/>
  <c r="F48" i="9"/>
  <c r="O52" i="9" s="1"/>
  <c r="F28" i="67"/>
  <c r="F32" i="67"/>
  <c r="F60" i="67" s="1"/>
  <c r="F28" i="15"/>
  <c r="F31" i="12"/>
  <c r="F30" i="69"/>
  <c r="F48" i="69" s="1"/>
  <c r="D68" i="9"/>
  <c r="S39" i="39"/>
  <c r="AA39" i="39"/>
  <c r="AB35" i="40"/>
  <c r="U35" i="40"/>
  <c r="W20" i="36"/>
  <c r="AC20" i="36"/>
  <c r="AZ334" i="3"/>
  <c r="S22" i="36"/>
  <c r="AA22" i="36"/>
  <c r="AB30" i="33"/>
  <c r="U30" i="33"/>
  <c r="AB45" i="33"/>
  <c r="U45" i="33"/>
  <c r="S35" i="37"/>
  <c r="AA35" i="37"/>
  <c r="AA35" i="39"/>
  <c r="S35" i="39"/>
  <c r="AB33" i="33"/>
  <c r="U33" i="33"/>
  <c r="AB32" i="35"/>
  <c r="U32" i="35"/>
  <c r="AB34" i="40"/>
  <c r="U34" i="40"/>
  <c r="C16" i="71"/>
  <c r="D17" i="71"/>
  <c r="D18" i="71"/>
  <c r="AC25" i="33"/>
  <c r="AA23" i="21"/>
  <c r="AB12" i="39"/>
  <c r="U12" i="39"/>
  <c r="U32" i="37"/>
  <c r="AB32" i="37"/>
  <c r="U20" i="36"/>
  <c r="AB20" i="36"/>
  <c r="AC35" i="21"/>
  <c r="BE5" i="3"/>
  <c r="W11" i="39"/>
  <c r="AC11" i="39"/>
  <c r="S14" i="40"/>
  <c r="U19" i="40"/>
  <c r="AB19" i="40"/>
  <c r="BQ5" i="3"/>
  <c r="F28" i="6" s="1"/>
  <c r="AZ559" i="3"/>
  <c r="S38" i="37"/>
  <c r="AA38" i="37"/>
  <c r="AA11" i="36"/>
  <c r="S11" i="36"/>
  <c r="AC15" i="33"/>
  <c r="W15" i="33"/>
  <c r="AA19" i="33"/>
  <c r="D20" i="71"/>
  <c r="U20" i="71" s="1"/>
  <c r="H69" i="43"/>
  <c r="W32" i="39"/>
  <c r="AB9" i="21"/>
  <c r="S36" i="33"/>
  <c r="U40" i="21"/>
  <c r="AB35" i="37"/>
  <c r="W34" i="33"/>
  <c r="AC34" i="33"/>
  <c r="AC5" i="3"/>
  <c r="AC19" i="40"/>
  <c r="W19" i="40"/>
  <c r="AA37" i="37"/>
  <c r="S37" i="37"/>
  <c r="AB23" i="37"/>
  <c r="U23" i="37"/>
  <c r="U32" i="33"/>
  <c r="W25" i="35"/>
  <c r="AC25" i="35"/>
  <c r="AA37" i="40"/>
  <c r="S37" i="40"/>
  <c r="S19" i="40"/>
  <c r="AA19" i="40"/>
  <c r="U17" i="37"/>
  <c r="AZ557" i="3"/>
  <c r="AZ545" i="3"/>
  <c r="AZ566" i="3"/>
  <c r="W17" i="40"/>
  <c r="AC17" i="40"/>
  <c r="AA24" i="36"/>
  <c r="AA11" i="40"/>
  <c r="S11" i="40"/>
  <c r="AB12" i="21"/>
  <c r="U12" i="21"/>
  <c r="B72" i="43"/>
  <c r="C15" i="39"/>
  <c r="AC24" i="35"/>
  <c r="W24" i="35"/>
  <c r="J11" i="36"/>
  <c r="AC11" i="36" s="1"/>
  <c r="H11" i="36"/>
  <c r="U11" i="36" s="1"/>
  <c r="AA26" i="37"/>
  <c r="S26" i="37"/>
  <c r="J13" i="37"/>
  <c r="H13" i="37"/>
  <c r="AZ575" i="3"/>
  <c r="BL573" i="3"/>
  <c r="AZ573" i="3" s="1"/>
  <c r="AZ570" i="3"/>
  <c r="BL567" i="3"/>
  <c r="AZ567" i="3" s="1"/>
  <c r="BA550" i="3"/>
  <c r="W17" i="21"/>
  <c r="AZ341" i="3"/>
  <c r="AZ309" i="3"/>
  <c r="AC28" i="37"/>
  <c r="W28" i="37"/>
  <c r="S14" i="33"/>
  <c r="AA14" i="33"/>
  <c r="AC16" i="35"/>
  <c r="AA14" i="35"/>
  <c r="AA17" i="39"/>
  <c r="S17" i="39"/>
  <c r="AA39" i="37"/>
  <c r="S39" i="37"/>
  <c r="W45" i="39"/>
  <c r="AC45" i="39"/>
  <c r="S36" i="21"/>
  <c r="AA36" i="21"/>
  <c r="BL587" i="3"/>
  <c r="AZ587" i="3" s="1"/>
  <c r="BL585" i="3"/>
  <c r="AZ585" i="3" s="1"/>
  <c r="B101" i="43"/>
  <c r="B79" i="43"/>
  <c r="AC34" i="35"/>
  <c r="W34" i="35"/>
  <c r="J9" i="35"/>
  <c r="H9" i="35"/>
  <c r="U9" i="35" s="1"/>
  <c r="AB12" i="36"/>
  <c r="U12" i="36"/>
  <c r="F12" i="36"/>
  <c r="J12" i="36"/>
  <c r="U39" i="40"/>
  <c r="AB39" i="40"/>
  <c r="BL550" i="3"/>
  <c r="BL543" i="3"/>
  <c r="AZ543" i="3" s="1"/>
  <c r="BL537" i="3"/>
  <c r="AZ529" i="3"/>
  <c r="BL527" i="3"/>
  <c r="AZ527" i="3" s="1"/>
  <c r="BL521" i="3"/>
  <c r="AZ521" i="3" s="1"/>
  <c r="AZ517" i="3"/>
  <c r="G509" i="3"/>
  <c r="AZ506" i="3"/>
  <c r="BL501" i="3"/>
  <c r="AZ501" i="3" s="1"/>
  <c r="BG5" i="3"/>
  <c r="BL497" i="3"/>
  <c r="BJ5" i="3"/>
  <c r="BN5" i="3"/>
  <c r="G29" i="6" s="1"/>
  <c r="AZ537" i="3"/>
  <c r="AZ555" i="3"/>
  <c r="AZ571" i="3"/>
  <c r="AZ554" i="3"/>
  <c r="U14" i="33"/>
  <c r="AB14" i="33"/>
  <c r="AB13" i="36"/>
  <c r="U13" i="36"/>
  <c r="AB39" i="37"/>
  <c r="U39" i="37"/>
  <c r="B99" i="43"/>
  <c r="C27" i="39"/>
  <c r="B76" i="43"/>
  <c r="F26" i="33"/>
  <c r="H26" i="33"/>
  <c r="J26" i="33"/>
  <c r="U27" i="35"/>
  <c r="AB27" i="35"/>
  <c r="AA30" i="37"/>
  <c r="S30" i="37"/>
  <c r="AA44" i="39"/>
  <c r="S44" i="39"/>
  <c r="F13" i="39"/>
  <c r="J13" i="39"/>
  <c r="AB35" i="39"/>
  <c r="U35" i="39"/>
  <c r="J43" i="39"/>
  <c r="F43" i="39"/>
  <c r="J37" i="39"/>
  <c r="H37" i="39"/>
  <c r="AB38" i="40"/>
  <c r="BL584" i="3"/>
  <c r="AZ584" i="3" s="1"/>
  <c r="BL583" i="3"/>
  <c r="BL582" i="3"/>
  <c r="AZ582" i="3" s="1"/>
  <c r="BA580" i="3"/>
  <c r="AZ580" i="3" s="1"/>
  <c r="W38" i="40"/>
  <c r="AB37" i="40"/>
  <c r="AB27" i="37"/>
  <c r="J27" i="37"/>
  <c r="F33" i="40"/>
  <c r="F27" i="21"/>
  <c r="AB8" i="39"/>
  <c r="U34" i="21"/>
  <c r="F45" i="39"/>
  <c r="AC25" i="37"/>
  <c r="H25" i="37"/>
  <c r="H40" i="40"/>
  <c r="J12" i="40"/>
  <c r="F12" i="40"/>
  <c r="J33" i="40"/>
  <c r="BA551" i="3"/>
  <c r="AZ551" i="3" s="1"/>
  <c r="AA34" i="39"/>
  <c r="S34" i="39"/>
  <c r="W40" i="40"/>
  <c r="AC40" i="40"/>
  <c r="U41" i="21"/>
  <c r="AB41" i="21"/>
  <c r="BA583" i="3"/>
  <c r="BA561" i="3"/>
  <c r="AZ561" i="3" s="1"/>
  <c r="G557" i="3"/>
  <c r="BL556" i="3"/>
  <c r="BL554" i="3"/>
  <c r="BA544" i="3"/>
  <c r="AZ544" i="3" s="1"/>
  <c r="BL539" i="3"/>
  <c r="AZ539" i="3" s="1"/>
  <c r="BL531" i="3"/>
  <c r="AZ531" i="3" s="1"/>
  <c r="BA525" i="3"/>
  <c r="AZ525" i="3" s="1"/>
  <c r="BL514" i="3"/>
  <c r="AZ514" i="3" s="1"/>
  <c r="BA505" i="3"/>
  <c r="AZ505" i="3" s="1"/>
  <c r="BA497" i="3"/>
  <c r="AZ497" i="3" s="1"/>
  <c r="BA496" i="3"/>
  <c r="B97" i="43"/>
  <c r="B75" i="43"/>
  <c r="AA34" i="40"/>
  <c r="S34" i="40"/>
  <c r="F40" i="40"/>
  <c r="BL577" i="3"/>
  <c r="BA577" i="3"/>
  <c r="BL574" i="3"/>
  <c r="AZ574" i="3" s="1"/>
  <c r="BL572" i="3"/>
  <c r="AZ572" i="3" s="1"/>
  <c r="BL569" i="3"/>
  <c r="BA569" i="3"/>
  <c r="G568" i="3"/>
  <c r="G559" i="3"/>
  <c r="BL558" i="3"/>
  <c r="AZ558" i="3" s="1"/>
  <c r="BA556" i="3"/>
  <c r="AZ556" i="3" s="1"/>
  <c r="BA552" i="3"/>
  <c r="AZ552" i="3" s="1"/>
  <c r="BA549" i="3"/>
  <c r="AZ549" i="3" s="1"/>
  <c r="BL547" i="3"/>
  <c r="AZ547" i="3" s="1"/>
  <c r="BA541" i="3"/>
  <c r="AZ541" i="3" s="1"/>
  <c r="BA540" i="3"/>
  <c r="AZ540" i="3" s="1"/>
  <c r="BL536" i="3"/>
  <c r="BA536" i="3"/>
  <c r="AZ536" i="3" s="1"/>
  <c r="BL534" i="3"/>
  <c r="AZ534" i="3" s="1"/>
  <c r="BA533" i="3"/>
  <c r="AZ533" i="3" s="1"/>
  <c r="BA532" i="3"/>
  <c r="AZ532" i="3" s="1"/>
  <c r="G532" i="3"/>
  <c r="BL528" i="3"/>
  <c r="AZ528" i="3" s="1"/>
  <c r="BL523" i="3"/>
  <c r="AZ523" i="3" s="1"/>
  <c r="G523" i="3"/>
  <c r="BL520" i="3"/>
  <c r="AZ520" i="3" s="1"/>
  <c r="BL519" i="3"/>
  <c r="AZ519" i="3" s="1"/>
  <c r="BL516" i="3"/>
  <c r="AZ516" i="3" s="1"/>
  <c r="BA515" i="3"/>
  <c r="AZ515" i="3" s="1"/>
  <c r="BA512" i="3"/>
  <c r="AZ512" i="3" s="1"/>
  <c r="BL511" i="3"/>
  <c r="AZ511" i="3" s="1"/>
  <c r="BA508" i="3"/>
  <c r="AZ508" i="3" s="1"/>
  <c r="BL507" i="3"/>
  <c r="AZ507" i="3" s="1"/>
  <c r="BA502" i="3"/>
  <c r="AZ502" i="3" s="1"/>
  <c r="BL498" i="3"/>
  <c r="AZ498" i="3" s="1"/>
  <c r="BL496" i="3"/>
  <c r="AZ316" i="3"/>
  <c r="AZ405" i="3"/>
  <c r="AZ409" i="3"/>
  <c r="AZ415" i="3"/>
  <c r="AZ426" i="3"/>
  <c r="AZ429" i="3"/>
  <c r="AZ439" i="3"/>
  <c r="AZ449" i="3"/>
  <c r="AZ464" i="3"/>
  <c r="AZ403" i="3"/>
  <c r="AZ407" i="3"/>
  <c r="AZ416" i="3"/>
  <c r="AZ419" i="3"/>
  <c r="AZ427" i="3"/>
  <c r="AZ430" i="3"/>
  <c r="AZ431" i="3"/>
  <c r="AZ440" i="3"/>
  <c r="AZ451" i="3"/>
  <c r="AZ474" i="3"/>
  <c r="AZ481" i="3"/>
  <c r="AZ486" i="3"/>
  <c r="AZ406" i="3"/>
  <c r="AZ413" i="3"/>
  <c r="AZ422" i="3"/>
  <c r="AZ423" i="3"/>
  <c r="AZ424" i="3"/>
  <c r="AZ434" i="3"/>
  <c r="AZ475" i="3"/>
  <c r="AZ332" i="3"/>
  <c r="A15" i="62"/>
  <c r="B61" i="72" s="1"/>
  <c r="G448" i="3"/>
  <c r="AZ454" i="3"/>
  <c r="AZ455" i="3"/>
  <c r="BA476" i="3"/>
  <c r="AZ476" i="3" s="1"/>
  <c r="AZ479" i="3"/>
  <c r="BL480" i="3"/>
  <c r="AZ480" i="3" s="1"/>
  <c r="BL483" i="3"/>
  <c r="AZ483" i="3" s="1"/>
  <c r="G485" i="3"/>
  <c r="BL488" i="3"/>
  <c r="BL490" i="3"/>
  <c r="AZ490" i="3" s="1"/>
  <c r="BL316" i="3"/>
  <c r="BA331" i="3"/>
  <c r="AZ331" i="3" s="1"/>
  <c r="AZ395" i="3"/>
  <c r="AZ397" i="3"/>
  <c r="AZ219" i="3"/>
  <c r="AZ220" i="3"/>
  <c r="AZ246" i="3"/>
  <c r="AZ252" i="3"/>
  <c r="AZ255" i="3"/>
  <c r="AZ278" i="3"/>
  <c r="AZ302" i="3"/>
  <c r="BL442" i="3"/>
  <c r="BA447" i="3"/>
  <c r="AZ447" i="3" s="1"/>
  <c r="BA456" i="3"/>
  <c r="AZ456" i="3" s="1"/>
  <c r="BL458" i="3"/>
  <c r="BL461" i="3"/>
  <c r="AZ461" i="3" s="1"/>
  <c r="BA463" i="3"/>
  <c r="AZ463" i="3" s="1"/>
  <c r="G466" i="3"/>
  <c r="BL468" i="3"/>
  <c r="AZ468" i="3" s="1"/>
  <c r="AZ487" i="3"/>
  <c r="AZ488" i="3"/>
  <c r="BA303" i="3"/>
  <c r="AZ303" i="3" s="1"/>
  <c r="BL324" i="3"/>
  <c r="AZ324" i="3" s="1"/>
  <c r="BA335" i="3"/>
  <c r="AZ335" i="3" s="1"/>
  <c r="AZ244" i="3"/>
  <c r="AZ247" i="3"/>
  <c r="BA13" i="3"/>
  <c r="BA442" i="3"/>
  <c r="AZ442" i="3" s="1"/>
  <c r="BL446" i="3"/>
  <c r="AZ446" i="3" s="1"/>
  <c r="BL450" i="3"/>
  <c r="AZ450" i="3" s="1"/>
  <c r="BL454" i="3"/>
  <c r="G456" i="3"/>
  <c r="BA458" i="3"/>
  <c r="AZ458" i="3" s="1"/>
  <c r="G463" i="3"/>
  <c r="BL465" i="3"/>
  <c r="AZ465" i="3" s="1"/>
  <c r="G470" i="3"/>
  <c r="BL472" i="3"/>
  <c r="AZ472" i="3" s="1"/>
  <c r="BL475" i="3"/>
  <c r="G477" i="3"/>
  <c r="BA484" i="3"/>
  <c r="AZ484" i="3" s="1"/>
  <c r="BA489" i="3"/>
  <c r="AZ489" i="3" s="1"/>
  <c r="BA315" i="3"/>
  <c r="AZ315" i="3" s="1"/>
  <c r="BL332" i="3"/>
  <c r="BL340" i="3"/>
  <c r="AZ340" i="3" s="1"/>
  <c r="AZ211" i="3"/>
  <c r="AZ212" i="3"/>
  <c r="AZ226" i="3"/>
  <c r="AZ236" i="3"/>
  <c r="AZ262" i="3"/>
  <c r="AZ264" i="3"/>
  <c r="AZ272" i="3"/>
  <c r="AZ274" i="3"/>
  <c r="AZ289" i="3"/>
  <c r="AZ292" i="3"/>
  <c r="AZ294" i="3"/>
  <c r="AZ298" i="3"/>
  <c r="BL121" i="3"/>
  <c r="AZ121" i="3" s="1"/>
  <c r="BA125" i="3"/>
  <c r="AZ125" i="3" s="1"/>
  <c r="BL131" i="3"/>
  <c r="AZ131" i="3" s="1"/>
  <c r="BA134" i="3"/>
  <c r="AZ134" i="3" s="1"/>
  <c r="BA141" i="3"/>
  <c r="AZ141" i="3" s="1"/>
  <c r="BL149" i="3"/>
  <c r="AZ149" i="3" s="1"/>
  <c r="G116" i="3"/>
  <c r="BL123" i="3"/>
  <c r="AZ123" i="3" s="1"/>
  <c r="BL133" i="3"/>
  <c r="AZ133" i="3" s="1"/>
  <c r="BA138" i="3"/>
  <c r="AZ138" i="3" s="1"/>
  <c r="BA146" i="3"/>
  <c r="AZ146" i="3" s="1"/>
  <c r="BL150" i="3"/>
  <c r="AZ150" i="3" s="1"/>
  <c r="BL158" i="3"/>
  <c r="AZ158" i="3" s="1"/>
  <c r="BL118" i="3"/>
  <c r="AZ118" i="3" s="1"/>
  <c r="BA122" i="3"/>
  <c r="AZ122" i="3" s="1"/>
  <c r="G139" i="3"/>
  <c r="G142" i="3"/>
  <c r="BL147" i="3"/>
  <c r="AZ147" i="3" s="1"/>
  <c r="AZ153" i="3"/>
  <c r="BL167" i="3"/>
  <c r="AZ167" i="3" s="1"/>
  <c r="G131" i="3"/>
  <c r="BL139" i="3"/>
  <c r="AZ139" i="3" s="1"/>
  <c r="G147" i="3"/>
  <c r="BL155" i="3"/>
  <c r="AZ155" i="3" s="1"/>
  <c r="G159" i="3"/>
  <c r="BA161" i="3"/>
  <c r="AZ161" i="3" s="1"/>
  <c r="BL165" i="3"/>
  <c r="AZ165" i="3" s="1"/>
  <c r="G168" i="3"/>
  <c r="BA172" i="3"/>
  <c r="AZ172" i="3" s="1"/>
  <c r="BL179" i="3"/>
  <c r="AZ179" i="3" s="1"/>
  <c r="BL182" i="3"/>
  <c r="AZ182" i="3" s="1"/>
  <c r="BA186" i="3"/>
  <c r="AZ186" i="3" s="1"/>
  <c r="BA190" i="3"/>
  <c r="AZ190" i="3" s="1"/>
  <c r="BA192" i="3"/>
  <c r="AZ192" i="3" s="1"/>
  <c r="G194" i="3"/>
  <c r="AZ205" i="3"/>
  <c r="BL206" i="3"/>
  <c r="AZ206" i="3" s="1"/>
  <c r="G20" i="3"/>
  <c r="G5" i="3" s="1"/>
  <c r="B3" i="3" s="1"/>
  <c r="G22" i="3"/>
  <c r="BA25" i="3"/>
  <c r="AZ25" i="3" s="1"/>
  <c r="G28" i="3"/>
  <c r="G30" i="3"/>
  <c r="BL31" i="3"/>
  <c r="AZ31" i="3" s="1"/>
  <c r="BA34" i="3"/>
  <c r="AZ34" i="3" s="1"/>
  <c r="BA37" i="3"/>
  <c r="AZ37" i="3" s="1"/>
  <c r="BA39" i="3"/>
  <c r="AZ39" i="3" s="1"/>
  <c r="BA42" i="3"/>
  <c r="AZ42" i="3" s="1"/>
  <c r="G45" i="3"/>
  <c r="BL46" i="3"/>
  <c r="BL49" i="3"/>
  <c r="AZ49" i="3" s="1"/>
  <c r="BA52" i="3"/>
  <c r="AZ52" i="3" s="1"/>
  <c r="BA55" i="3"/>
  <c r="AZ55" i="3" s="1"/>
  <c r="AZ57" i="3"/>
  <c r="BA58" i="3"/>
  <c r="AZ58" i="3" s="1"/>
  <c r="G61" i="3"/>
  <c r="BL62" i="3"/>
  <c r="BL65" i="3"/>
  <c r="AZ65" i="3" s="1"/>
  <c r="BA68" i="3"/>
  <c r="AZ68" i="3" s="1"/>
  <c r="G75" i="3"/>
  <c r="BL76" i="3"/>
  <c r="AZ81" i="3"/>
  <c r="AZ87" i="3"/>
  <c r="G92" i="3"/>
  <c r="BL170" i="3"/>
  <c r="AZ170" i="3" s="1"/>
  <c r="G174" i="3"/>
  <c r="G179" i="3"/>
  <c r="BL185" i="3"/>
  <c r="AZ185" i="3" s="1"/>
  <c r="AA18" i="36"/>
  <c r="S18" i="36"/>
  <c r="BA181" i="3"/>
  <c r="AZ181" i="3" s="1"/>
  <c r="BL187" i="3"/>
  <c r="AZ187" i="3" s="1"/>
  <c r="G191" i="3"/>
  <c r="BA193" i="3"/>
  <c r="AZ193" i="3" s="1"/>
  <c r="BL197" i="3"/>
  <c r="AZ197" i="3" s="1"/>
  <c r="G200" i="3"/>
  <c r="BA207" i="3"/>
  <c r="AZ207" i="3" s="1"/>
  <c r="BA19" i="3"/>
  <c r="AZ19" i="3" s="1"/>
  <c r="BA21" i="3"/>
  <c r="AZ21" i="3" s="1"/>
  <c r="AZ23" i="3"/>
  <c r="BL24" i="3"/>
  <c r="AZ24" i="3" s="1"/>
  <c r="BA27" i="3"/>
  <c r="AZ27" i="3" s="1"/>
  <c r="BA29" i="3"/>
  <c r="AZ29" i="3" s="1"/>
  <c r="BA32" i="3"/>
  <c r="AZ32" i="3" s="1"/>
  <c r="G35" i="3"/>
  <c r="BL36" i="3"/>
  <c r="AZ36" i="3" s="1"/>
  <c r="G40" i="3"/>
  <c r="BL41" i="3"/>
  <c r="AZ41" i="3" s="1"/>
  <c r="BA44" i="3"/>
  <c r="AZ44" i="3" s="1"/>
  <c r="AZ46" i="3"/>
  <c r="BA47" i="3"/>
  <c r="AZ47" i="3" s="1"/>
  <c r="BA50" i="3"/>
  <c r="AZ50" i="3" s="1"/>
  <c r="G53" i="3"/>
  <c r="BL54" i="3"/>
  <c r="AZ54" i="3" s="1"/>
  <c r="BL57" i="3"/>
  <c r="BA60" i="3"/>
  <c r="AZ60" i="3" s="1"/>
  <c r="AZ62" i="3"/>
  <c r="BA63" i="3"/>
  <c r="AZ63" i="3" s="1"/>
  <c r="BA66" i="3"/>
  <c r="AZ66" i="3" s="1"/>
  <c r="AZ76" i="3"/>
  <c r="AZ78" i="3"/>
  <c r="BL94" i="3"/>
  <c r="AZ95" i="3"/>
  <c r="BL69" i="3"/>
  <c r="AZ69" i="3" s="1"/>
  <c r="G73" i="3"/>
  <c r="BL79" i="3"/>
  <c r="AZ79" i="3" s="1"/>
  <c r="G85" i="3"/>
  <c r="BA94" i="3"/>
  <c r="BA104" i="3"/>
  <c r="AZ104" i="3" s="1"/>
  <c r="BA106" i="3"/>
  <c r="BL108" i="3"/>
  <c r="AZ108" i="3" s="1"/>
  <c r="BA111" i="3"/>
  <c r="AZ111" i="3" s="1"/>
  <c r="AB18" i="35"/>
  <c r="U18" i="35"/>
  <c r="D87" i="71"/>
  <c r="C86" i="71"/>
  <c r="D86" i="71" s="1"/>
  <c r="AB38" i="71"/>
  <c r="AB33" i="71"/>
  <c r="AB37" i="71"/>
  <c r="AB35" i="71"/>
  <c r="AB30" i="71"/>
  <c r="AA23" i="71"/>
  <c r="AA25" i="71"/>
  <c r="P66" i="71"/>
  <c r="F30" i="71"/>
  <c r="F31" i="71" s="1"/>
  <c r="F32" i="71" s="1"/>
  <c r="V32" i="71" s="1"/>
  <c r="AB29" i="71"/>
  <c r="AB27" i="71"/>
  <c r="AB25" i="71"/>
  <c r="AA27" i="71"/>
  <c r="AA28" i="71"/>
  <c r="AA34" i="71"/>
  <c r="S76" i="71"/>
  <c r="B75" i="71"/>
  <c r="B74" i="71" s="1"/>
  <c r="AA22" i="71"/>
  <c r="AA3" i="71"/>
  <c r="AA18" i="71"/>
  <c r="Y14" i="71"/>
  <c r="Z14" i="71" s="1"/>
  <c r="Y17" i="71"/>
  <c r="Z17" i="71" s="1"/>
  <c r="BA77" i="3"/>
  <c r="AZ77" i="3" s="1"/>
  <c r="BA92" i="3"/>
  <c r="AZ92" i="3" s="1"/>
  <c r="BA97" i="3"/>
  <c r="AZ97" i="3" s="1"/>
  <c r="B13" i="1"/>
  <c r="E13" i="1" s="1"/>
  <c r="K13" i="1"/>
  <c r="M13" i="1" s="1"/>
  <c r="O13" i="1" s="1"/>
  <c r="P13" i="1" s="1"/>
  <c r="C7" i="83"/>
  <c r="C59" i="83" s="1"/>
  <c r="C7" i="82"/>
  <c r="C59" i="82" s="1"/>
  <c r="U21" i="33"/>
  <c r="AB21" i="33"/>
  <c r="P27" i="6"/>
  <c r="T64" i="71"/>
  <c r="D64" i="71"/>
  <c r="Y33" i="71"/>
  <c r="Z33" i="71" s="1"/>
  <c r="AB32" i="71"/>
  <c r="C34" i="71"/>
  <c r="Y27" i="71"/>
  <c r="Z27" i="71" s="1"/>
  <c r="Y25" i="71"/>
  <c r="Z25" i="71" s="1"/>
  <c r="F39" i="71"/>
  <c r="F40" i="71" s="1"/>
  <c r="V40" i="71" s="1"/>
  <c r="X24" i="71"/>
  <c r="AA24" i="71"/>
  <c r="BA70" i="3"/>
  <c r="AZ70" i="3" s="1"/>
  <c r="BL74" i="3"/>
  <c r="AZ74" i="3" s="1"/>
  <c r="BA82" i="3"/>
  <c r="AZ82" i="3" s="1"/>
  <c r="BA86" i="3"/>
  <c r="AZ86" i="3" s="1"/>
  <c r="BL91" i="3"/>
  <c r="AZ91" i="3" s="1"/>
  <c r="G95" i="3"/>
  <c r="BL100" i="3"/>
  <c r="AZ100" i="3" s="1"/>
  <c r="BA103" i="3"/>
  <c r="AZ103" i="3" s="1"/>
  <c r="BL106" i="3"/>
  <c r="BA109" i="3"/>
  <c r="AZ109" i="3" s="1"/>
  <c r="AC21" i="33"/>
  <c r="W21" i="33"/>
  <c r="AC29" i="39"/>
  <c r="W29" i="39"/>
  <c r="B88" i="43"/>
  <c r="C25" i="40"/>
  <c r="AB26" i="71"/>
  <c r="AA31" i="71"/>
  <c r="Y30" i="71"/>
  <c r="Z30" i="71" s="1"/>
  <c r="Y31" i="71"/>
  <c r="Z31" i="71" s="1"/>
  <c r="X32" i="71"/>
  <c r="X27" i="71"/>
  <c r="X30" i="71"/>
  <c r="X31" i="71"/>
  <c r="X25" i="71"/>
  <c r="X35" i="71"/>
  <c r="X34" i="71"/>
  <c r="AB36" i="71"/>
  <c r="C38" i="71"/>
  <c r="Y35" i="71"/>
  <c r="Z35" i="71" s="1"/>
  <c r="Y36" i="71"/>
  <c r="Z36" i="71" s="1"/>
  <c r="Y37" i="71"/>
  <c r="Z37" i="71" s="1"/>
  <c r="C43" i="71"/>
  <c r="D42" i="71"/>
  <c r="B59" i="71"/>
  <c r="B60" i="71" s="1"/>
  <c r="S60" i="71" s="1"/>
  <c r="Q66" i="71"/>
  <c r="Q65" i="71"/>
  <c r="E38" i="71"/>
  <c r="E39" i="71" s="1"/>
  <c r="E40" i="71" s="1"/>
  <c r="U40" i="71" s="1"/>
  <c r="AA37" i="71"/>
  <c r="Y9" i="71"/>
  <c r="Z9" i="71" s="1"/>
  <c r="Y10" i="71"/>
  <c r="Z10" i="71" s="1"/>
  <c r="F55" i="71"/>
  <c r="F56" i="71" s="1"/>
  <c r="V56" i="71" s="1"/>
  <c r="Y26" i="71"/>
  <c r="Z26" i="71" s="1"/>
  <c r="AB24" i="71"/>
  <c r="Y24" i="71"/>
  <c r="Z24" i="71" s="1"/>
  <c r="Y21" i="71"/>
  <c r="Z21" i="71" s="1"/>
  <c r="Y22" i="71"/>
  <c r="Z22" i="71" s="1"/>
  <c r="Y13" i="71"/>
  <c r="Z13" i="71" s="1"/>
  <c r="Y23" i="71"/>
  <c r="Z23" i="71" s="1"/>
  <c r="X21" i="71"/>
  <c r="AA21" i="71"/>
  <c r="X18" i="71"/>
  <c r="AA15" i="71"/>
  <c r="AA13" i="71"/>
  <c r="AA14" i="71"/>
  <c r="AA11" i="71"/>
  <c r="AA12" i="71"/>
  <c r="AA17" i="71"/>
  <c r="X28" i="71"/>
  <c r="Y29" i="71"/>
  <c r="Z29" i="71" s="1"/>
  <c r="AA30" i="71"/>
  <c r="Y32" i="71"/>
  <c r="Z32" i="71" s="1"/>
  <c r="AA9" i="71"/>
  <c r="AA39" i="71"/>
  <c r="AA10" i="71"/>
  <c r="V68" i="71"/>
  <c r="Q68" i="71"/>
  <c r="T72" i="71"/>
  <c r="E22" i="71"/>
  <c r="E21" i="71" s="1"/>
  <c r="E20" i="71" s="1"/>
  <c r="X22" i="71"/>
  <c r="AB17" i="71"/>
  <c r="U29" i="39"/>
  <c r="Y28" i="71"/>
  <c r="Z28" i="71" s="1"/>
  <c r="X29" i="71"/>
  <c r="AB31" i="71"/>
  <c r="AA32" i="71"/>
  <c r="AB10" i="71"/>
  <c r="AB9" i="71"/>
  <c r="AB21" i="71"/>
  <c r="AB23" i="71"/>
  <c r="AB14" i="71"/>
  <c r="Y18" i="71"/>
  <c r="Z18" i="71" s="1"/>
  <c r="AB18" i="71"/>
  <c r="X11" i="71"/>
  <c r="X17" i="71"/>
  <c r="X12" i="71"/>
  <c r="AB13" i="71"/>
  <c r="N56" i="9"/>
  <c r="AB15" i="71"/>
  <c r="AB11" i="71"/>
  <c r="Y11" i="71"/>
  <c r="Z11" i="71" s="1"/>
  <c r="X15" i="71"/>
  <c r="AB12" i="71"/>
  <c r="Y12" i="71"/>
  <c r="Z12" i="71" s="1"/>
  <c r="X13" i="71"/>
  <c r="X9" i="71"/>
  <c r="X10" i="71"/>
  <c r="X14" i="71"/>
  <c r="C34" i="83"/>
  <c r="H50" i="43"/>
  <c r="H67" i="43"/>
  <c r="F6" i="1"/>
  <c r="C28" i="67"/>
  <c r="C21" i="68"/>
  <c r="C40" i="69"/>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L19" i="6"/>
  <c r="L27" i="6" s="1"/>
  <c r="M6" i="1"/>
  <c r="O6" i="1" s="1"/>
  <c r="T13" i="1"/>
  <c r="C58" i="21"/>
  <c r="D58" i="21" s="1"/>
  <c r="C58" i="33"/>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F50" i="15"/>
  <c r="F51" i="15"/>
  <c r="F71" i="15"/>
  <c r="F66" i="67"/>
  <c r="F66" i="15"/>
  <c r="Q71" i="67"/>
  <c r="C27" i="67"/>
  <c r="F71" i="67"/>
  <c r="C27" i="15"/>
  <c r="F65" i="15"/>
  <c r="N59" i="67"/>
  <c r="L59" i="67"/>
  <c r="M59" i="67"/>
  <c r="B13" i="70"/>
  <c r="M7" i="67"/>
  <c r="J6" i="67" s="1"/>
  <c r="F50" i="67"/>
  <c r="F68" i="67"/>
  <c r="F64" i="67"/>
  <c r="C36" i="68"/>
  <c r="D9" i="68"/>
  <c r="D5" i="73"/>
  <c r="F16" i="15"/>
  <c r="M9" i="15"/>
  <c r="G1" i="73"/>
  <c r="L47" i="15"/>
  <c r="F9" i="15"/>
  <c r="L48" i="67"/>
  <c r="D7" i="73"/>
  <c r="F27" i="69"/>
  <c r="F42" i="15"/>
  <c r="F36" i="15"/>
  <c r="D9" i="69"/>
  <c r="M28" i="15"/>
  <c r="C16" i="67"/>
  <c r="F40" i="15"/>
  <c r="D3" i="73"/>
  <c r="M8" i="15"/>
  <c r="M24" i="15"/>
  <c r="J15" i="15"/>
  <c r="C36" i="69"/>
  <c r="F13" i="15"/>
  <c r="L59" i="15" l="1"/>
  <c r="L58" i="15"/>
  <c r="M59" i="15"/>
  <c r="N59" i="15"/>
  <c r="F68" i="15"/>
  <c r="C6" i="15"/>
  <c r="F64" i="15"/>
  <c r="E329" i="3"/>
  <c r="E105" i="3"/>
  <c r="E422" i="3"/>
  <c r="E483" i="3"/>
  <c r="E202" i="3"/>
  <c r="E60" i="3"/>
  <c r="E98" i="3"/>
  <c r="E163" i="3"/>
  <c r="E307" i="3"/>
  <c r="E66" i="3"/>
  <c r="E127" i="3"/>
  <c r="E82" i="3"/>
  <c r="E16" i="3"/>
  <c r="E486" i="3"/>
  <c r="E346" i="3"/>
  <c r="E47" i="3"/>
  <c r="E248" i="3"/>
  <c r="E354" i="3"/>
  <c r="E87" i="3"/>
  <c r="E51" i="3"/>
  <c r="E323" i="3"/>
  <c r="E223" i="3"/>
  <c r="E490" i="3"/>
  <c r="E25" i="3"/>
  <c r="E372" i="3"/>
  <c r="E65" i="3"/>
  <c r="E209" i="3"/>
  <c r="E584" i="3"/>
  <c r="E250" i="3"/>
  <c r="E19" i="3"/>
  <c r="E373" i="3"/>
  <c r="E48" i="3"/>
  <c r="E493" i="3"/>
  <c r="AH6" i="3"/>
  <c r="E178" i="3"/>
  <c r="E540" i="3"/>
  <c r="E138" i="3"/>
  <c r="E266" i="3"/>
  <c r="E24" i="3"/>
  <c r="E284" i="3"/>
  <c r="E154" i="3"/>
  <c r="E543" i="3"/>
  <c r="E498" i="3"/>
  <c r="E226" i="3"/>
  <c r="E15" i="3"/>
  <c r="E195" i="3"/>
  <c r="E386" i="3"/>
  <c r="E341" i="3"/>
  <c r="E222"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Y6" i="3"/>
  <c r="E283" i="3"/>
  <c r="E6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9" i="71"/>
  <c r="E18" i="71" s="1"/>
  <c r="E17" i="71" s="1"/>
  <c r="E16" i="71" s="1"/>
  <c r="V20" i="71"/>
  <c r="C44" i="71"/>
  <c r="D43" i="71"/>
  <c r="C39" i="71"/>
  <c r="D38" i="71"/>
  <c r="E179" i="3"/>
  <c r="E463" i="3"/>
  <c r="AZ569" i="3"/>
  <c r="AZ577" i="3"/>
  <c r="AA12" i="40"/>
  <c r="S12" i="40"/>
  <c r="AA27" i="21"/>
  <c r="S27" i="21"/>
  <c r="AC37" i="39"/>
  <c r="W37" i="39"/>
  <c r="AA23" i="35"/>
  <c r="S23" i="35"/>
  <c r="W46" i="21"/>
  <c r="AC46" i="21"/>
  <c r="J6" i="15"/>
  <c r="J18" i="15" s="1"/>
  <c r="M23" i="43"/>
  <c r="U16" i="71"/>
  <c r="B15" i="71"/>
  <c r="B14" i="71" s="1"/>
  <c r="B13" i="71" s="1"/>
  <c r="B12" i="71" s="1"/>
  <c r="S16" i="71"/>
  <c r="AZ106" i="3"/>
  <c r="W12" i="40"/>
  <c r="AC12" i="40"/>
  <c r="S45" i="39"/>
  <c r="AA45" i="39"/>
  <c r="S33" i="40"/>
  <c r="AA33" i="40"/>
  <c r="AA43" i="39"/>
  <c r="S43" i="39"/>
  <c r="W13" i="39"/>
  <c r="AC13" i="39"/>
  <c r="W26" i="33"/>
  <c r="AC26" i="33"/>
  <c r="W12" i="36"/>
  <c r="AC12" i="36"/>
  <c r="AZ550" i="3"/>
  <c r="C15" i="71"/>
  <c r="T16" i="71"/>
  <c r="AA13" i="21"/>
  <c r="S13" i="21"/>
  <c r="U23" i="35"/>
  <c r="AB23" i="35"/>
  <c r="AA28" i="21"/>
  <c r="S28" i="21"/>
  <c r="C35" i="71"/>
  <c r="D34" i="71"/>
  <c r="D59" i="82"/>
  <c r="E59" i="82" s="1"/>
  <c r="F59" i="82" s="1"/>
  <c r="G59" i="82" s="1"/>
  <c r="H59" i="82" s="1"/>
  <c r="I59" i="82" s="1"/>
  <c r="J59" i="82" s="1"/>
  <c r="K59" i="82" s="1"/>
  <c r="L59" i="82" s="1"/>
  <c r="M59" i="82" s="1"/>
  <c r="N59" i="82" s="1"/>
  <c r="O59" i="82" s="1"/>
  <c r="J7" i="82"/>
  <c r="H7" i="82"/>
  <c r="F7" i="82"/>
  <c r="AA40" i="40"/>
  <c r="S40" i="40"/>
  <c r="U40" i="40"/>
  <c r="AB40" i="40"/>
  <c r="AC27" i="37"/>
  <c r="W27" i="37"/>
  <c r="W43" i="39"/>
  <c r="AC43" i="39"/>
  <c r="AA13" i="39"/>
  <c r="S13" i="39"/>
  <c r="AB26" i="33"/>
  <c r="U26" i="33"/>
  <c r="S12" i="36"/>
  <c r="AA12" i="36"/>
  <c r="W9" i="35"/>
  <c r="AC9" i="35"/>
  <c r="AB13" i="37"/>
  <c r="U13" i="37"/>
  <c r="BL5" i="3"/>
  <c r="AC23" i="35"/>
  <c r="W23" i="35"/>
  <c r="W28" i="21"/>
  <c r="AC28" i="21"/>
  <c r="J7" i="36"/>
  <c r="D59" i="83"/>
  <c r="E59" i="83" s="1"/>
  <c r="F59" i="83" s="1"/>
  <c r="G59" i="83" s="1"/>
  <c r="H59" i="83" s="1"/>
  <c r="I59" i="83" s="1"/>
  <c r="J59" i="83" s="1"/>
  <c r="K59" i="83" s="1"/>
  <c r="L59" i="83" s="1"/>
  <c r="M59" i="83" s="1"/>
  <c r="N59" i="83" s="1"/>
  <c r="O59" i="83" s="1"/>
  <c r="F7" i="83"/>
  <c r="J7" i="83"/>
  <c r="AZ94" i="3"/>
  <c r="AZ5" i="3" s="1"/>
  <c r="BA5" i="3"/>
  <c r="E27" i="6" s="1"/>
  <c r="K26" i="6" s="1"/>
  <c r="M26" i="6" s="1"/>
  <c r="I26" i="6" s="1"/>
  <c r="S26" i="6" s="1"/>
  <c r="AZ496" i="3"/>
  <c r="AZ583" i="3"/>
  <c r="W33" i="40"/>
  <c r="AC33" i="40"/>
  <c r="U25" i="37"/>
  <c r="AB25" i="37"/>
  <c r="U37" i="39"/>
  <c r="AB37" i="39"/>
  <c r="AA26" i="33"/>
  <c r="S26" i="33"/>
  <c r="W13" i="37"/>
  <c r="AC13" i="37"/>
  <c r="AB46" i="21"/>
  <c r="U46" i="21"/>
  <c r="C42" i="82"/>
  <c r="J34" i="82"/>
  <c r="F34" i="82"/>
  <c r="H34" i="82"/>
  <c r="C42" i="83"/>
  <c r="F34" i="83"/>
  <c r="J34" i="83"/>
  <c r="H34" i="83"/>
  <c r="H7" i="36"/>
  <c r="J53" i="67"/>
  <c r="F1" i="67" s="1"/>
  <c r="L56" i="67"/>
  <c r="J57" i="67"/>
  <c r="J55" i="67" s="1"/>
  <c r="J58" i="67" s="1"/>
  <c r="Q50" i="67" s="1"/>
  <c r="I54" i="67"/>
  <c r="L58" i="67"/>
  <c r="Q60" i="67" s="1"/>
  <c r="G6" i="1"/>
  <c r="G16" i="1" s="1"/>
  <c r="F10" i="39" s="1"/>
  <c r="AA10" i="39" s="1"/>
  <c r="I24" i="43"/>
  <c r="C24" i="43" s="1"/>
  <c r="N370" i="46"/>
  <c r="G26" i="43"/>
  <c r="D18" i="53"/>
  <c r="B35" i="72" s="1"/>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H10" i="39"/>
  <c r="U10" i="39" s="1"/>
  <c r="J10" i="39"/>
  <c r="W10" i="39" s="1"/>
  <c r="D26" i="43"/>
  <c r="C25" i="43" s="1"/>
  <c r="C7" i="43"/>
  <c r="C5" i="43" s="1"/>
  <c r="D10" i="52"/>
  <c r="D125" i="9"/>
  <c r="D11" i="52" s="1"/>
  <c r="B7" i="74"/>
  <c r="C7" i="74" s="1"/>
  <c r="F67" i="39"/>
  <c r="E69" i="39"/>
  <c r="F59" i="67"/>
  <c r="H7" i="37"/>
  <c r="AB7" i="37" s="1"/>
  <c r="T42" i="37" s="1"/>
  <c r="G42" i="37" s="1"/>
  <c r="B40" i="1"/>
  <c r="L36" i="4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M11" i="67"/>
  <c r="J10" i="67" s="1"/>
  <c r="J5" i="67" s="1"/>
  <c r="F11" i="15"/>
  <c r="M11" i="15"/>
  <c r="J10" i="15" s="1"/>
  <c r="F11" i="67"/>
  <c r="F1" i="15"/>
  <c r="Q52" i="15"/>
  <c r="J18" i="67"/>
  <c r="C32" i="15"/>
  <c r="Q60" i="15"/>
  <c r="Q73" i="15"/>
  <c r="Q61" i="67"/>
  <c r="Q74" i="67"/>
  <c r="Q74" i="15"/>
  <c r="Q61" i="15"/>
  <c r="AE11" i="1"/>
  <c r="AE9" i="1"/>
  <c r="F27" i="68"/>
  <c r="AE7" i="1"/>
  <c r="AE8" i="1"/>
  <c r="AE12" i="1"/>
  <c r="AE10" i="1"/>
  <c r="AE6" i="1"/>
  <c r="C16" i="15"/>
  <c r="J5" i="15" l="1"/>
  <c r="J24" i="15" s="1"/>
  <c r="AY6" i="3"/>
  <c r="E3" i="6"/>
  <c r="F10" i="40"/>
  <c r="S10" i="40" s="1"/>
  <c r="S7" i="83"/>
  <c r="AA7" i="83"/>
  <c r="AB7" i="82"/>
  <c r="U7" i="82"/>
  <c r="C36" i="71"/>
  <c r="D35" i="71"/>
  <c r="D15" i="71"/>
  <c r="C14" i="71"/>
  <c r="AC7" i="82"/>
  <c r="W7" i="82"/>
  <c r="C40" i="71"/>
  <c r="D39" i="71"/>
  <c r="E15" i="71"/>
  <c r="E14" i="71" s="1"/>
  <c r="E13" i="71" s="1"/>
  <c r="E12" i="71" s="1"/>
  <c r="V16" i="71"/>
  <c r="H10" i="40"/>
  <c r="AB10" i="40" s="1"/>
  <c r="J10" i="40"/>
  <c r="AC10" i="40" s="1"/>
  <c r="H7" i="83"/>
  <c r="B11" i="71"/>
  <c r="B10" i="71" s="1"/>
  <c r="B9" i="71" s="1"/>
  <c r="B8" i="71" s="1"/>
  <c r="B7" i="71" s="1"/>
  <c r="B6" i="71" s="1"/>
  <c r="B5" i="71" s="1"/>
  <c r="S12" i="71"/>
  <c r="AC7" i="83"/>
  <c r="W7" i="83"/>
  <c r="AA7" i="82"/>
  <c r="S7" i="82"/>
  <c r="T44" i="71"/>
  <c r="D44" i="7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U7" i="83" l="1"/>
  <c r="AB7" i="83"/>
  <c r="E11" i="71"/>
  <c r="E10" i="71" s="1"/>
  <c r="E9" i="71" s="1"/>
  <c r="E8" i="71" s="1"/>
  <c r="E7" i="71" s="1"/>
  <c r="E6" i="71" s="1"/>
  <c r="E5" i="71" s="1"/>
  <c r="V12" i="71"/>
  <c r="T36" i="71"/>
  <c r="D36" i="71"/>
  <c r="D14" i="71"/>
  <c r="C13" i="71"/>
  <c r="D40" i="71"/>
  <c r="T40" i="71"/>
  <c r="F69" i="67"/>
  <c r="W42" i="82"/>
  <c r="AC42" i="82"/>
  <c r="V49" i="82" s="1"/>
  <c r="I49" i="82" s="1"/>
  <c r="U42" i="82"/>
  <c r="AB42" i="82"/>
  <c r="T49" i="82" s="1"/>
  <c r="G49" i="82" s="1"/>
  <c r="AA42" i="83"/>
  <c r="R49" i="83" s="1"/>
  <c r="S42" i="83"/>
  <c r="S42" i="82"/>
  <c r="AA42" i="82"/>
  <c r="R49" i="82" s="1"/>
  <c r="AC42" i="83"/>
  <c r="V49" i="83" s="1"/>
  <c r="I49" i="83" s="1"/>
  <c r="I53" i="83" s="1"/>
  <c r="J53" i="83" s="1"/>
  <c r="W42" i="83"/>
  <c r="AB42" i="83"/>
  <c r="T49" i="83" s="1"/>
  <c r="G49" i="83" s="1"/>
  <c r="U42"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17" i="67"/>
  <c r="C17" i="15"/>
  <c r="C14" i="67"/>
  <c r="C34" i="69"/>
  <c r="D13" i="71" l="1"/>
  <c r="C12" i="71"/>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1" i="71" l="1"/>
  <c r="T12" i="71"/>
  <c r="D12" i="71"/>
  <c r="U12" i="71" s="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B3" i="83"/>
  <c r="B2" i="83"/>
  <c r="B3" i="82"/>
  <c r="B2" i="82"/>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D8" i="71" l="1"/>
  <c r="C7"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D7" i="71" l="1"/>
  <c r="C6"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19" i="9"/>
  <c r="L51" i="15"/>
  <c r="D2" i="37"/>
  <c r="D102" i="9" l="1"/>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2" i="1"/>
  <c r="D20" i="9"/>
  <c r="AO7" i="1"/>
  <c r="AO6" i="1"/>
  <c r="AO9" i="1"/>
  <c r="AO11" i="1"/>
  <c r="AO10" i="1"/>
  <c r="AO8"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<sst xmlns="http://schemas.openxmlformats.org/spreadsheetml/2006/main" count="8313" uniqueCount="3523">
  <si>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</si>
  <si>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</si>
  <si>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</si>
  <si>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</si>
  <si>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</si>
  <si>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</si>
  <si>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</si>
  <si>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</si>
  <si>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</si>
  <si>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</si>
  <si>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</si>
  <si>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</si>
  <si>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</si>
  <si>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</si>
  <si>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</si>
  <si>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</si>
  <si>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</si>
  <si>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</si>
  <si>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</si>
  <si>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</si>
  <si>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</si>
  <si>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</si>
  <si>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</si>
  <si>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</si>
  <si>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</si>
  <si>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</si>
  <si>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</si>
  <si>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</si>
  <si>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</si>
  <si>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</si>
  <si>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</si>
  <si>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</si>
  <si>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</si>
  <si>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</si>
  <si>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</si>
  <si>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</si>
  <si>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</si>
  <si>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</si>
  <si>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</si>
  <si>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</si>
  <si>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</si>
  <si>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</si>
  <si>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</si>
  <si>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</si>
  <si>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</si>
  <si>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</si>
  <si>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</si>
  <si>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</si>
  <si>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</si>
  <si>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</si>
  <si>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</si>
  <si>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</si>
  <si>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</si>
  <si>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</si>
  <si>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</si>
  <si>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</si>
  <si>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</si>
  <si>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</si>
  <si>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</si>
  <si>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</si>
  <si>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</si>
  <si>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</si>
  <si>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</si>
  <si>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</si>
  <si>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</si>
  <si>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</si>
  <si>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</si>
  <si>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</si>
  <si>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</si>
  <si>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</si>
  <si>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</si>
  <si>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</si>
  <si>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</si>
  <si>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</si>
  <si>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</si>
  <si>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</si>
  <si>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</si>
  <si>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</si>
  <si>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</si>
  <si>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</si>
  <si>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</si>
  <si>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</si>
  <si>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</si>
  <si>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</si>
  <si>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</si>
  <si>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</si>
  <si>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</si>
  <si>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</si>
  <si>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</si>
  <si>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</si>
  <si>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</si>
  <si>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</si>
  <si>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</si>
  <si>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</si>
  <si>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</si>
  <si>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</si>
  <si>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</si>
  <si>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</si>
  <si>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</si>
  <si>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</si>
  <si>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</si>
  <si>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</si>
  <si>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</si>
  <si>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</si>
  <si>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</si>
  <si>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</si>
  <si>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</si>
  <si>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</si>
  <si>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</si>
  <si>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</si>
  <si>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</si>
  <si>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</si>
  <si>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</si>
  <si>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</si>
  <si>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</si>
  <si>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</si>
  <si>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</si>
  <si>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</si>
  <si>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</si>
  <si>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</si>
  <si>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</si>
  <si>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</si>
  <si>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</si>
  <si>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</si>
  <si>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</si>
  <si>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</si>
  <si>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</si>
  <si>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</si>
  <si>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</si>
  <si>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</si>
  <si>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</si>
  <si>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</si>
  <si>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</si>
  <si>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</si>
  <si>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</si>
  <si>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</si>
  <si>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</si>
  <si>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</si>
  <si>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</si>
  <si>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</si>
  <si>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</si>
  <si>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</si>
  <si>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</si>
  <si>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</si>
  <si>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</si>
  <si>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</si>
  <si>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</si>
  <si>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</si>
  <si>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</si>
  <si>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</si>
  <si>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</si>
  <si>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</si>
  <si>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</si>
  <si>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</si>
  <si>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</si>
  <si>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</si>
  <si>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</si>
  <si>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</si>
  <si>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</si>
  <si>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</si>
  <si>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</si>
  <si>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</si>
  <si>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</si>
  <si>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</si>
  <si>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</si>
  <si>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</si>
  <si>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</si>
  <si>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</si>
  <si>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</si>
  <si>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</si>
  <si>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</si>
  <si>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</si>
  <si>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</si>
  <si>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</si>
  <si>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</si>
  <si>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</si>
  <si>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</si>
  <si>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</si>
  <si>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</si>
  <si>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</si>
  <si>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</si>
  <si>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</si>
  <si>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</si>
  <si>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</si>
  <si>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</si>
  <si>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</si>
  <si>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</si>
  <si>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</si>
  <si>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</si>
  <si>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</si>
  <si>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</si>
  <si>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</si>
  <si>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</si>
  <si>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</si>
  <si>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</si>
  <si>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</si>
  <si>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</si>
  <si>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</si>
  <si>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</si>
  <si>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</si>
  <si>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</si>
  <si>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</si>
  <si>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</si>
  <si>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</si>
  <si>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</si>
  <si>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</si>
  <si>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</si>
  <si>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</si>
  <si>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</si>
  <si>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</si>
  <si>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</si>
  <si>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</si>
  <si>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</si>
  <si>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</si>
  <si>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</si>
  <si>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</si>
  <si>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</si>
  <si>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</si>
  <si>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</si>
  <si>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</si>
  <si>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</si>
  <si>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</si>
  <si>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</si>
  <si>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</si>
  <si>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</si>
  <si>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</si>
  <si>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</si>
  <si>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</si>
  <si>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</si>
  <si>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</si>
  <si>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</si>
  <si>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</si>
  <si>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</si>
  <si>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</si>
  <si>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</si>
  <si>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</si>
  <si>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</si>
  <si>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</si>
  <si>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</si>
  <si>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</si>
  <si>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</si>
  <si>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</si>
  <si>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</si>
  <si>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</si>
  <si>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</si>
  <si>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</si>
  <si>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</si>
  <si>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</si>
  <si>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</si>
  <si>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</si>
  <si>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</si>
  <si>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</si>
  <si>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</si>
  <si>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</si>
  <si>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</si>
  <si>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</si>
  <si>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</si>
  <si>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</si>
  <si>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</si>
  <si>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</si>
  <si>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</si>
  <si>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</si>
  <si>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</si>
  <si>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</si>
  <si>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</si>
  <si>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</si>
  <si>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</si>
  <si>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</si>
  <si>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</si>
  <si>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</si>
  <si>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</si>
  <si>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</si>
  <si>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</si>
  <si>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</si>
  <si>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</si>
  <si>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</si>
  <si>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</si>
  <si>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</si>
  <si>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</si>
  <si>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</si>
  <si>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</si>
  <si>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</si>
  <si>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</si>
  <si>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</si>
  <si>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</si>
  <si>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</si>
  <si>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</si>
  <si>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</si>
  <si>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</si>
  <si>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</si>
  <si>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</si>
  <si>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</si>
  <si>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</si>
  <si>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</si>
  <si>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</si>
  <si>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</si>
  <si>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</si>
  <si>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</si>
  <si>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</si>
  <si>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</si>
  <si>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</si>
  <si>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</si>
  <si>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</si>
  <si>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</si>
  <si>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</si>
  <si>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</si>
  <si>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</si>
  <si>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</si>
  <si>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</si>
  <si>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</si>
  <si>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</si>
  <si>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</si>
  <si>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</si>
  <si>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</si>
  <si>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</si>
  <si>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</si>
  <si>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</si>
  <si>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</si>
  <si>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</si>
  <si>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</si>
  <si>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</si>
  <si>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</si>
  <si>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</si>
  <si>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</si>
  <si>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</si>
  <si>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</si>
  <si>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</si>
  <si>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</si>
  <si>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</si>
  <si>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</si>
  <si>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</si>
  <si>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</si>
  <si>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</si>
  <si>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</si>
  <si>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</si>
  <si>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</si>
  <si>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</si>
  <si>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</si>
  <si>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</si>
  <si>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</si>
  <si>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</si>
  <si>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</si>
  <si>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</si>
  <si>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</si>
  <si>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</si>
  <si>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</si>
  <si>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</si>
  <si>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</si>
  <si>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</si>
  <si>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</si>
  <si>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</si>
  <si>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</si>
  <si>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</si>
  <si>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</si>
  <si>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</si>
  <si>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</si>
  <si>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</si>
  <si>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</si>
  <si>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</si>
  <si>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</si>
  <si>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</si>
  <si>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</si>
  <si>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</si>
  <si>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</si>
  <si>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</si>
  <si>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</si>
  <si>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</si>
  <si>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</si>
  <si>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</si>
  <si>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</si>
  <si>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</si>
  <si>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</si>
  <si>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</si>
  <si>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</si>
  <si>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</si>
  <si>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</si>
  <si>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</si>
  <si>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</si>
  <si>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</si>
  <si>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</si>
  <si>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</si>
  <si>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</si>
  <si>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</si>
  <si>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</si>
  <si>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</si>
  <si>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</si>
  <si>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</si>
  <si>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</si>
  <si>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</si>
  <si>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</si>
  <si>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</si>
  <si>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</si>
  <si>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</si>
  <si>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</si>
  <si>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</si>
  <si>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</si>
  <si>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</si>
  <si>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</si>
  <si>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</si>
  <si>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</si>
  <si>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</si>
  <si>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</si>
  <si>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</si>
  <si>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</si>
  <si>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</si>
  <si>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</si>
  <si>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</si>
  <si>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</si>
  <si>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</si>
  <si>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</si>
  <si>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</si>
  <si>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</si>
  <si>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</si>
  <si>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</si>
  <si>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</si>
  <si>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</si>
  <si>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</si>
  <si>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</si>
  <si>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</si>
  <si>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</si>
  <si>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</si>
  <si>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</si>
  <si>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</si>
  <si>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</si>
  <si>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</si>
  <si>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</si>
  <si>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</si>
  <si>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</si>
  <si>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</si>
  <si>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</si>
  <si>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</si>
  <si>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</si>
  <si>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</si>
  <si>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</si>
  <si>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</si>
  <si>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</si>
  <si>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</si>
  <si>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</si>
  <si>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</si>
  <si>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</si>
  <si>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</si>
  <si>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</si>
  <si>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</si>
  <si>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</si>
  <si>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</si>
  <si>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</si>
  <si>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</si>
  <si>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</si>
  <si>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</si>
  <si>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</si>
  <si>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</si>
  <si>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</si>
  <si>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</si>
  <si>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</si>
  <si>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</si>
  <si>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</si>
  <si>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</si>
  <si>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</si>
  <si>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</si>
  <si>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</si>
  <si>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</si>
  <si>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</si>
  <si>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</si>
  <si>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</si>
  <si>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</si>
  <si>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</si>
  <si>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</si>
  <si>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</si>
  <si>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</si>
  <si>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</si>
  <si>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</si>
  <si>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</si>
  <si>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</si>
  <si>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</si>
  <si>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</si>
  <si>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</si>
  <si>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</si>
  <si>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</si>
  <si>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</si>
  <si>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</si>
  <si>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</si>
  <si>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</si>
  <si>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</si>
  <si>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</si>
  <si>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</si>
  <si>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</si>
  <si>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</si>
  <si>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</si>
  <si>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</si>
  <si>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</si>
  <si>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</si>
  <si>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</si>
  <si>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</si>
  <si>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</si>
  <si>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</si>
  <si>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</si>
  <si>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</si>
  <si>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</si>
  <si>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</si>
  <si>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</si>
  <si>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</si>
  <si>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</si>
  <si>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</si>
  <si>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</si>
  <si>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</si>
  <si>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</si>
  <si>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</si>
  <si>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</si>
  <si>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</si>
  <si>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</si>
  <si>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</si>
  <si>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</si>
  <si>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</si>
  <si>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</si>
  <si>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</si>
  <si>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</si>
  <si>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</si>
  <si>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</si>
  <si>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</si>
  <si>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</si>
  <si>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</si>
  <si>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</si>
  <si>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</si>
  <si>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</si>
  <si>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</si>
  <si>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</si>
  <si>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</si>
  <si>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</si>
  <si>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</si>
  <si>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</si>
  <si>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</si>
  <si>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</si>
  <si>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</si>
  <si>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</si>
  <si>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</si>
  <si>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</si>
  <si>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</si>
  <si>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</si>
  <si>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</si>
  <si>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</si>
  <si>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</si>
  <si>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</si>
  <si>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</si>
  <si>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</si>
  <si>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</si>
  <si>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</si>
  <si>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</si>
  <si>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</si>
  <si>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</si>
  <si>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</si>
  <si>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</si>
  <si>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</si>
  <si>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</si>
  <si>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</si>
  <si>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</si>
  <si>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</si>
  <si>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</si>
  <si>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</si>
  <si>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</si>
  <si>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</si>
  <si>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</si>
  <si>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</si>
  <si>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</si>
  <si>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</si>
  <si>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</si>
  <si>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</si>
  <si>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</si>
  <si>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</si>
  <si>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</si>
  <si>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</si>
  <si>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</si>
  <si>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</si>
  <si>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</si>
  <si>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</si>
  <si>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</si>
  <si>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</si>
  <si>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</si>
  <si>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</si>
  <si>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</si>
  <si>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</si>
  <si>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</si>
  <si>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</si>
  <si>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</si>
  <si>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</si>
  <si>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</si>
  <si>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</si>
  <si>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</si>
  <si>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</si>
  <si>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</si>
  <si>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</si>
  <si>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</si>
  <si>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</si>
  <si>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</si>
  <si>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</si>
  <si>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</si>
  <si>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</si>
  <si>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</si>
  <si>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</si>
  <si>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</si>
  <si>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</si>
  <si>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</si>
  <si>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</si>
  <si>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</si>
  <si>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</si>
  <si>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</si>
  <si>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</si>
  <si>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</si>
  <si>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</si>
  <si>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</si>
  <si>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</si>
  <si>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</si>
  <si>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</si>
  <si>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</si>
  <si>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</si>
  <si>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</si>
  <si>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</si>
  <si>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</si>
  <si>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</si>
  <si>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</si>
  <si>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</si>
  <si>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</si>
  <si>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</si>
  <si>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</si>
  <si>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</si>
  <si>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</si>
  <si>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</si>
  <si>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</si>
  <si>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</si>
  <si>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</si>
  <si>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</si>
  <si>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</si>
  <si>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</si>
  <si>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</si>
  <si>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</si>
  <si>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</si>
  <si>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</si>
  <si>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</si>
  <si>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</si>
  <si>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</si>
  <si>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</si>
  <si>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</si>
  <si>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</si>
  <si>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</si>
  <si>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</si>
  <si>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</si>
  <si>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</si>
  <si>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</si>
  <si>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</si>
  <si>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</si>
  <si>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</si>
  <si>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</si>
  <si>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</si>
  <si>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</si>
  <si>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</si>
  <si>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</si>
  <si>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</si>
  <si>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</si>
  <si>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</si>
  <si>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</si>
  <si>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</si>
  <si>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</si>
  <si>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</si>
  <si>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</si>
  <si>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</si>
  <si>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</si>
  <si>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</si>
  <si>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</si>
  <si>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</si>
  <si>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</si>
  <si>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</si>
  <si>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</si>
  <si>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</si>
  <si>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</si>
  <si>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</si>
  <si>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</si>
  <si>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</si>
  <si>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</si>
  <si>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</si>
  <si>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</si>
  <si>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</si>
  <si>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</si>
  <si>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</si>
  <si>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</si>
  <si>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</si>
  <si>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</si>
  <si>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</si>
  <si>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</si>
  <si>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</si>
  <si>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</si>
  <si>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</si>
  <si>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</si>
  <si>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</si>
  <si>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</si>
  <si>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</si>
  <si>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</si>
  <si>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</si>
  <si>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</si>
  <si>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</si>
  <si>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</si>
  <si>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</si>
  <si>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</si>
  <si>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</si>
  <si>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</si>
  <si>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</si>
  <si>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</si>
  <si>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</si>
  <si>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</si>
  <si>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</si>
  <si>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</si>
  <si>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</si>
  <si>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</si>
  <si>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</si>
  <si>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</si>
  <si>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</si>
  <si>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</si>
  <si>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</si>
  <si>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</si>
  <si>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</si>
  <si>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</si>
  <si>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</si>
  <si>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</si>
  <si>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</si>
  <si>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</si>
  <si>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</si>
  <si>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</si>
  <si>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</si>
  <si>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</si>
  <si>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</si>
  <si>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</si>
  <si>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</si>
  <si>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</si>
  <si>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</si>
  <si>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</si>
  <si>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</si>
  <si>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</si>
  <si>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</si>
  <si>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</si>
  <si>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</si>
  <si>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</si>
  <si>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</si>
  <si>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</si>
  <si>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</si>
  <si>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</si>
  <si>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</si>
  <si>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</si>
  <si>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</si>
  <si>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</si>
  <si>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</si>
  <si>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</si>
  <si>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</si>
  <si>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</si>
  <si>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</si>
  <si>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</si>
  <si>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</si>
  <si>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</si>
  <si>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</si>
  <si>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</si>
  <si>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</si>
  <si>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</si>
  <si>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</si>
  <si>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</si>
  <si>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</si>
  <si>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</si>
  <si>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</si>
  <si>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</si>
  <si>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</si>
  <si>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</si>
  <si>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</si>
  <si>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</si>
  <si>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</si>
  <si>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</si>
  <si>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</si>
  <si>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</si>
  <si>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</si>
  <si>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</si>
  <si>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</si>
  <si>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</si>
  <si>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</si>
  <si>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</si>
  <si>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</si>
  <si>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</si>
  <si>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</si>
  <si>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</si>
  <si>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</si>
  <si>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</si>
  <si>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</si>
  <si>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</si>
  <si>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</si>
  <si>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</si>
  <si>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</si>
  <si>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</si>
  <si>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</si>
  <si>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</si>
  <si>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</si>
  <si>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</si>
  <si>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</si>
  <si>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</si>
  <si>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</si>
  <si>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</si>
  <si>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</si>
  <si>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</si>
  <si>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</si>
  <si>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</si>
  <si>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</si>
  <si>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</si>
  <si>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</si>
  <si>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</si>
  <si>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</si>
  <si>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</si>
  <si>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</si>
  <si>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</si>
  <si>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</si>
  <si>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</si>
  <si>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</si>
  <si>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</si>
  <si>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</si>
  <si>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</si>
  <si>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</si>
  <si>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</si>
  <si>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</si>
  <si>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</si>
  <si>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</si>
  <si>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</si>
  <si>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</si>
  <si>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</si>
  <si>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</si>
  <si>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</si>
  <si>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</si>
  <si>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</si>
  <si>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</si>
  <si>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</si>
  <si>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</si>
  <si>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</si>
  <si>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</si>
  <si>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</si>
  <si>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</si>
  <si>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</si>
  <si>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</si>
  <si>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</si>
  <si>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</si>
  <si>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</si>
  <si>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</si>
  <si>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</si>
  <si>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</si>
  <si>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</si>
  <si>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</si>
  <si>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</si>
  <si>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</si>
  <si>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</si>
  <si>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</si>
  <si>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</si>
  <si>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</si>
  <si>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</si>
  <si>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</si>
  <si>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</si>
  <si>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</si>
  <si>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</si>
  <si>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</si>
  <si>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</si>
  <si>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</si>
  <si>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</si>
  <si>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</si>
  <si>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</si>
  <si>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</si>
  <si>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</si>
  <si>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</si>
  <si>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</si>
  <si>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</si>
  <si>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</si>
  <si>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</si>
  <si>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</si>
  <si>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</si>
  <si>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</si>
  <si>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</si>
  <si>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</si>
  <si>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</si>
  <si>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</si>
  <si>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</si>
  <si>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</si>
  <si>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</si>
  <si>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</si>
  <si>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</si>
  <si>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</si>
  <si>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</si>
  <si>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</si>
  <si>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</si>
  <si>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</si>
  <si>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</si>
  <si>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</si>
  <si>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</si>
  <si>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</si>
  <si>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</si>
  <si>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</si>
  <si>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</si>
  <si>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</si>
  <si>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</si>
  <si>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</si>
  <si>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</si>
  <si>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</si>
  <si>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</si>
  <si>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</si>
  <si>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</si>
  <si>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</si>
  <si>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</si>
  <si>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</si>
  <si>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</si>
  <si>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</si>
  <si>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</si>
  <si>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</si>
  <si>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</si>
  <si>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</si>
  <si>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</si>
  <si>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</si>
  <si>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</si>
  <si>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</si>
  <si>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</si>
  <si>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</si>
  <si>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</si>
  <si>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</si>
  <si>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</si>
  <si>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</si>
  <si>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</si>
  <si>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</si>
  <si>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</si>
  <si>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</si>
  <si>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</si>
  <si>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</si>
  <si>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</si>
  <si>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</si>
  <si>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</si>
  <si>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</si>
  <si>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</si>
  <si>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</si>
  <si>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</si>
  <si>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</si>
  <si>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</si>
  <si>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</si>
  <si>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</si>
  <si>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</si>
  <si>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</si>
  <si>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</si>
  <si>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</si>
  <si>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</si>
  <si>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</si>
  <si>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</si>
  <si>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</si>
  <si>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</si>
  <si>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</si>
  <si>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</si>
  <si>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</si>
  <si>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</si>
  <si>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</si>
  <si>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</si>
  <si>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</si>
  <si>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</si>
  <si>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</si>
  <si>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</si>
  <si>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</si>
  <si>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</si>
  <si>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</si>
  <si>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</si>
  <si>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</si>
  <si>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</si>
  <si>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</si>
  <si>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</si>
  <si>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</si>
  <si>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</si>
  <si>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</si>
  <si>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</si>
  <si>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</si>
  <si>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</si>
  <si>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</si>
  <si>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</si>
  <si>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</si>
  <si>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</si>
  <si>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</si>
  <si>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</si>
  <si>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</si>
  <si>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</si>
  <si>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</si>
  <si>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</si>
  <si>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</si>
  <si>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</si>
  <si>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</si>
  <si>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</si>
  <si>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</si>
  <si>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</si>
  <si>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</si>
  <si>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</si>
  <si>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</si>
  <si>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</si>
  <si>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</si>
  <si>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</si>
  <si>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</si>
  <si>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</si>
  <si>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</si>
  <si>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</si>
  <si>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</si>
  <si>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</si>
  <si>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</si>
  <si>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</si>
  <si>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</si>
  <si>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</si>
  <si>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</si>
  <si>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</si>
  <si>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</si>
  <si>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</si>
  <si>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</si>
  <si>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</si>
  <si>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</si>
  <si>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</si>
  <si>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</si>
  <si>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</si>
  <si>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</si>
  <si>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</si>
  <si>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</si>
  <si>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</si>
  <si>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</si>
  <si>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</si>
  <si>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</si>
  <si>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</si>
  <si>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</si>
  <si>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</si>
  <si>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</si>
  <si>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</si>
  <si>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</si>
  <si>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</si>
  <si>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</si>
  <si>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</si>
  <si>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</si>
  <si>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</si>
  <si>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</si>
  <si>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</si>
  <si>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</si>
  <si>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</si>
  <si>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</si>
  <si>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</si>
  <si>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</si>
  <si>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</si>
  <si>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</si>
  <si>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</si>
  <si>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</si>
  <si>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</si>
  <si>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</si>
  <si>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</si>
  <si>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</si>
  <si>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</si>
  <si>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</si>
  <si>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</si>
  <si>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</si>
  <si>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</si>
  <si>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</si>
  <si>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</si>
  <si>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</si>
  <si>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</si>
  <si>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</si>
  <si>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</si>
  <si>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</si>
  <si>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</si>
  <si>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</si>
  <si>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</si>
  <si>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</si>
  <si>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</si>
  <si>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</si>
  <si>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</si>
  <si>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</si>
  <si>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</si>
  <si>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</si>
  <si>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</si>
  <si>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</si>
  <si>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</si>
  <si>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</si>
  <si>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</si>
  <si>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</si>
  <si>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</si>
  <si>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</si>
  <si>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</si>
  <si>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</si>
  <si>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</si>
  <si>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</si>
  <si>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</si>
  <si>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</si>
  <si>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</si>
  <si>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</si>
  <si>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</si>
  <si>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</si>
  <si>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</si>
  <si>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</si>
  <si>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</si>
  <si>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</si>
  <si>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</si>
  <si>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</si>
  <si>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</si>
  <si>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</si>
  <si>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</si>
  <si>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</si>
  <si>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</si>
  <si>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</si>
  <si>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</si>
  <si>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</si>
  <si>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</si>
  <si>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</si>
  <si>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</si>
  <si>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</si>
  <si>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</si>
  <si>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</si>
  <si>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</si>
  <si>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</si>
  <si>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</si>
  <si>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</si>
  <si>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</si>
  <si>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</si>
  <si>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</si>
  <si>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</si>
  <si>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</si>
  <si>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</si>
  <si>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</si>
  <si>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</si>
  <si>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</si>
  <si>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</si>
  <si>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</si>
  <si>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</si>
  <si>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</si>
  <si>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</si>
  <si>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</si>
  <si>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</si>
  <si>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</si>
  <si>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</si>
  <si>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</si>
  <si>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</si>
  <si>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</si>
  <si>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</si>
  <si>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</si>
  <si>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</si>
  <si>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</si>
  <si>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</si>
  <si>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</si>
  <si>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</si>
  <si>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</si>
  <si>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</si>
  <si>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</si>
  <si>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</si>
  <si>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</si>
  <si>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</si>
  <si>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</si>
  <si>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</si>
  <si>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</si>
  <si>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</si>
  <si>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</si>
  <si>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</si>
  <si>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</si>
  <si>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</si>
  <si>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</si>
  <si>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</si>
  <si>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</si>
  <si>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</si>
  <si>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</si>
  <si>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</si>
  <si>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</si>
  <si>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</si>
  <si>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</si>
  <si>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</si>
  <si>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</si>
  <si>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</si>
  <si>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</si>
  <si>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</si>
  <si>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</si>
  <si>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</si>
  <si>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</si>
  <si>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</si>
  <si>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</si>
  <si>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</si>
  <si>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</si>
  <si>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</si>
  <si>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</si>
  <si>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</si>
  <si>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</si>
  <si>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</si>
  <si>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</si>
  <si>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</si>
  <si>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</si>
  <si>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</si>
  <si>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</si>
  <si>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</si>
  <si>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</si>
  <si>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</si>
  <si>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</si>
  <si>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</si>
  <si>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</si>
  <si>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</si>
  <si>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</si>
  <si>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</si>
  <si>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</si>
  <si>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</si>
  <si>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</si>
  <si>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</si>
  <si>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</si>
  <si>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</si>
  <si>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</si>
  <si>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</si>
  <si>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</si>
  <si>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</si>
  <si>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</si>
  <si>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</si>
  <si>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</si>
  <si>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</si>
  <si>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</si>
  <si>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</si>
  <si>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</si>
  <si>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</si>
  <si>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</si>
  <si>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</si>
  <si>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</si>
  <si>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</si>
  <si>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</si>
  <si>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</si>
  <si>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</si>
  <si>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</si>
  <si>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</si>
  <si>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</si>
  <si>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</si>
  <si>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</si>
  <si>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</si>
  <si>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</si>
  <si>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</si>
  <si>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</si>
  <si>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</si>
  <si>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</si>
  <si>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</si>
  <si>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</si>
  <si>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</si>
  <si>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</si>
  <si>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</si>
  <si>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</si>
  <si>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</si>
  <si>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</si>
  <si>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</si>
  <si>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</si>
  <si>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</si>
  <si>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</si>
  <si>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</si>
  <si>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</si>
  <si>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</si>
  <si>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</si>
  <si>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</si>
  <si>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</si>
  <si>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</si>
  <si>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</si>
  <si>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</si>
  <si>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</si>
  <si>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</si>
  <si>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</si>
  <si>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</si>
  <si>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</si>
  <si>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</si>
  <si>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</si>
  <si>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</si>
  <si>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</si>
  <si>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</si>
  <si>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</si>
  <si>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</si>
  <si>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</si>
  <si>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</si>
  <si>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</si>
  <si>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</si>
  <si>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</si>
  <si>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</si>
  <si>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</si>
  <si>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</si>
  <si>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</si>
  <si>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</si>
  <si>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</si>
  <si>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</si>
  <si>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</si>
  <si>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</si>
  <si>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</si>
  <si>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</si>
  <si>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</si>
  <si>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</si>
  <si>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</si>
  <si>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</si>
  <si>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</si>
  <si>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</si>
  <si>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</si>
  <si>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</si>
  <si>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</si>
  <si>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</si>
  <si>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</si>
  <si>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</si>
  <si>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</si>
  <si>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</si>
  <si>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</si>
  <si>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</si>
  <si>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</si>
  <si>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</si>
  <si>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</si>
  <si>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</si>
  <si>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</si>
  <si>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</si>
  <si>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</si>
  <si>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</si>
  <si>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</si>
  <si>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</si>
  <si>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</si>
  <si>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</si>
  <si>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</si>
  <si>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</si>
  <si>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</si>
  <si>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</si>
  <si>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</si>
  <si>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</si>
  <si>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</si>
  <si>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</si>
  <si>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</si>
  <si>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</si>
  <si>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</si>
  <si>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</si>
  <si>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</si>
  <si>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</si>
  <si>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</si>
  <si>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</si>
  <si>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</si>
  <si>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</si>
  <si>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</si>
  <si>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</si>
  <si>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</si>
  <si>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</si>
  <si>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</si>
  <si>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</si>
  <si>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</si>
  <si>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</si>
  <si>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</si>
  <si>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</si>
  <si>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</si>
  <si>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</si>
  <si>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</si>
  <si>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</si>
  <si>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</si>
  <si>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</si>
  <si>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</si>
  <si>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</si>
  <si>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</si>
  <si>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</si>
  <si>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</si>
  <si>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</si>
  <si>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</si>
  <si>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</si>
  <si>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</si>
  <si>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</si>
  <si>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</si>
  <si>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</si>
  <si>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</si>
  <si>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</si>
  <si>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</si>
  <si>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</si>
  <si>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</si>
  <si>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</si>
  <si>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</si>
  <si>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</si>
  <si>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</si>
  <si>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</si>
  <si>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</si>
  <si>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</si>
  <si>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</si>
  <si>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</si>
  <si>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</si>
  <si>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</si>
  <si>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</si>
  <si>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</si>
  <si>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</si>
  <si>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</si>
  <si>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</si>
  <si>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</si>
  <si>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</si>
  <si>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</si>
  <si>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</si>
  <si>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</si>
  <si>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</si>
  <si>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</si>
  <si>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</si>
  <si>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</si>
  <si>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</si>
  <si>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</si>
  <si>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</si>
  <si>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</si>
  <si>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</si>
  <si>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</si>
  <si>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</si>
  <si>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</si>
  <si>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</si>
  <si>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</si>
  <si>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</si>
  <si>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</si>
  <si>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</si>
  <si>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</si>
  <si>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</si>
  <si>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</si>
  <si>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</si>
  <si>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</si>
  <si>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</si>
  <si>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</si>
  <si>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</si>
  <si>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</si>
  <si>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</si>
  <si>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</si>
  <si>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</si>
  <si>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</si>
  <si>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</si>
  <si>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</si>
  <si>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</si>
  <si>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</si>
  <si>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</si>
  <si>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</si>
  <si>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</si>
  <si>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</si>
  <si>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</si>
  <si>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</si>
  <si>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</si>
  <si>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</si>
  <si>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</si>
  <si>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</si>
  <si>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</si>
  <si>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</si>
  <si>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</si>
  <si>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</si>
  <si>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</si>
  <si>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</si>
  <si>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</si>
  <si>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</si>
  <si>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</si>
  <si>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</si>
  <si>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</si>
  <si>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</si>
  <si>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</si>
  <si>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</si>
  <si>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</si>
  <si>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</si>
  <si>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</si>
  <si>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</si>
  <si>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</si>
  <si>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</si>
  <si>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</si>
  <si>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</si>
  <si>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</si>
  <si>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</si>
  <si>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</si>
  <si>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</si>
  <si>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</si>
  <si>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</si>
  <si>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</si>
  <si>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</si>
  <si>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</si>
  <si>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</si>
  <si>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</si>
  <si>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</si>
  <si>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</si>
  <si>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</si>
  <si>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</si>
  <si>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</si>
  <si>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</si>
  <si>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</si>
  <si>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</si>
  <si>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</si>
  <si>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</si>
  <si>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</si>
  <si>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</si>
  <si>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</si>
  <si>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</si>
  <si>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</si>
  <si>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</si>
  <si>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</si>
  <si>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</si>
  <si>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</si>
  <si>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</si>
  <si>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</si>
  <si>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</si>
  <si>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</si>
  <si>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</si>
  <si>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</si>
  <si>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</si>
  <si>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</si>
  <si>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</si>
  <si>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</si>
  <si>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</si>
  <si>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</si>
  <si>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</si>
  <si>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</si>
  <si>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</si>
  <si>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</si>
  <si>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</si>
  <si>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</si>
  <si>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</si>
  <si>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</si>
  <si>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</si>
  <si>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</si>
  <si>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</si>
  <si>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</si>
  <si>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</si>
  <si>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</si>
  <si>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</si>
  <si>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</si>
  <si>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</si>
  <si>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</si>
  <si>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</si>
  <si>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</si>
  <si>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</si>
  <si>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</si>
  <si>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</si>
  <si>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</si>
  <si>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</si>
  <si>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</si>
  <si>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</si>
  <si>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</si>
  <si>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</si>
  <si>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</si>
  <si>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</si>
  <si>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</si>
  <si>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</si>
  <si>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</si>
  <si>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</si>
  <si>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</si>
  <si>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</si>
  <si>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</si>
  <si>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</si>
  <si>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</si>
  <si>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</si>
  <si>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</si>
  <si>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</si>
  <si>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</si>
  <si>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</si>
  <si>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</si>
  <si>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</si>
  <si>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</si>
  <si>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</si>
  <si>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</si>
  <si>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</si>
  <si>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</si>
  <si>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</si>
  <si>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</si>
  <si>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</si>
  <si>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</si>
  <si>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</si>
  <si>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</si>
  <si>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</si>
  <si>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</si>
  <si>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</si>
  <si>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</si>
  <si>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</si>
  <si>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</si>
  <si>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</si>
  <si>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</si>
  <si>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</si>
  <si>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</si>
  <si>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</si>
  <si>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</si>
  <si>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</si>
  <si>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</si>
  <si>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</si>
  <si>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</si>
  <si>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</si>
  <si>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</si>
  <si>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</si>
  <si>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</si>
  <si>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</si>
  <si>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</si>
  <si>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</si>
  <si>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</si>
  <si>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</si>
  <si>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</si>
  <si>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</si>
  <si>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</si>
  <si>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</si>
  <si>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</si>
  <si>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</si>
  <si>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</si>
  <si>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</si>
  <si>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</si>
  <si>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</si>
  <si>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</si>
  <si>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</si>
  <si>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</si>
  <si>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</si>
  <si>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</si>
  <si>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</si>
  <si>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</si>
  <si>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</si>
  <si>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</si>
  <si>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</si>
  <si>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</si>
  <si>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</si>
  <si>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</si>
  <si>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</si>
  <si>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</si>
  <si>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</si>
  <si>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</si>
  <si>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</si>
  <si>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</si>
  <si>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</si>
  <si>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</si>
  <si>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</si>
  <si>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</si>
  <si>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</si>
  <si>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</si>
  <si>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</si>
  <si>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</si>
  <si>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</si>
  <si>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</si>
  <si>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</si>
  <si>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</si>
  <si>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</si>
  <si>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</si>
  <si>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</si>
  <si>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</si>
  <si>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</si>
  <si>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</si>
  <si>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</si>
  <si>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</si>
  <si>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</si>
  <si>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</si>
  <si>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</si>
  <si>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</si>
  <si>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</si>
  <si>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</si>
  <si>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</si>
  <si>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</si>
  <si>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</si>
  <si>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</si>
  <si>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</si>
  <si>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</si>
  <si>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</si>
  <si>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</si>
  <si>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</si>
  <si>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</si>
  <si>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</si>
  <si>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</si>
  <si>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</si>
  <si>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</si>
  <si>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</si>
  <si>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</si>
  <si>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</si>
  <si>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</si>
  <si>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</si>
  <si>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</si>
  <si>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</si>
  <si>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</si>
  <si>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</si>
  <si>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</si>
  <si>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</si>
  <si>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</si>
  <si>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</si>
  <si>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</si>
  <si>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</si>
  <si>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</si>
  <si>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</si>
  <si>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</si>
  <si>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</si>
  <si>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</si>
  <si>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</si>
  <si>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</si>
  <si>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</si>
  <si>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</si>
  <si>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</si>
  <si>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</si>
  <si>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</si>
  <si>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</si>
  <si>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</si>
  <si>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</si>
  <si>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</si>
  <si>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</si>
  <si>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</si>
  <si>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</si>
  <si>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</si>
  <si>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</si>
  <si>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</si>
  <si>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</si>
  <si>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</si>
  <si>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</si>
  <si>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</si>
  <si>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</si>
  <si>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</si>
  <si>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</si>
  <si>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</si>
  <si>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</si>
  <si>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</si>
  <si>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</si>
  <si>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</si>
  <si>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</si>
  <si>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</si>
  <si>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</si>
  <si>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</si>
  <si>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</si>
  <si>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</si>
  <si>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</si>
  <si>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</si>
  <si>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</si>
  <si>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</si>
  <si>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</si>
  <si>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</si>
  <si>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</si>
  <si>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</si>
  <si>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</si>
  <si>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</si>
  <si>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</si>
  <si>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</si>
  <si>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</si>
  <si>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</si>
  <si>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</si>
  <si>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</si>
  <si>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</si>
  <si>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</si>
  <si>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</si>
  <si>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</si>
  <si>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</si>
  <si>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</si>
  <si>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</si>
  <si>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</si>
  <si>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</si>
  <si>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</si>
  <si>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</si>
  <si>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</si>
  <si>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</si>
  <si>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</si>
  <si>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</si>
  <si>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</si>
  <si>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</si>
  <si>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</si>
  <si>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</si>
  <si>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</si>
  <si>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</si>
  <si>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</si>
  <si>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</si>
  <si>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</si>
  <si>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</si>
  <si>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</si>
  <si>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</si>
  <si>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</si>
  <si>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</si>
  <si>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</si>
  <si>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</si>
  <si>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</si>
  <si>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</si>
  <si>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</si>
  <si>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</si>
  <si>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</si>
  <si>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</si>
  <si>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</si>
  <si>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</si>
  <si>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</si>
  <si>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</si>
  <si>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</si>
  <si>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</si>
  <si>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</si>
  <si>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</si>
  <si>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</si>
  <si>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</si>
  <si>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</si>
  <si>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</si>
  <si>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</si>
  <si>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</si>
  <si>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</si>
  <si>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</si>
  <si>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</si>
  <si>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</si>
  <si>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</si>
  <si>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</si>
  <si>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</si>
  <si>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</si>
  <si>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</si>
  <si>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</si>
  <si>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</si>
  <si>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</si>
  <si>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</si>
  <si>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</si>
  <si>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</si>
  <si>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</si>
  <si>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</si>
  <si>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</si>
  <si>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</si>
  <si>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</si>
  <si>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</si>
  <si>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</si>
  <si>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</si>
  <si>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</si>
  <si>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</si>
  <si>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</si>
  <si>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</si>
  <si>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</si>
  <si>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</si>
  <si>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</si>
  <si>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</si>
  <si>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</si>
  <si>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</si>
  <si>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</si>
  <si>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</si>
  <si>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</si>
  <si>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</si>
  <si>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</si>
  <si>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</si>
  <si>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</si>
  <si>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</si>
  <si>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</si>
  <si>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</si>
  <si>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</si>
  <si>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</si>
  <si>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</si>
  <si>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</si>
  <si>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</si>
  <si>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</si>
  <si>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</si>
  <si>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</si>
  <si>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</si>
  <si>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</si>
  <si>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</si>
  <si>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</si>
  <si>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</si>
  <si>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</si>
  <si>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</si>
  <si>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</si>
  <si>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</si>
  <si>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</si>
  <si>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</si>
  <si>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</si>
  <si>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</si>
  <si>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</si>
  <si>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</si>
  <si>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</si>
  <si>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</si>
  <si>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</si>
  <si>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</si>
  <si>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</si>
  <si>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</si>
  <si>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</si>
  <si>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</si>
  <si>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</si>
  <si>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</si>
  <si>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</si>
  <si>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</si>
  <si>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</si>
  <si>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</si>
  <si>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</si>
  <si>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</si>
  <si>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</si>
  <si>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</si>
  <si>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</si>
  <si>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</si>
  <si>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</si>
  <si>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</si>
  <si>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</si>
  <si>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</si>
  <si>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</si>
  <si>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</si>
  <si>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</si>
  <si>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</si>
  <si>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</si>
  <si>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</si>
  <si>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</si>
  <si>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</si>
  <si>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</si>
  <si>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</si>
  <si>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</si>
  <si>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</si>
  <si>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</si>
  <si>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</si>
  <si>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</si>
  <si>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</si>
  <si>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</si>
  <si>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</si>
  <si>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</si>
  <si>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</si>
  <si>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</si>
  <si>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</si>
  <si>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</si>
  <si>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</si>
  <si>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</si>
  <si>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</si>
  <si>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</si>
  <si>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</si>
  <si>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</si>
  <si>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</si>
  <si>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</si>
  <si>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</si>
  <si>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</si>
  <si>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</si>
  <si>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</si>
  <si>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</si>
  <si>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</si>
  <si>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</si>
  <si>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</si>
  <si>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</si>
  <si>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</si>
  <si>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</si>
  <si>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</si>
  <si>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</si>
  <si>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</si>
  <si>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</si>
  <si>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</si>
  <si>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</si>
  <si>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</si>
  <si>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</si>
  <si>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</si>
  <si>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</si>
  <si>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</si>
  <si>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</si>
  <si>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</si>
  <si>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</si>
  <si>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</si>
  <si>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</si>
  <si>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</si>
  <si>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</si>
  <si>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</si>
  <si>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</si>
  <si>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</si>
  <si>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</si>
  <si>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</si>
  <si>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</si>
  <si>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</si>
  <si>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</si>
  <si>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</si>
  <si>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</si>
  <si>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</si>
  <si>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</si>
  <si>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</si>
  <si>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</si>
  <si>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</si>
  <si>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</si>
  <si>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</si>
  <si>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</si>
  <si>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</si>
  <si>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</si>
  <si>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</si>
  <si>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</si>
  <si>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</si>
  <si>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</si>
  <si>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</si>
  <si>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</si>
  <si>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</si>
  <si>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</si>
  <si>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</si>
  <si>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</si>
  <si>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</si>
  <si>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</si>
  <si>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</si>
  <si>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</si>
  <si>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</si>
  <si>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</si>
  <si>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</si>
  <si>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</si>
  <si>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</si>
  <si>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</si>
  <si>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</si>
  <si>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</si>
  <si>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</si>
  <si>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</si>
  <si>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</si>
  <si>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</si>
  <si>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</si>
  <si>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</si>
  <si>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</si>
  <si>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</si>
  <si>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</si>
  <si>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</si>
  <si>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</si>
  <si>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</si>
  <si>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</si>
  <si>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</si>
  <si>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</si>
  <si>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</si>
  <si>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</si>
  <si>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</si>
  <si>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</si>
  <si>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</si>
  <si>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</si>
  <si>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</si>
  <si>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</si>
  <si>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</si>
  <si>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</si>
  <si>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</si>
  <si>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</si>
  <si>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</si>
  <si>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</si>
  <si>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</si>
  <si>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</si>
  <si>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</si>
  <si>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</si>
  <si>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</si>
  <si>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</si>
  <si>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</si>
  <si>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</si>
  <si>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</si>
  <si>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</si>
  <si>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</si>
  <si>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</si>
  <si>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</si>
  <si>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</si>
  <si>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</si>
  <si>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</si>
  <si>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</si>
  <si>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</si>
  <si>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</si>
  <si>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</si>
  <si>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</si>
  <si>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</si>
  <si>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</si>
  <si>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</si>
  <si>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</si>
  <si>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</si>
  <si>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</si>
  <si>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</si>
  <si>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</si>
  <si>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</si>
  <si>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</si>
  <si>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</si>
  <si>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</si>
  <si>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</si>
  <si>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</si>
  <si>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</si>
  <si>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</si>
  <si>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</si>
  <si>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</si>
  <si>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</si>
  <si>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</si>
  <si>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</si>
  <si>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</si>
  <si>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</si>
  <si>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</si>
  <si>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</si>
  <si>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</si>
  <si>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</si>
  <si>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</si>
  <si>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</si>
  <si>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</si>
  <si>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</si>
  <si>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</si>
  <si>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</si>
  <si>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</si>
  <si>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</si>
  <si>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</si>
  <si>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</si>
  <si>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</si>
  <si>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</si>
  <si>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</si>
  <si>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</si>
  <si>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</si>
  <si>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</si>
  <si>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</si>
  <si>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</si>
  <si>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</si>
  <si>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</si>
  <si>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</si>
  <si>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</si>
  <si>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</si>
  <si>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</si>
  <si>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</si>
  <si>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</si>
  <si>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</si>
  <si>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</si>
  <si>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</si>
  <si>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</si>
  <si>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</si>
  <si>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</si>
  <si>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</si>
  <si>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</si>
  <si>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</si>
  <si>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</si>
  <si>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</si>
  <si>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</si>
  <si>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</si>
  <si>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</si>
  <si>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</si>
  <si>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</si>
  <si>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</si>
  <si>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</si>
  <si>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</si>
  <si>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</si>
  <si>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</si>
  <si>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</si>
  <si>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</si>
  <si>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</si>
  <si>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</si>
  <si>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</si>
  <si>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</si>
  <si>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</si>
  <si>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</si>
  <si>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</si>
  <si>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</si>
  <si>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</si>
  <si>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</si>
  <si>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</si>
  <si>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</si>
  <si>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</si>
  <si>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</si>
  <si>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</si>
  <si>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</si>
  <si>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</si>
  <si>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</si>
  <si>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</si>
  <si>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</si>
  <si>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</si>
  <si>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</si>
  <si>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</si>
  <si>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</si>
  <si>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</si>
  <si>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</si>
  <si>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</si>
  <si>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</si>
  <si>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</si>
  <si>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</si>
  <si>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</si>
  <si>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</si>
  <si>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</si>
  <si>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</si>
  <si>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</si>
  <si>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</si>
  <si>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</si>
  <si>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</si>
  <si>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</si>
  <si>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</si>
  <si>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</si>
  <si>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</si>
  <si>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</si>
  <si>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</si>
  <si>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</si>
  <si>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</si>
  <si>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</si>
  <si>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</si>
  <si>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</si>
  <si>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</si>
  <si>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</si>
  <si>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</si>
  <si>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</si>
  <si>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</si>
  <si>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</si>
  <si>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</si>
  <si>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</si>
  <si>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</si>
  <si>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</si>
  <si>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</si>
  <si>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</si>
  <si>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</si>
  <si>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</si>
  <si>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</si>
  <si>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</si>
  <si>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</si>
  <si>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</si>
  <si>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</si>
  <si>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</si>
  <si>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</si>
  <si>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</si>
  <si>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</si>
  <si>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</si>
  <si>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</si>
  <si>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</si>
  <si>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</si>
  <si>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</si>
  <si>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</si>
  <si>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</si>
  <si>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</si>
  <si>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</si>
  <si>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</si>
  <si>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</si>
  <si>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</si>
  <si>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</si>
  <si>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</si>
  <si>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</si>
  <si>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</si>
  <si>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</si>
  <si>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</si>
  <si>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</si>
  <si>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</si>
  <si>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</si>
  <si>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</si>
  <si>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</si>
  <si>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</si>
  <si>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</si>
  <si>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</si>
  <si>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</si>
  <si>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</si>
  <si>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</si>
  <si>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</si>
  <si>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</si>
  <si>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</si>
  <si>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</si>
  <si>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</si>
  <si>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</si>
  <si>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</si>
  <si>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</si>
  <si>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</si>
  <si>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</si>
  <si>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</si>
  <si>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</si>
  <si>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</si>
  <si>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</si>
  <si>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</si>
  <si>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</si>
  <si>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</si>
  <si>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</si>
  <si>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</si>
  <si>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</si>
  <si>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</si>
  <si>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</si>
  <si>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</si>
  <si>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</si>
  <si>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</si>
  <si>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</si>
  <si>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</si>
  <si>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</si>
  <si>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</si>
  <si>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</si>
  <si>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</si>
  <si>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</si>
  <si>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</si>
  <si>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</si>
  <si>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</si>
  <si>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</si>
  <si>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</si>
  <si>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</si>
  <si>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</si>
  <si>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</si>
  <si>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</si>
  <si>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</si>
  <si>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</si>
  <si>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</si>
  <si>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</si>
  <si>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</si>
  <si>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</si>
  <si>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</si>
  <si>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</si>
  <si>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</si>
  <si>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</si>
  <si>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</si>
  <si>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</si>
  <si>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</si>
  <si>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</si>
  <si>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</si>
  <si>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</si>
  <si>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</si>
  <si>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</si>
  <si>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</si>
  <si>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</si>
  <si>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</si>
  <si>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</si>
  <si>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</si>
  <si>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</si>
  <si>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</si>
  <si>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</si>
  <si>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</si>
  <si>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</si>
  <si>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</si>
  <si>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</si>
  <si>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</si>
  <si>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</si>
  <si>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</si>
  <si>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</si>
  <si>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</si>
  <si>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</si>
  <si>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</si>
  <si>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</si>
  <si>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</si>
  <si>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</si>
  <si>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</si>
  <si>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</si>
  <si>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</si>
  <si>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</si>
  <si>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</si>
  <si>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</si>
  <si>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</si>
  <si>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</si>
  <si>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</si>
  <si>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</si>
  <si>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</si>
  <si>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</si>
  <si>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</si>
  <si>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</si>
  <si>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</si>
  <si>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</si>
  <si>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</si>
  <si>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</si>
  <si>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</si>
  <si>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</si>
  <si>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</si>
  <si>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</si>
  <si>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</si>
  <si>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</si>
  <si>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</si>
  <si>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</si>
  <si>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</si>
  <si>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</si>
  <si>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</si>
  <si>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</si>
  <si>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</si>
  <si>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</si>
  <si>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</si>
  <si>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</si>
  <si>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</si>
  <si>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</si>
  <si>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</si>
  <si>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</si>
  <si>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</si>
  <si>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</si>
  <si>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</si>
  <si>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</si>
  <si>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</si>
  <si>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</si>
  <si>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</si>
  <si>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</si>
  <si>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</si>
  <si>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</si>
  <si>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</si>
  <si>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</si>
  <si>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</si>
  <si>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</si>
  <si>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</si>
  <si>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</si>
  <si>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</si>
  <si>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</si>
  <si>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</si>
  <si>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</si>
  <si>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</si>
  <si>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</si>
  <si>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</si>
  <si>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</si>
  <si>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</si>
  <si>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</si>
  <si>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</si>
  <si>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</si>
  <si>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</si>
  <si>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</si>
  <si>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</si>
  <si>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</si>
  <si>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</si>
  <si>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</si>
  <si>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</si>
  <si>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</si>
  <si>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</si>
  <si>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</si>
  <si>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</si>
  <si>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</si>
  <si>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</si>
  <si>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</si>
  <si>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</si>
  <si>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</si>
  <si>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</si>
  <si>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</si>
  <si>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</si>
  <si>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</si>
  <si>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</si>
  <si>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</si>
  <si>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</si>
  <si>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</si>
  <si>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</si>
  <si>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</si>
  <si>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</si>
  <si>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</si>
  <si>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</si>
  <si>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</si>
  <si>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</si>
  <si>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</si>
  <si>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</si>
  <si>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</si>
  <si>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</si>
  <si>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</si>
  <si>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</si>
  <si>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</si>
  <si>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</si>
  <si>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</si>
  <si>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</si>
  <si>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</si>
  <si>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</si>
  <si>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</si>
  <si>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</si>
  <si>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</si>
  <si>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</si>
  <si>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</si>
  <si>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</si>
  <si>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</si>
  <si>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</si>
  <si>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</si>
  <si>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</si>
  <si>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</si>
  <si>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</si>
  <si>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</si>
  <si>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</si>
  <si>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</si>
  <si>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</si>
  <si>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</si>
  <si>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</si>
  <si>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</si>
  <si>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</si>
  <si>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</si>
  <si>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</si>
  <si>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</si>
  <si>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</si>
  <si>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</si>
  <si>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</si>
  <si>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</si>
  <si>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</si>
  <si>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</si>
  <si>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</si>
  <si>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</si>
  <si>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</si>
  <si>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</si>
  <si>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</si>
  <si>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</si>
  <si>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</si>
  <si>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</si>
  <si>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</si>
  <si>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</si>
  <si>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</si>
  <si>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</si>
  <si>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</si>
  <si>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</si>
  <si>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</si>
  <si>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</si>
  <si>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</si>
  <si>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</si>
  <si>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</si>
  <si>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</si>
  <si>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</si>
  <si>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</si>
  <si>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</si>
  <si>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</si>
  <si>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</si>
  <si>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</si>
  <si>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</si>
  <si>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</si>
  <si>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</si>
  <si>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</si>
  <si>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</si>
  <si>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</si>
  <si>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</si>
  <si>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</si>
  <si>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</si>
  <si>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</si>
  <si>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</si>
  <si>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</si>
  <si>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</si>
  <si>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</si>
  <si>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</si>
  <si>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</si>
  <si>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</si>
  <si>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</si>
  <si>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</si>
  <si>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</si>
  <si>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</si>
  <si>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</si>
  <si>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</si>
  <si>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</si>
  <si>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</si>
  <si>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</si>
  <si>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</si>
  <si>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</si>
  <si>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</si>
  <si>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</si>
  <si>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</si>
  <si>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</si>
  <si>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</si>
  <si>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</si>
  <si>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</si>
  <si>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</si>
  <si>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</si>
  <si>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</si>
  <si>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</si>
  <si>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</si>
  <si>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</si>
  <si>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</si>
  <si>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</si>
  <si>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</si>
  <si>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</si>
  <si>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</si>
  <si>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</si>
  <si>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</si>
  <si>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</si>
  <si>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</si>
  <si>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</si>
  <si>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</si>
  <si>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</si>
  <si>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</si>
  <si>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</si>
  <si>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</si>
  <si>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</si>
  <si>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</si>
  <si>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</si>
  <si>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</si>
  <si>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</si>
  <si>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</si>
  <si>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</si>
  <si>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</si>
  <si>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</si>
  <si>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</si>
  <si>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</si>
  <si>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</si>
  <si>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</si>
  <si>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</si>
  <si>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</si>
  <si>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</si>
  <si>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</si>
  <si>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</si>
  <si>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</si>
  <si>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</si>
  <si>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</si>
  <si>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</si>
  <si>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</si>
  <si>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</si>
  <si>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</si>
  <si>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</si>
  <si>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</si>
  <si>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</si>
  <si>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</si>
  <si>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</si>
  <si>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</si>
  <si>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</si>
  <si>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</si>
  <si>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</si>
  <si>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</si>
  <si>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</si>
  <si>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</si>
  <si>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</si>
  <si>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</si>
  <si>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</si>
  <si>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</si>
  <si>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</si>
  <si>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</si>
  <si>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</si>
  <si>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</si>
  <si>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</si>
  <si>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</si>
  <si>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</si>
  <si>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</si>
  <si>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</si>
  <si>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</si>
  <si>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</si>
  <si>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</si>
  <si>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</si>
  <si>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</si>
  <si>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</si>
  <si>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</si>
  <si>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</si>
  <si>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</si>
  <si>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</si>
  <si>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</si>
  <si>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</si>
  <si>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</si>
  <si>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</si>
  <si>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</si>
  <si>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</si>
  <si>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</si>
  <si>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</si>
  <si>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</si>
  <si>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</si>
  <si>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</si>
  <si>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</si>
  <si>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</si>
  <si>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</si>
  <si>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</si>
  <si>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</si>
  <si>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</si>
  <si>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</si>
  <si>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</si>
  <si>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</si>
  <si>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</si>
  <si>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</si>
  <si>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</si>
  <si>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</si>
  <si>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</si>
  <si>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</si>
  <si>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</si>
  <si>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</si>
  <si>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</si>
  <si>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</si>
  <si>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</si>
  <si>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</si>
  <si>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</si>
  <si>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</si>
  <si>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</si>
  <si>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</si>
  <si>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</si>
  <si>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</si>
  <si>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</si>
  <si>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</si>
  <si>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</si>
  <si>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</si>
  <si>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</si>
  <si>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</si>
  <si>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</si>
  <si>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</si>
  <si>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</si>
  <si>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</si>
  <si>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</si>
  <si>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</si>
  <si>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</si>
  <si>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</si>
  <si>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</si>
  <si>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</si>
  <si>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</si>
  <si>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</si>
  <si>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</si>
  <si>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</si>
  <si>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</si>
  <si>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</si>
  <si>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</si>
  <si>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</si>
  <si>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</si>
  <si>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</si>
  <si>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</si>
  <si>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</si>
  <si>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</si>
  <si>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</si>
  <si>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</si>
  <si>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</si>
  <si>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</si>
  <si>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</si>
  <si>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</si>
  <si>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</si>
  <si>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</si>
  <si>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</si>
  <si>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</si>
  <si>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</si>
  <si>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</si>
  <si>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</si>
  <si>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</si>
  <si>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</si>
  <si>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</si>
  <si>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</si>
  <si>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</si>
  <si>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</si>
  <si>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</si>
  <si>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</si>
  <si>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</si>
  <si>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</si>
  <si>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</si>
  <si>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</si>
  <si>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</si>
  <si>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</si>
  <si>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</si>
  <si>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</si>
  <si>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</si>
  <si>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</si>
  <si>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</si>
  <si>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</si>
  <si>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</si>
  <si>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</si>
  <si>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</si>
  <si>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</si>
  <si>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</si>
  <si>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</si>
  <si>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</si>
  <si>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</si>
  <si>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</si>
  <si>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</si>
  <si>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</si>
  <si>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</si>
  <si>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</si>
  <si>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</si>
  <si>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</si>
  <si>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</si>
  <si>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</si>
  <si>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</si>
  <si>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</si>
  <si>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</si>
  <si>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</si>
  <si>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</si>
  <si>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</si>
  <si>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</si>
  <si>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</si>
  <si>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</si>
  <si>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</si>
  <si>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</si>
  <si>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</si>
  <si>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</si>
  <si>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</si>
  <si>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</si>
  <si>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</si>
  <si>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</si>
  <si>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</si>
  <si>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</si>
  <si>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</si>
  <si>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</si>
  <si>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</si>
  <si>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</si>
  <si>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</si>
  <si>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</si>
  <si>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</si>
  <si>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</si>
  <si>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</si>
  <si>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</si>
  <si>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</si>
  <si>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</si>
  <si>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</si>
  <si>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</si>
  <si>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</si>
  <si>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</si>
  <si>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</si>
  <si>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</si>
  <si>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</si>
  <si>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</si>
  <si>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</si>
  <si>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</si>
  <si>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</si>
  <si>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</si>
  <si>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</si>
  <si>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</si>
  <si>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</si>
  <si>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</si>
  <si>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</si>
  <si>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</si>
  <si>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</si>
  <si>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</si>
  <si>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</si>
  <si>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</si>
  <si>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</si>
  <si>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</si>
  <si>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</si>
  <si>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</si>
  <si>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</si>
  <si>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</si>
  <si>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</si>
  <si>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</si>
  <si>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</si>
  <si>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</si>
  <si>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</si>
  <si>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</si>
  <si>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</si>
  <si>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</si>
  <si>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</si>
  <si>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</si>
  <si>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</si>
  <si>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</si>
  <si>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</si>
  <si>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</si>
  <si>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</si>
  <si>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</si>
  <si>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</si>
  <si>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</si>
  <si>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</si>
  <si>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</si>
  <si>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</si>
  <si>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</si>
  <si>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</si>
  <si>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</si>
  <si>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</si>
  <si>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</si>
  <si>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</si>
  <si>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</si>
  <si>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</si>
  <si>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</si>
  <si>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</si>
  <si>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</si>
  <si>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</si>
  <si>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</si>
  <si>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</si>
  <si>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</si>
  <si>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</si>
  <si>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</si>
  <si>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</si>
  <si>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</si>
  <si>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</si>
  <si>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</si>
  <si>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</si>
  <si>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</si>
  <si>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</si>
  <si>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</si>
  <si>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</si>
  <si>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</si>
  <si>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</si>
  <si>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</si>
  <si>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</si>
  <si>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</si>
  <si>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</si>
  <si>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</si>
  <si>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</si>
  <si>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</si>
  <si>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</si>
  <si>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</si>
  <si>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</si>
  <si>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</si>
  <si>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</si>
  <si>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</si>
  <si>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</si>
  <si>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</si>
  <si>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</si>
  <si>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</si>
  <si>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</si>
  <si>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</si>
  <si>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</si>
  <si>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</si>
  <si>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</si>
  <si>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</si>
  <si>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</si>
  <si>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</si>
  <si>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</si>
  <si>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</si>
  <si>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</si>
  <si>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</si>
  <si>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</si>
  <si>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</si>
  <si>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</si>
  <si>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</si>
  <si>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</si>
  <si>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</si>
  <si>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</si>
  <si>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</si>
  <si>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</si>
  <si>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</si>
  <si>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</si>
  <si>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</si>
  <si>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</si>
  <si>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</si>
  <si>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</si>
  <si>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</si>
  <si>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</si>
  <si>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</si>
  <si>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</si>
  <si>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</si>
  <si>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</si>
  <si>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</si>
  <si>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</si>
  <si>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</si>
  <si>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</si>
  <si>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</si>
  <si>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</si>
  <si>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</si>
  <si>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</si>
  <si>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</si>
  <si>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</si>
  <si>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</si>
  <si>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</si>
  <si>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</si>
  <si>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</si>
  <si>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</si>
  <si>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</si>
  <si>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</si>
  <si>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</si>
  <si>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</si>
  <si>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</si>
  <si>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</si>
  <si>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</si>
  <si>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</si>
  <si>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</si>
  <si>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</si>
  <si>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</si>
  <si>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</si>
  <si>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</si>
  <si>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</si>
  <si>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</si>
  <si>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</si>
  <si>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</si>
  <si>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</si>
  <si>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</si>
  <si>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</si>
  <si>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</si>
  <si>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</si>
  <si>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</si>
  <si>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</si>
  <si>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</si>
  <si>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</si>
  <si>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</si>
  <si>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</si>
  <si>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</si>
  <si>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</si>
  <si>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</si>
  <si>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</si>
  <si>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</si>
  <si>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</si>
  <si>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</si>
  <si>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</si>
  <si>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</si>
  <si>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</si>
  <si>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</si>
  <si>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</si>
  <si>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</si>
  <si>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</si>
  <si>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</si>
  <si>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</si>
  <si>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</si>
  <si>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</si>
  <si>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</si>
  <si>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</si>
  <si>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</si>
  <si>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</si>
  <si>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</si>
  <si>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</si>
  <si>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</si>
  <si>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</si>
  <si>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</si>
  <si>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</si>
  <si>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</si>
  <si>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</si>
  <si>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</si>
  <si>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</si>
  <si>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</si>
  <si>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</si>
  <si>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</si>
  <si>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</si>
  <si>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</si>
  <si>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</si>
  <si>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</si>
  <si>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</si>
  <si>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</si>
  <si>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</si>
  <si>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</si>
  <si>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</si>
  <si>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</si>
  <si>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</si>
  <si>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</si>
  <si>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</si>
  <si>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</si>
  <si>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</si>
  <si>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</si>
  <si>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</si>
  <si>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</si>
  <si>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</si>
  <si>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</si>
  <si>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</si>
  <si>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</si>
  <si>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</si>
  <si>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</si>
  <si>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</si>
  <si>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</si>
  <si>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</si>
  <si>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</si>
  <si>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</si>
  <si>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</si>
  <si>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</si>
  <si>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</si>
  <si>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</si>
  <si>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</si>
  <si>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</si>
  <si>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</si>
  <si>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</si>
  <si>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</si>
  <si>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</si>
  <si>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</si>
  <si>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</si>
  <si>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</si>
  <si>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</si>
  <si>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</si>
  <si>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</si>
  <si>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</si>
  <si>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</si>
  <si>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</si>
  <si>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</si>
  <si>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</si>
  <si>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</si>
  <si>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</si>
  <si>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</si>
  <si>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</si>
  <si>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</si>
  <si>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</si>
  <si>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</si>
  <si>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</si>
  <si>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</si>
  <si>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</si>
  <si>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</si>
  <si>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</si>
  <si>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</si>
  <si>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</si>
  <si>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</si>
  <si>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</si>
  <si>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</si>
  <si>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</si>
  <si>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</si>
  <si>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</si>
  <si>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</si>
  <si>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</si>
  <si>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</si>
  <si>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</si>
  <si>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</si>
  <si>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</si>
  <si>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</si>
  <si>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</si>
  <si>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</si>
  <si>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</si>
  <si>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</si>
  <si>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</si>
  <si>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</si>
  <si>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</si>
  <si>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</si>
  <si>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</si>
  <si>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</si>
  <si>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</si>
  <si>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</si>
  <si>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</si>
  <si>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</si>
  <si>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</si>
  <si>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</si>
  <si>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</si>
  <si>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</si>
  <si>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</si>
  <si>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</si>
  <si>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</si>
  <si>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</si>
  <si>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</si>
  <si>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</si>
  <si>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</si>
  <si>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</si>
  <si>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</si>
  <si>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</si>
  <si>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</si>
  <si>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</si>
  <si>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</si>
  <si>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</si>
  <si>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</si>
  <si>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</si>
  <si>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</si>
  <si>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</si>
  <si>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</si>
  <si>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</si>
  <si>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</si>
  <si>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</si>
  <si>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</si>
  <si>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</si>
  <si>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</si>
  <si>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</si>
  <si>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</si>
  <si>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</si>
  <si>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</si>
  <si>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</si>
  <si>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</si>
  <si>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</si>
  <si>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</si>
  <si>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</si>
  <si>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</si>
  <si>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</si>
  <si>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</si>
  <si>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</si>
  <si>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</si>
  <si>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</si>
  <si>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</si>
  <si>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</si>
  <si>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</si>
  <si>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</si>
  <si>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</si>
  <si>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</si>
  <si>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</si>
  <si>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</si>
  <si>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</si>
  <si>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</si>
  <si>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</si>
  <si>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</si>
  <si>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</si>
  <si>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</si>
  <si>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</si>
  <si>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</si>
  <si>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</si>
  <si>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</si>
  <si>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</si>
  <si>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</si>
  <si>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</si>
  <si>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</si>
  <si>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</si>
  <si>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</si>
  <si>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</si>
  <si>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</si>
  <si>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</si>
  <si>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</si>
  <si>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</si>
  <si>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</si>
  <si>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</si>
  <si>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</si>
  <si>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</si>
  <si>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</si>
  <si>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</si>
  <si>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</si>
  <si>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</si>
  <si>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</si>
  <si>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</si>
  <si>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</si>
  <si>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</si>
  <si>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</si>
  <si>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</si>
  <si>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</si>
  <si>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</si>
  <si>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</si>
  <si>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</si>
  <si>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</si>
  <si>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</si>
  <si>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</si>
  <si>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</si>
  <si>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</si>
  <si>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</si>
  <si>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</si>
  <si>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</si>
  <si>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</si>
  <si>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</si>
  <si>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</si>
  <si>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</si>
  <si>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</si>
  <si>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</si>
  <si>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</si>
  <si>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</si>
  <si>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</si>
  <si>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</si>
  <si>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</si>
  <si>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</si>
  <si>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</si>
  <si>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</si>
  <si>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</si>
  <si>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</si>
  <si>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</si>
  <si>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</si>
  <si>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</si>
  <si>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</si>
  <si>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</si>
  <si>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</si>
  <si>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</si>
  <si>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</si>
  <si>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</si>
  <si>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</si>
  <si>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</si>
  <si>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</si>
  <si>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</si>
  <si>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</si>
  <si>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</si>
  <si>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</si>
  <si>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</si>
  <si>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</si>
  <si>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</si>
  <si>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</si>
  <si>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</si>
  <si>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</si>
  <si>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</si>
  <si>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</si>
  <si>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</si>
  <si>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</si>
  <si>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</si>
  <si>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</si>
  <si>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</si>
  <si>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</si>
  <si>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</si>
  <si>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</si>
  <si>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</si>
  <si>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</si>
  <si>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</si>
  <si>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</si>
  <si>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</si>
  <si>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</si>
  <si>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</si>
  <si>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</si>
  <si>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</si>
  <si>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</si>
  <si>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</si>
  <si>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</si>
  <si>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</si>
  <si>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</si>
  <si>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</si>
  <si>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</si>
  <si>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</si>
  <si>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</si>
  <si>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</si>
  <si>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</si>
  <si>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</si>
  <si>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</si>
  <si>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</si>
  <si>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</si>
  <si>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</si>
  <si>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</si>
  <si>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</si>
  <si>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</si>
  <si>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</si>
  <si>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</si>
  <si>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</si>
  <si>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</si>
  <si>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</si>
  <si>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</si>
  <si>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</si>
  <si>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</si>
  <si>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</si>
  <si>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</si>
  <si>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</si>
  <si>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</si>
  <si>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</si>
  <si>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</si>
  <si>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</si>
  <si>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</si>
  <si>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</si>
  <si>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</si>
  <si>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</si>
  <si>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</si>
  <si>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</si>
  <si>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</si>
  <si>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</si>
  <si>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</si>
  <si>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</si>
  <si>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</si>
  <si>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</si>
  <si>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</si>
  <si>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</si>
  <si>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</si>
  <si>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</si>
  <si>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</si>
  <si>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</si>
  <si>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</si>
  <si>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</si>
  <si>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</si>
  <si>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</si>
  <si>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</si>
  <si>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</si>
  <si>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</si>
  <si>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</si>
  <si>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</si>
  <si>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</si>
  <si>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</si>
  <si>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</si>
  <si>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</si>
  <si>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</si>
  <si>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</si>
  <si>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</si>
  <si>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</si>
  <si>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</si>
  <si>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</si>
  <si>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</si>
  <si>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</si>
  <si>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</si>
  <si>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</si>
  <si>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</si>
  <si>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</si>
  <si>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</si>
  <si>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</si>
  <si>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</si>
  <si>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</si>
  <si>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</si>
  <si>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</si>
  <si>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</si>
  <si>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</si>
  <si>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</si>
  <si>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</si>
  <si>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</si>
  <si>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</si>
  <si>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</si>
  <si>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</si>
  <si>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</si>
  <si>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</si>
  <si>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</si>
  <si>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</si>
  <si>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</si>
  <si>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</si>
  <si>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</si>
  <si>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</si>
  <si>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</si>
  <si>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</si>
  <si>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</si>
  <si>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</si>
  <si>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</si>
  <si>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</si>
  <si>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</si>
  <si>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</si>
  <si>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</si>
  <si>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</si>
  <si>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</si>
  <si>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</si>
  <si>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</si>
  <si>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</si>
  <si>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</si>
  <si>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</si>
  <si>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</si>
  <si>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</si>
  <si>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</si>
  <si>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</si>
  <si>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</si>
  <si>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</si>
  <si>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</si>
  <si>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</si>
  <si>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</si>
  <si>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</si>
  <si>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</si>
  <si>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</si>
  <si>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</si>
  <si>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</si>
  <si>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</si>
  <si>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</si>
  <si>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</si>
  <si>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</si>
  <si>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</si>
  <si>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</si>
  <si>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</si>
  <si>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</si>
  <si>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</si>
  <si>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</si>
  <si>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</si>
  <si>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</si>
  <si>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</si>
  <si>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</si>
  <si>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</si>
  <si>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</si>
  <si>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</si>
  <si>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</si>
  <si>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</si>
  <si>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</si>
  <si>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</si>
  <si>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</si>
  <si>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</si>
  <si>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</si>
  <si>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</si>
  <si>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</si>
  <si>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</si>
  <si>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</si>
  <si>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</si>
  <si>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</si>
  <si>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</si>
  <si>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</si>
  <si>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</si>
  <si>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</si>
  <si>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</si>
  <si>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</si>
  <si>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</si>
  <si>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</si>
  <si>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</si>
  <si>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</si>
  <si>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</si>
  <si>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</si>
  <si>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</si>
  <si>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</si>
  <si>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</si>
  <si>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</si>
  <si>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</si>
  <si>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</si>
  <si>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</si>
  <si>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</si>
  <si>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</si>
  <si>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</si>
  <si>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</si>
  <si>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</si>
  <si>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</si>
  <si>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</si>
  <si>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</si>
  <si>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</si>
  <si>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</si>
  <si>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</si>
  <si>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</si>
  <si>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</si>
  <si>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</si>
  <si>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</si>
  <si>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</si>
  <si>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</si>
  <si>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</si>
  <si>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</si>
  <si>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</si>
  <si>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</si>
  <si>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</si>
  <si>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</si>
  <si>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</si>
  <si>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</si>
  <si>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</si>
  <si>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</si>
  <si>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</si>
  <si>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</si>
  <si>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</si>
  <si>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</si>
  <si>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</si>
  <si>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</si>
  <si>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</si>
  <si>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</si>
  <si>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</si>
  <si>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</si>
  <si>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</si>
  <si>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</si>
  <si>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</si>
  <si>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</si>
  <si>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</si>
  <si>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</si>
  <si>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</si>
  <si>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</si>
  <si>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</si>
  <si>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</si>
  <si>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</si>
  <si>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</si>
  <si>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</si>
  <si>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</si>
  <si>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</si>
  <si>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</si>
  <si>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</si>
  <si>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</si>
  <si>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</si>
  <si>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</si>
  <si>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</si>
  <si>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</si>
  <si>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</si>
  <si>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</si>
  <si>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</si>
  <si>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</si>
  <si>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</si>
  <si>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</si>
  <si>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</si>
  <si>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</si>
  <si>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</si>
  <si>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</si>
  <si>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</si>
  <si>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</si>
  <si>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</si>
  <si>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</si>
  <si>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</si>
  <si>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</si>
  <si>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</si>
  <si>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</si>
  <si>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</si>
  <si>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</si>
  <si>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</si>
  <si>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</si>
  <si>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</si>
  <si>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</si>
  <si>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</si>
  <si>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</si>
  <si>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</si>
  <si>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</si>
  <si>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</si>
  <si>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</si>
  <si>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</si>
  <si>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</si>
  <si>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</si>
  <si>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</si>
  <si>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</si>
  <si>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</si>
  <si>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</si>
  <si>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</si>
  <si>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</si>
  <si>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</si>
  <si>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</si>
  <si>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</si>
  <si>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</si>
  <si>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</si>
  <si>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</si>
  <si>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</si>
  <si>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</si>
  <si>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</si>
  <si>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</si>
  <si>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</si>
  <si>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</si>
  <si>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</si>
  <si>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</si>
  <si>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</si>
  <si>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</si>
  <si>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</si>
  <si>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</si>
  <si>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</si>
  <si>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</si>
  <si>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</si>
  <si>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</si>
  <si>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</si>
  <si>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</si>
  <si>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</si>
  <si>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</si>
  <si>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</si>
  <si>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</si>
  <si>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</si>
  <si>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</si>
  <si>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</si>
  <si>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</si>
  <si>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</si>
  <si>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</si>
  <si>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</si>
  <si>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</si>
  <si>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</si>
  <si>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</si>
  <si>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</si>
  <si>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</si>
  <si>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</si>
  <si>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</si>
  <si>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</si>
  <si>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</si>
  <si>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</si>
  <si>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</si>
  <si>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</si>
  <si>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</si>
  <si>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</si>
  <si>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</si>
  <si>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</si>
  <si>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</si>
  <si>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</si>
  <si>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</si>
  <si>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</si>
  <si>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</si>
  <si>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</si>
  <si>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</si>
  <si>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</si>
  <si>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</si>
  <si>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</si>
  <si>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</si>
  <si>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</si>
  <si>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</si>
  <si>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</si>
  <si>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</si>
  <si>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</si>
  <si>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</si>
  <si>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</si>
  <si>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</si>
  <si>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</si>
  <si>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</si>
  <si>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</si>
  <si>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</si>
  <si>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</si>
  <si>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</si>
  <si>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</si>
  <si>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</si>
  <si>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</si>
  <si>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</si>
  <si>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</si>
  <si>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</si>
  <si>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</si>
  <si>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</si>
  <si>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</si>
  <si>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</si>
  <si>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</si>
  <si>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</si>
  <si>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</si>
  <si>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</si>
  <si>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</si>
  <si>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</si>
  <si>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</si>
  <si>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</si>
  <si>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</si>
  <si>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</si>
  <si>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</si>
  <si>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</si>
  <si>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</si>
  <si>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</si>
  <si>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</si>
  <si>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</si>
  <si>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</si>
  <si>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</si>
  <si>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</si>
  <si>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713</t>
    </r>
    <phoneticPr fontId="6" type="noConversion"/>
  </si>
  <si>
    <t>西南</t>
  </si>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</sst>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北京市大兴区芳源里1号楼7层713房地产抵押价值预评估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受贵公司委托，我公司对北京市大兴区芳源里1号楼7层713房地产抵押价值进行了预评估。</v>
      </c>
    </row>
    <row r="7" spans="1:2" s="1199" customFormat="1">
      <c r="A7" s="1197" t="s">
        <v>566</v>
      </c>
      <c r="B7" s="1198" t="str">
        <f>'预评函-1'!A7</f>
        <v>估价对象为北京市大兴区芳源里1号楼7层713房地产，为鲍建军所有。根据《国有土地使用证》[]，估价对象（分摊）出让国有建设用地使用权面积为0平方米，建筑面积为111.43平方米。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7层713房地产,属鲍建军开发建设的办公项目，该项目尚在开发建设中。根据《国有土地使用证》[]，估价对象（分摊）出让国有建设用地使用权面积为0平方米，规划建筑面积为111.43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7层713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6.2" thickBot="1">
      <c r="A18" s="1200" t="s">
        <v>534</v>
      </c>
      <c r="B18" s="1201" t="str">
        <f>'预评函-1'!A24</f>
        <v>本次评估采用的主估价方法为比较法和收益法。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255</v>
      </c>
    </row>
    <row r="21" spans="1:2" s="1199" customFormat="1">
      <c r="A21" s="1197" t="s">
        <v>537</v>
      </c>
      <c r="B21" s="1198">
        <f ca="1">'预评函-2'!D7</f>
        <v>22840</v>
      </c>
    </row>
    <row r="22" spans="1:2" s="1199" customFormat="1">
      <c r="A22" s="1197" t="s">
        <v>538</v>
      </c>
      <c r="B22" s="1198" t="str">
        <f ca="1">'预评函-2'!D6</f>
        <v>贰佰伍拾伍万元整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255</v>
      </c>
    </row>
    <row r="31" spans="1:2" s="1199" customFormat="1">
      <c r="A31" s="1197" t="s">
        <v>576</v>
      </c>
      <c r="B31" s="1198">
        <f ca="1">'预评函-2'!D15</f>
        <v>22840</v>
      </c>
    </row>
    <row r="32" spans="1:2" s="1199" customFormat="1">
      <c r="A32" s="1197" t="s">
        <v>543</v>
      </c>
      <c r="B32" s="1198" t="str">
        <f ca="1">'预评函-2'!D14</f>
        <v>贰佰伍拾伍万元整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北京市大兴区芳源里1号楼7层713房地产</v>
      </c>
    </row>
    <row r="42" spans="1:2" s="1199" customFormat="1" ht="31.2">
      <c r="A42" s="1197" t="s">
        <v>590</v>
      </c>
      <c r="B42" s="1198" t="str">
        <f>'预评函-3'!B2</f>
        <v>建筑面积</v>
      </c>
    </row>
    <row r="43" spans="1:2" s="1199" customFormat="1">
      <c r="A43" s="1197" t="s">
        <v>591</v>
      </c>
      <c r="B43" s="1198">
        <f>'预评函-3'!B4</f>
        <v>111.43</v>
      </c>
    </row>
    <row r="44" spans="1:2" s="1199" customFormat="1" ht="31.2">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6.2" thickBot="1">
      <c r="A73" s="1200" t="s">
        <v>565</v>
      </c>
      <c r="B73" s="1201">
        <f ca="1">'预评函-4'!B5</f>
        <v>1120100036</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7层713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0"/>
    <col min="8" max="8" width="5.44140625" style="3010" customWidth="1"/>
    <col min="9" max="13" width="9.44140625" style="3052" customWidth="1"/>
    <col min="14" max="18" width="9.44140625" style="3010" customWidth="1"/>
    <col min="19" max="16384" width="15.2187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5" thickBot="1">
      <c r="A18" s="3025" t="s">
        <v>2520</v>
      </c>
      <c r="B18" s="3026">
        <f>ROUND(B17*F11/F12,2)</f>
        <v>5541.87</v>
      </c>
      <c r="C18" s="3026">
        <f>ROUND(F11/F12,4)</f>
        <v>1.1521999999999999</v>
      </c>
      <c r="D18" s="3027"/>
      <c r="E18" s="3027"/>
      <c r="F18" s="3028"/>
    </row>
    <row r="19" spans="1:13" ht="15" thickBot="1"/>
    <row r="20" spans="1:13" s="3063" customFormat="1" ht="1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14" sqref="E14"/>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1" t="s">
        <v>2168</v>
      </c>
      <c r="B1" s="3517" t="str">
        <f>IF(B10="北京市","北京市",C10)&amp;F10&amp;IF(结果表!G1="在建","出让国有建设用地使用权及在建建筑物",IF(结果表!G1="土地","出让国有建设用地使用权",))&amp;B9&amp;"预评估"</f>
        <v>北京市大兴区芳源里1号楼7层713房地产抵押价值预评估</v>
      </c>
      <c r="C1" s="3518"/>
      <c r="D1" s="3518"/>
      <c r="E1" s="3518"/>
      <c r="F1" s="3518"/>
      <c r="G1" s="3518"/>
      <c r="H1" s="3518"/>
      <c r="I1" s="3519"/>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北京市大兴区芳源里1号楼7层713房地产抵押价值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北京市大兴区芳源里1号楼7层713房地产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8"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8"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0" t="s">
        <v>2177</v>
      </c>
      <c r="E8" s="2386" t="s">
        <v>3386</v>
      </c>
      <c r="F8" s="2387"/>
      <c r="G8" s="2657"/>
      <c r="H8" s="2657"/>
      <c r="I8" s="2657"/>
      <c r="J8" s="2433"/>
      <c r="K8" s="2608"/>
      <c r="L8" s="2607"/>
      <c r="M8" s="2607"/>
      <c r="N8" s="2433"/>
      <c r="O8" s="2444"/>
      <c r="P8" s="2433"/>
      <c r="Q8" s="2433"/>
      <c r="R8" s="2433"/>
    </row>
    <row r="9" spans="1:30" ht="13.8" thickBot="1">
      <c r="A9" s="2388" t="s">
        <v>2178</v>
      </c>
      <c r="B9" s="2389" t="s">
        <v>3386</v>
      </c>
      <c r="C9" s="2390"/>
      <c r="D9" s="3521"/>
      <c r="E9" s="2389"/>
      <c r="F9" s="2391"/>
      <c r="G9" s="2659"/>
      <c r="H9" s="2659"/>
      <c r="I9" s="2659"/>
      <c r="J9" s="2433"/>
      <c r="K9" s="2610"/>
      <c r="L9" s="2607"/>
      <c r="M9" s="2607"/>
      <c r="N9" s="2433"/>
      <c r="O9" s="2444"/>
      <c r="P9" s="2433"/>
      <c r="Q9" s="2433"/>
      <c r="R9" s="2433"/>
    </row>
    <row r="10" spans="1:30" ht="13.8" thickTop="1">
      <c r="A10" s="2392" t="s">
        <v>2179</v>
      </c>
      <c r="B10" s="2393" t="s">
        <v>3387</v>
      </c>
      <c r="C10" s="2394"/>
      <c r="D10" s="2377"/>
      <c r="E10" s="2395" t="s">
        <v>2180</v>
      </c>
      <c r="F10" s="2660" t="s">
        <v>3520</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27" t="s">
        <v>3417</v>
      </c>
      <c r="C16" s="3528"/>
      <c r="D16" s="3529"/>
      <c r="E16" s="2407" t="s">
        <v>2194</v>
      </c>
      <c r="F16" s="3530"/>
      <c r="G16" s="3531"/>
      <c r="H16" s="3531"/>
      <c r="I16" s="3532"/>
      <c r="J16" s="2433"/>
      <c r="K16" s="2611"/>
      <c r="L16" s="2445"/>
      <c r="M16" s="2445"/>
      <c r="N16" s="2503"/>
      <c r="O16" s="2445"/>
      <c r="P16" s="2503"/>
      <c r="Q16" s="2433"/>
      <c r="R16" s="2433"/>
    </row>
    <row r="17" spans="1:28">
      <c r="A17" s="313" t="s">
        <v>2195</v>
      </c>
      <c r="B17" s="302" t="s">
        <v>2196</v>
      </c>
      <c r="C17" s="8">
        <f>'数据-汇总表'!E3</f>
        <v>111.43</v>
      </c>
      <c r="D17" s="2317" t="s">
        <v>2197</v>
      </c>
      <c r="E17" s="3533" t="s">
        <v>2198</v>
      </c>
      <c r="F17" s="3534"/>
      <c r="G17" s="3534"/>
      <c r="H17" s="3534"/>
      <c r="I17" s="3535"/>
      <c r="J17" s="2433"/>
      <c r="K17" s="2612"/>
      <c r="L17" s="2445"/>
      <c r="M17" s="2445"/>
      <c r="N17" s="2503"/>
      <c r="O17" s="2445"/>
      <c r="P17" s="2503"/>
      <c r="Q17" s="2433"/>
      <c r="R17" s="2433"/>
      <c r="S17" s="2433"/>
      <c r="T17" s="2433"/>
      <c r="U17" s="2433"/>
      <c r="V17" s="2433"/>
    </row>
    <row r="18" spans="1:28" ht="24.6" thickBot="1">
      <c r="A18" s="2408" t="s">
        <v>2199</v>
      </c>
      <c r="B18" s="1086" t="s">
        <v>2200</v>
      </c>
      <c r="C18" s="2409">
        <f>'数据-汇总表'!D3</f>
        <v>0</v>
      </c>
      <c r="D18" s="1088" t="s">
        <v>2201</v>
      </c>
      <c r="E18" s="3536" t="s">
        <v>2202</v>
      </c>
      <c r="F18" s="3537"/>
      <c r="G18" s="3537"/>
      <c r="H18" s="3537"/>
      <c r="I18" s="3538"/>
      <c r="J18" s="2433"/>
      <c r="K18" s="2612"/>
      <c r="L18" s="2445"/>
      <c r="M18" s="2445"/>
      <c r="N18" s="2503"/>
      <c r="O18" s="2445"/>
      <c r="P18" s="2503"/>
      <c r="Q18" s="2433"/>
      <c r="R18" s="2433"/>
      <c r="S18" s="2433"/>
      <c r="T18" s="2433"/>
      <c r="U18" s="2433"/>
      <c r="V18" s="2433"/>
    </row>
    <row r="19" spans="1:28" ht="37.200000000000003"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23" t="s">
        <v>2206</v>
      </c>
      <c r="C20" s="3524"/>
      <c r="D20" s="3525" t="s">
        <v>2207</v>
      </c>
      <c r="E20" s="3526"/>
      <c r="F20" s="2641" t="s">
        <v>1056</v>
      </c>
      <c r="G20" s="2658"/>
      <c r="H20" s="2658"/>
      <c r="I20" s="2658"/>
      <c r="J20" s="2433"/>
      <c r="K20" s="3522"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36.6" thickBot="1">
      <c r="A21" s="2626"/>
      <c r="B21" s="2627" t="s">
        <v>2209</v>
      </c>
      <c r="C21" s="2628" t="s">
        <v>1057</v>
      </c>
      <c r="D21" s="1564" t="s">
        <v>2210</v>
      </c>
      <c r="E21" s="2629" t="s">
        <v>1057</v>
      </c>
      <c r="F21" s="2642"/>
      <c r="G21" s="2658"/>
      <c r="H21" s="2658"/>
      <c r="I21" s="2658"/>
      <c r="J21" s="2433"/>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36.6" thickBot="1">
      <c r="A22" s="2626"/>
      <c r="B22" s="2630" t="s">
        <v>2211</v>
      </c>
      <c r="C22" s="2628" t="s">
        <v>1058</v>
      </c>
      <c r="D22" s="2657"/>
      <c r="E22" s="2657"/>
      <c r="F22" s="2657"/>
      <c r="G22" s="2658"/>
      <c r="H22" s="2658"/>
      <c r="I22" s="2658"/>
      <c r="J22" s="2433"/>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8"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8" thickTop="1">
      <c r="A27" s="3540"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0"/>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0"/>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1"/>
      <c r="B30" s="302" t="s">
        <v>2218</v>
      </c>
      <c r="C30" s="3542"/>
      <c r="D30" s="3543"/>
      <c r="E30" s="2658"/>
      <c r="F30" s="2658"/>
      <c r="G30" s="2658"/>
      <c r="H30" s="2658"/>
      <c r="I30" s="2658"/>
      <c r="J30" s="2433"/>
      <c r="K30" s="2610"/>
      <c r="L30" s="2607"/>
      <c r="M30" s="2607"/>
      <c r="N30" s="2433"/>
      <c r="O30" s="2444"/>
      <c r="P30" s="2433"/>
      <c r="Q30" s="2433"/>
      <c r="R30" s="2433"/>
      <c r="S30" s="2433"/>
      <c r="T30" s="2433"/>
      <c r="U30" s="2433"/>
      <c r="V30" s="2433"/>
    </row>
    <row r="31" spans="1:28">
      <c r="A31" s="3544"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45"/>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45"/>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39" t="s">
        <v>2228</v>
      </c>
      <c r="T34" s="2422" t="str">
        <f>NUMBERSTRING(7-K34,1)&amp;"通"</f>
        <v>七通</v>
      </c>
      <c r="U34" s="2433"/>
      <c r="V34" s="2433"/>
    </row>
    <row r="35" spans="1:30">
      <c r="A35" s="2423"/>
      <c r="B35" s="3546" t="s">
        <v>2229</v>
      </c>
      <c r="C35" s="3546"/>
      <c r="D35" s="3546"/>
      <c r="E35" s="3546"/>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8"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4"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2">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c r="B3" s="11">
        <f>IF(C3="否",G5-AT5,G5)</f>
        <v>111.43</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111.43</v>
      </c>
      <c r="H5" s="13">
        <f t="shared" ref="H5:AT5" si="0">SUM(H13:H656)</f>
        <v>111.43</v>
      </c>
      <c r="I5" s="13">
        <f t="shared" si="0"/>
        <v>111.43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111.43</v>
      </c>
      <c r="BA5" s="15">
        <f t="shared" si="1"/>
        <v>111.43</v>
      </c>
      <c r="BB5" s="15">
        <f t="shared" si="1"/>
        <v>111.43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v>713</v>
      </c>
      <c r="D13" s="1621" t="s">
        <v>3392</v>
      </c>
      <c r="E13" s="13">
        <f>IF($C$3="是",ROUND($A$3*G13/$B$3,2),ROUND($A$3*(G13-AT13)/$B$3,2))</f>
        <v>0</v>
      </c>
      <c r="F13" s="29"/>
      <c r="G13" s="30">
        <f>H13+AC13+AT13</f>
        <v>111.43</v>
      </c>
      <c r="H13" s="17">
        <f>SUMIF(I$12:AB$12,"总值",I13:AB13)</f>
        <v>111.43</v>
      </c>
      <c r="I13" s="1622">
        <v>111.43</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713</v>
      </c>
      <c r="AY13" s="1345">
        <f>ROUND($AY$6*AZ13/$AZ$5,2)</f>
        <v>0</v>
      </c>
      <c r="AZ13" s="13">
        <f>BA13+BL13</f>
        <v>111.43</v>
      </c>
      <c r="BA13" s="13">
        <f>SUM(BB13:BK13)</f>
        <v>111.43</v>
      </c>
      <c r="BB13" s="13">
        <f>IF($D13="是",I13-J13,0)</f>
        <v>111.43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3"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56" t="s">
        <v>1131</v>
      </c>
      <c r="B2" s="3556"/>
      <c r="C2" s="3556"/>
      <c r="D2" s="794" t="s">
        <v>1107</v>
      </c>
      <c r="E2" s="1635" t="s">
        <v>1108</v>
      </c>
      <c r="F2" s="2653"/>
      <c r="G2" s="2644"/>
      <c r="H2" s="2645"/>
      <c r="I2" s="2320" t="s">
        <v>1132</v>
      </c>
      <c r="J2" s="2653"/>
      <c r="K2" s="2653"/>
      <c r="L2" s="2653"/>
      <c r="M2" s="2653"/>
      <c r="N2" s="2655"/>
      <c r="O2" s="2653"/>
      <c r="P2" s="2653"/>
    </row>
    <row r="3" spans="1:16" ht="15" thickBot="1">
      <c r="A3" s="3557" t="s">
        <v>1105</v>
      </c>
      <c r="B3" s="3557"/>
      <c r="C3" s="3557"/>
      <c r="D3" s="43">
        <f>'数据-基础表'!AY6</f>
        <v>0</v>
      </c>
      <c r="E3" s="43">
        <f>'数据-基础表'!AZ5</f>
        <v>111.43</v>
      </c>
      <c r="F3" s="2653"/>
      <c r="G3" s="1141"/>
      <c r="H3" s="1022" t="s">
        <v>1106</v>
      </c>
      <c r="I3" s="853" t="e">
        <f>ROUND('数据-基础表'!B3/'数据-基础表'!A3,2)</f>
        <v>#DIV/0!</v>
      </c>
      <c r="J3" s="2653"/>
      <c r="K3" s="2653"/>
      <c r="L3" s="2653"/>
      <c r="M3" s="2653"/>
      <c r="N3" s="2655"/>
      <c r="O3" s="2653"/>
      <c r="P3" s="2653"/>
    </row>
    <row r="4" spans="1:16" ht="14.4">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ht="14.4">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111.43</v>
      </c>
      <c r="F6" s="2653"/>
      <c r="G6" s="2647" t="s">
        <v>1112</v>
      </c>
      <c r="H6" s="1142" t="s">
        <v>1113</v>
      </c>
      <c r="I6" s="2648" t="e">
        <f>ROUND(F31/D31,2)</f>
        <v>#DIV/0!</v>
      </c>
      <c r="J6" s="2653"/>
      <c r="K6" s="2653"/>
      <c r="L6" s="2653"/>
      <c r="M6" s="2653"/>
      <c r="N6" s="2653"/>
      <c r="O6" s="2653"/>
      <c r="P6" s="2653"/>
    </row>
    <row r="7" spans="1:16" ht="15" thickBot="1">
      <c r="A7" s="3553"/>
      <c r="B7" s="3554"/>
      <c r="C7" s="3555"/>
      <c r="D7" s="1637" t="s">
        <v>1107</v>
      </c>
      <c r="E7" s="1641" t="s">
        <v>1114</v>
      </c>
      <c r="F7" s="2653"/>
      <c r="G7" s="2649" t="s">
        <v>1115</v>
      </c>
      <c r="H7" s="2650"/>
      <c r="I7" s="2651">
        <v>1.6</v>
      </c>
      <c r="J7" s="2653"/>
      <c r="K7" s="2653"/>
      <c r="L7" s="2653"/>
      <c r="M7" s="2653"/>
      <c r="N7" s="2653"/>
      <c r="O7" s="2653"/>
      <c r="P7" s="2653"/>
    </row>
    <row r="8" spans="1:16" ht="14.4">
      <c r="A8" s="44" t="s">
        <v>1116</v>
      </c>
      <c r="B8" s="47" t="s">
        <v>1117</v>
      </c>
      <c r="C8" s="45" t="s">
        <v>1118</v>
      </c>
      <c r="D8" s="45">
        <f t="shared" ref="D8:D15" si="0">ROUND($D$3*E8/$E$3,2)</f>
        <v>0</v>
      </c>
      <c r="E8" s="48">
        <f>SUMIF('数据-基础表'!BB10:BK10,"地上",'数据-基础表'!BB5:BK5)</f>
        <v>111.43</v>
      </c>
      <c r="F8" s="2653"/>
      <c r="G8" s="2654"/>
      <c r="H8" s="2654"/>
      <c r="I8" s="2653"/>
      <c r="J8" s="2653"/>
      <c r="K8" s="2653"/>
      <c r="L8" s="2653"/>
      <c r="M8" s="2653"/>
      <c r="N8" s="2653"/>
      <c r="O8" s="2653"/>
      <c r="P8" s="2653"/>
    </row>
    <row r="9" spans="1:16" ht="14.4">
      <c r="A9" s="1642"/>
      <c r="B9" s="1643"/>
      <c r="C9" s="45" t="s">
        <v>1119</v>
      </c>
      <c r="D9" s="45">
        <f t="shared" si="0"/>
        <v>0</v>
      </c>
      <c r="E9" s="49">
        <v>0</v>
      </c>
      <c r="F9" s="2653"/>
      <c r="G9" s="2654"/>
      <c r="H9" s="2654"/>
      <c r="I9" s="2653"/>
      <c r="J9" s="2653"/>
      <c r="K9" s="2653"/>
      <c r="L9" s="2653"/>
      <c r="M9" s="2653"/>
      <c r="N9" s="2653"/>
      <c r="O9" s="2653"/>
      <c r="P9" s="2653"/>
    </row>
    <row r="10" spans="1:16" ht="14.4">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ht="14.4">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ht="14.4">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ht="14.4">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ht="14.4">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 thickBot="1">
      <c r="A16" s="1640"/>
      <c r="B16" s="1643"/>
      <c r="C16" s="47" t="s">
        <v>1123</v>
      </c>
      <c r="D16" s="47">
        <f>SUM(D8:D15)</f>
        <v>0</v>
      </c>
      <c r="E16" s="50">
        <f>SUM(E8:E15)</f>
        <v>111.43</v>
      </c>
      <c r="F16" s="2653"/>
      <c r="G16" s="2654"/>
      <c r="H16" s="1644" t="s">
        <v>1135</v>
      </c>
      <c r="I16" s="1645"/>
      <c r="J16" s="1135"/>
      <c r="K16" s="3550" t="s">
        <v>1135</v>
      </c>
      <c r="L16" s="3551"/>
      <c r="M16" s="3551"/>
      <c r="N16" s="3551"/>
      <c r="O16" s="3551"/>
      <c r="P16" s="3552"/>
    </row>
    <row r="17" spans="1:19" ht="14.4">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ht="14.4">
      <c r="A19" s="1663"/>
      <c r="B19" s="47" t="s">
        <v>1125</v>
      </c>
      <c r="C19" s="3411">
        <f>'数据-基础表'!C13</f>
        <v>713</v>
      </c>
      <c r="D19" s="45">
        <f>ROUND($D$3*E19/$E$3,2)</f>
        <v>0</v>
      </c>
      <c r="E19" s="53">
        <f t="shared" ref="E19:E26" si="1">SUM(F19:G19)</f>
        <v>111.43</v>
      </c>
      <c r="F19" s="2789">
        <f>'数据-基础表'!I13</f>
        <v>111.43</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111.43</v>
      </c>
    </row>
    <row r="20" spans="1:19" ht="14.4">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0</v>
      </c>
      <c r="E27" s="1137">
        <f>IF(SUM(E19:E26)='数据-基础表'!BA5,SUM(E19:E26),IF(F27="地上面积有误","面积有误","地下面积有误"))</f>
        <v>111.43</v>
      </c>
      <c r="F27" s="1136">
        <f>IF(SUM(F19:F26)=E8,SUM(F19:F26),"地上面积有误")</f>
        <v>111.43</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111.43</v>
      </c>
    </row>
    <row r="28" spans="1:19" ht="14.4">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ht="14.4">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4.4">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 thickBot="1">
      <c r="A31" s="1672"/>
      <c r="B31" s="1673"/>
      <c r="C31" s="833" t="s">
        <v>1158</v>
      </c>
      <c r="D31" s="674">
        <f>D27+D30</f>
        <v>0</v>
      </c>
      <c r="E31" s="674">
        <f>E27+E30</f>
        <v>111.43</v>
      </c>
      <c r="F31" s="675">
        <f>F27+F30</f>
        <v>111.43</v>
      </c>
      <c r="G31" s="676">
        <f>G27+G30</f>
        <v>0</v>
      </c>
      <c r="H31" s="2653"/>
      <c r="I31" s="2653"/>
      <c r="J31" s="2653"/>
      <c r="K31" s="2653"/>
      <c r="L31" s="2653"/>
      <c r="M31" s="2653"/>
      <c r="N31" s="2653"/>
      <c r="O31" s="2653"/>
      <c r="P31" s="2653"/>
    </row>
    <row r="32" spans="1:19" ht="14.4">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f>'数据-汇总表'!C19</f>
        <v>713</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111.43</v>
      </c>
      <c r="L6" s="731">
        <v>3500</v>
      </c>
      <c r="M6" s="67">
        <f t="shared" ref="M6:M14" si="0">ROUND(K6*L6/10000,0)</f>
        <v>39</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2.7</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174.0284</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111.43</v>
      </c>
      <c r="L16" s="93">
        <f>ROUND(M16*10000/SUM(K6:K14),0)</f>
        <v>3500</v>
      </c>
      <c r="M16" s="93">
        <f>SUM(M6:M14)</f>
        <v>39</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4">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4">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4">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4">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4">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3.8"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8.8">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8.8">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9.4"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8.8">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8.8">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9.4"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4">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4">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4">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4">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4">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4">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4.4"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4">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4">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4">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4">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4">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4">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4">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4">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4">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8.8">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4">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4">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4">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4">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4">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4">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4">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4">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4">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4" customWidth="1"/>
    <col min="4" max="4" width="2.6640625" style="2504" customWidth="1"/>
    <col min="5" max="5" width="5.88671875" style="2504" customWidth="1"/>
    <col min="6" max="6" width="27" style="1568" customWidth="1"/>
    <col min="7" max="7" width="27" style="2505" customWidth="1"/>
    <col min="8" max="8" width="11.88671875" style="2485" customWidth="1"/>
    <col min="9" max="9" width="16.77734375" style="2486" customWidth="1"/>
    <col min="10" max="10" width="2.6640625" style="2485" customWidth="1"/>
    <col min="11" max="11" width="11.88671875" style="2485" customWidth="1"/>
    <col min="12" max="12" width="16.77734375" style="2486" customWidth="1"/>
    <col min="13" max="13" width="2.6640625" style="2485" customWidth="1"/>
    <col min="14" max="14" width="11.88671875" style="2485" customWidth="1"/>
    <col min="15" max="15" width="16.77734375" style="2486" customWidth="1"/>
    <col min="16" max="16" width="2.6640625" style="2485" customWidth="1"/>
    <col min="17" max="17" width="11.88671875" style="2485" customWidth="1"/>
    <col min="18" max="18" width="16.77734375" style="2487" customWidth="1"/>
    <col min="19" max="29" width="9" style="797"/>
    <col min="30" max="16384" width="9" style="1682"/>
  </cols>
  <sheetData>
    <row r="1" spans="1:29" s="2451" customFormat="1" ht="18"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4.4"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7.200000000000003">
      <c r="A4" s="2436"/>
      <c r="B4" s="323" t="s">
        <v>2254</v>
      </c>
      <c r="C4" s="2462" t="s">
        <v>2255</v>
      </c>
      <c r="D4" s="2459"/>
      <c r="E4" s="2463"/>
      <c r="F4" s="1369" t="s">
        <v>2256</v>
      </c>
      <c r="G4" s="2464" t="s">
        <v>2257</v>
      </c>
      <c r="H4" s="797"/>
      <c r="I4" s="797"/>
      <c r="J4" s="797"/>
      <c r="K4" s="797"/>
      <c r="L4" s="797"/>
      <c r="M4" s="797"/>
      <c r="N4" s="797"/>
      <c r="O4" s="797"/>
      <c r="P4" s="797"/>
      <c r="Q4" s="797"/>
      <c r="R4" s="797"/>
    </row>
    <row r="5" spans="1:29" ht="37.200000000000003">
      <c r="A5" s="2436"/>
      <c r="B5" s="323" t="s">
        <v>2258</v>
      </c>
      <c r="C5" s="2462" t="s">
        <v>2259</v>
      </c>
      <c r="D5" s="2459"/>
      <c r="E5" s="2463"/>
      <c r="F5" s="323" t="s">
        <v>2260</v>
      </c>
      <c r="G5" s="2464" t="s">
        <v>2261</v>
      </c>
      <c r="H5" s="797"/>
      <c r="I5" s="797"/>
      <c r="J5" s="797"/>
      <c r="K5" s="797"/>
      <c r="L5" s="797"/>
      <c r="M5" s="797"/>
      <c r="N5" s="797"/>
      <c r="O5" s="797"/>
      <c r="P5" s="797"/>
      <c r="Q5" s="797"/>
      <c r="R5" s="797"/>
    </row>
    <row r="6" spans="1:29" ht="48">
      <c r="A6" s="2436"/>
      <c r="B6" s="323" t="s">
        <v>2262</v>
      </c>
      <c r="C6" s="2464" t="s">
        <v>2257</v>
      </c>
      <c r="D6" s="2459"/>
      <c r="E6" s="2463"/>
      <c r="F6" s="323" t="s">
        <v>2263</v>
      </c>
      <c r="G6" s="2464" t="s">
        <v>2264</v>
      </c>
      <c r="H6" s="797"/>
      <c r="I6" s="797"/>
      <c r="J6" s="797"/>
      <c r="K6" s="797"/>
      <c r="L6" s="797"/>
      <c r="M6" s="797"/>
      <c r="N6" s="797"/>
      <c r="O6" s="797"/>
      <c r="P6" s="797"/>
      <c r="Q6" s="797"/>
      <c r="R6" s="797"/>
    </row>
    <row r="7" spans="1:29" ht="36.6"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ht="24">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4.4"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7.399999999999999">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 thickBot="1">
      <c r="A13" s="2484" t="s">
        <v>2287</v>
      </c>
      <c r="B13" s="2478"/>
      <c r="C13" s="2478"/>
      <c r="D13" s="2476"/>
      <c r="E13" s="2478"/>
      <c r="F13" s="2478"/>
      <c r="G13" s="2478"/>
    </row>
    <row r="14" spans="1:29" ht="14.4" thickBot="1">
      <c r="A14" s="2488"/>
      <c r="B14" s="2488"/>
      <c r="C14" s="2489" t="s">
        <v>2270</v>
      </c>
      <c r="D14" s="2459"/>
      <c r="E14" s="2490"/>
      <c r="F14" s="2490"/>
      <c r="G14" s="2454" t="s">
        <v>2271</v>
      </c>
    </row>
    <row r="15" spans="1:29" ht="52.8">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9.6">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9.6">
      <c r="A17" s="2440"/>
      <c r="B17" s="2494" t="s">
        <v>2258</v>
      </c>
      <c r="C17" s="2495" t="str">
        <f>C5</f>
        <v>估价对象位于XX商圈，周边办公楼项目较多，入驻率高，办公集聚程度较好</v>
      </c>
      <c r="D17" s="2465"/>
      <c r="E17" s="2441"/>
      <c r="F17" s="2496" t="s">
        <v>2275</v>
      </c>
      <c r="G17" s="2498"/>
    </row>
    <row r="18" spans="1:18" ht="52.8">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6.4">
      <c r="A19" s="2440"/>
      <c r="B19" s="2496" t="s">
        <v>2276</v>
      </c>
      <c r="C19" s="2498"/>
      <c r="D19" s="2459"/>
      <c r="E19" s="2441"/>
      <c r="F19" s="323" t="s">
        <v>2260</v>
      </c>
      <c r="G19" s="2497" t="str">
        <f>G5</f>
        <v>估价对象所在区域公共配套设施齐备情况</v>
      </c>
    </row>
    <row r="20" spans="1:18" ht="26.4">
      <c r="A20" s="2440"/>
      <c r="B20" s="2496" t="s">
        <v>2277</v>
      </c>
      <c r="C20" s="2495" t="str">
        <f>C9</f>
        <v>区域自然环境：；人文环境；综合评价环境状况一般</v>
      </c>
      <c r="D20" s="2465"/>
      <c r="E20" s="2441"/>
      <c r="F20" s="323" t="s">
        <v>2263</v>
      </c>
      <c r="G20" s="2497" t="str">
        <f>G6</f>
        <v>估价对象所在区域基础设施水平</v>
      </c>
    </row>
    <row r="21" spans="1:18" ht="26.4">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4.4"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4.4"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7" customWidth="1"/>
    <col min="2" max="9" width="15.77734375" style="2507" customWidth="1"/>
    <col min="10" max="16384" width="9" style="2507"/>
  </cols>
  <sheetData>
    <row r="1" spans="1:11" ht="16.2">
      <c r="A1" s="2506" t="s">
        <v>665</v>
      </c>
      <c r="B1" s="2506">
        <f>SUM(B14:B23)</f>
        <v>111.43</v>
      </c>
      <c r="C1" s="2680"/>
      <c r="D1" s="2680"/>
      <c r="E1" s="2680"/>
      <c r="F1" s="2680"/>
      <c r="G1" s="2681"/>
      <c r="H1" s="2682"/>
      <c r="I1" s="2682"/>
      <c r="J1" s="2682"/>
      <c r="K1" s="2682"/>
    </row>
    <row r="2" spans="1:11" ht="16.2">
      <c r="A2" s="2506" t="s">
        <v>653</v>
      </c>
      <c r="B2" s="2506">
        <f>SUM(C14:C23)</f>
        <v>0</v>
      </c>
      <c r="C2" s="2680"/>
      <c r="D2" s="2680"/>
      <c r="E2" s="2680"/>
      <c r="F2" s="2680"/>
      <c r="G2" s="2681"/>
      <c r="H2" s="2682"/>
      <c r="I2" s="2682"/>
      <c r="J2" s="2682"/>
      <c r="K2" s="2682"/>
    </row>
    <row r="3" spans="1:11" ht="15.6">
      <c r="A3" s="2506" t="s">
        <v>662</v>
      </c>
      <c r="B3" s="2508">
        <f>项目基本情况!D3</f>
        <v>45435</v>
      </c>
      <c r="C3" s="2680"/>
      <c r="D3" s="2680"/>
      <c r="E3" s="2680"/>
      <c r="F3" s="2680"/>
      <c r="G3" s="2681"/>
      <c r="H3" s="2682"/>
      <c r="I3" s="2682"/>
      <c r="J3" s="2682"/>
      <c r="K3" s="2682"/>
    </row>
    <row r="4" spans="1:11" ht="31.2">
      <c r="A4" s="2506" t="s">
        <v>661</v>
      </c>
      <c r="B4" s="2506" t="s">
        <v>660</v>
      </c>
      <c r="C4" s="2506" t="s">
        <v>659</v>
      </c>
      <c r="D4" s="2506" t="s">
        <v>658</v>
      </c>
      <c r="E4" s="2680"/>
      <c r="F4" s="2681"/>
      <c r="G4" s="2681"/>
      <c r="H4" s="2682"/>
      <c r="I4" s="2682"/>
      <c r="J4" s="2682"/>
      <c r="K4" s="2682"/>
    </row>
    <row r="5" spans="1:11" ht="15.6">
      <c r="A5" s="2506" t="s">
        <v>657</v>
      </c>
      <c r="B5" s="2506">
        <f ca="1">SUM(D14:D23)</f>
        <v>255</v>
      </c>
      <c r="C5" s="2506">
        <f ca="1">IF(B5=D14,结果表!H102,ROUND(B5*10000/$B$1,0))</f>
        <v>22840</v>
      </c>
      <c r="D5" s="2506" t="e">
        <f ca="1">ROUND(B5*10000/$B$2,0)</f>
        <v>#DIV/0!</v>
      </c>
      <c r="E5" s="2680"/>
      <c r="F5" s="2681"/>
      <c r="G5" s="2681"/>
      <c r="H5" s="2682"/>
      <c r="I5" s="2682"/>
      <c r="J5" s="2682"/>
      <c r="K5" s="2682"/>
    </row>
    <row r="6" spans="1:11" ht="15.6">
      <c r="A6" s="2506" t="s">
        <v>656</v>
      </c>
      <c r="B6" s="2506">
        <f>SUM(G14:G23)</f>
        <v>0</v>
      </c>
      <c r="C6" s="2506">
        <f ca="1">IF(B6=G14,结果表!H108,ROUND(B6*10000/$B$1,0))</f>
        <v>22840</v>
      </c>
      <c r="D6" s="2506" t="e">
        <f>ROUND(B6*10000/$B$2,0)</f>
        <v>#DIV/0!</v>
      </c>
      <c r="E6" s="2680"/>
      <c r="F6" s="2681"/>
      <c r="G6" s="2681"/>
      <c r="H6" s="2682"/>
      <c r="I6" s="2682"/>
      <c r="J6" s="2682"/>
      <c r="K6" s="2682"/>
    </row>
    <row r="7" spans="1:11" ht="15.6">
      <c r="A7" s="2506" t="s">
        <v>664</v>
      </c>
      <c r="B7" s="2506">
        <f>SUM(H14:H23)</f>
        <v>0</v>
      </c>
      <c r="C7" s="2506" t="str">
        <f>IF(B7=H14,结果表!H110,ROUND(B7*10000/$B$1,0))</f>
        <v>——</v>
      </c>
      <c r="D7" s="2506" t="e">
        <f>ROUND(B7*10000/$B$2,0)</f>
        <v>#DIV/0!</v>
      </c>
      <c r="E7" s="2680"/>
      <c r="F7" s="2681"/>
      <c r="G7" s="2681"/>
      <c r="H7" s="2682"/>
      <c r="I7" s="2682"/>
      <c r="J7" s="2682"/>
      <c r="K7" s="2682"/>
    </row>
    <row r="8" spans="1:11" ht="15.6">
      <c r="A8" s="2506" t="s">
        <v>587</v>
      </c>
      <c r="B8" s="2506">
        <f>SUM(I14:I23)</f>
        <v>0</v>
      </c>
      <c r="C8" s="2506" t="str">
        <f>IF(B8=I14,结果表!H112,ROUND(B8*10000/$B$1,0))</f>
        <v>——</v>
      </c>
      <c r="D8" s="2506" t="e">
        <f>ROUND(B8*10000/$B$2,0)</f>
        <v>#DIV/0!</v>
      </c>
      <c r="E8" s="2680"/>
      <c r="F8" s="2681"/>
      <c r="G8" s="2681"/>
      <c r="H8" s="2682"/>
      <c r="I8" s="2682"/>
      <c r="J8" s="2682"/>
      <c r="K8" s="2682"/>
    </row>
    <row r="9" spans="1:11" ht="15.6">
      <c r="A9" s="2506" t="s">
        <v>655</v>
      </c>
      <c r="B9" s="2514"/>
      <c r="C9" s="2680"/>
      <c r="D9" s="2680"/>
      <c r="E9" s="2680"/>
      <c r="F9" s="2681"/>
      <c r="G9" s="2681"/>
      <c r="H9" s="2682"/>
      <c r="I9" s="2682"/>
      <c r="J9" s="2682"/>
      <c r="K9" s="2682"/>
    </row>
    <row r="10" spans="1:11" ht="15.6">
      <c r="A10" s="2506" t="s">
        <v>654</v>
      </c>
      <c r="B10" s="2506">
        <f>IF(E10="",0,ROUND(B1*(E10*365/G10)/10000,0))</f>
        <v>0</v>
      </c>
      <c r="C10" s="2506" t="s">
        <v>3360</v>
      </c>
      <c r="D10" s="2506" t="s">
        <v>3361</v>
      </c>
      <c r="E10" s="3435"/>
      <c r="F10" s="3439" t="s">
        <v>3362</v>
      </c>
      <c r="G10" s="3436"/>
      <c r="H10" s="2682"/>
      <c r="I10" s="2682"/>
      <c r="J10" s="2682"/>
      <c r="K10" s="2682"/>
    </row>
    <row r="11" spans="1:11" ht="15.6">
      <c r="A11" s="2506" t="s">
        <v>670</v>
      </c>
      <c r="B11" s="2514"/>
      <c r="C11" s="2680"/>
      <c r="D11" s="2680"/>
      <c r="E11" s="2680"/>
      <c r="F11" s="2681"/>
      <c r="G11" s="2681"/>
      <c r="H11" s="2682"/>
      <c r="I11" s="2682"/>
      <c r="J11" s="2682"/>
      <c r="K11" s="2682"/>
    </row>
    <row r="12" spans="1:11" ht="15.6">
      <c r="A12" s="2680"/>
      <c r="B12" s="2680"/>
      <c r="C12" s="2680"/>
      <c r="D12" s="2680"/>
      <c r="E12" s="2680"/>
      <c r="F12" s="2681"/>
      <c r="G12" s="2681"/>
      <c r="H12" s="2682"/>
      <c r="I12" s="2682"/>
      <c r="J12" s="2682"/>
      <c r="K12" s="2682"/>
    </row>
    <row r="13" spans="1:11" ht="31.8">
      <c r="A13" s="2509" t="s">
        <v>669</v>
      </c>
      <c r="B13" s="2510" t="s">
        <v>666</v>
      </c>
      <c r="C13" s="2510" t="s">
        <v>668</v>
      </c>
      <c r="D13" s="2510" t="s">
        <v>667</v>
      </c>
      <c r="E13" s="2506" t="s">
        <v>659</v>
      </c>
      <c r="F13" s="2506" t="s">
        <v>658</v>
      </c>
      <c r="G13" s="2510" t="s">
        <v>652</v>
      </c>
      <c r="H13" s="2510" t="s">
        <v>663</v>
      </c>
      <c r="I13" s="2510" t="s">
        <v>651</v>
      </c>
      <c r="J13" s="2681"/>
      <c r="K13" s="2682"/>
    </row>
    <row r="14" spans="1:11" ht="15.6">
      <c r="A14" s="2511" t="s">
        <v>650</v>
      </c>
      <c r="B14" s="2512">
        <f>'数据-汇总表'!F19</f>
        <v>111.43</v>
      </c>
      <c r="C14" s="2512"/>
      <c r="D14" s="2512">
        <f ca="1">结果表!H118</f>
        <v>255</v>
      </c>
      <c r="E14" s="2512">
        <f ca="1">结果表!I118</f>
        <v>22840</v>
      </c>
      <c r="F14" s="2512" t="e">
        <f ca="1">ROUND(D14*10000/C14,0)</f>
        <v>#DIV/0!</v>
      </c>
      <c r="G14" s="2512"/>
      <c r="H14" s="2512"/>
      <c r="I14" s="2512"/>
      <c r="J14" s="2681"/>
      <c r="K14" s="2682"/>
    </row>
    <row r="15" spans="1:11" ht="15.6">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5.6">
      <c r="A16" s="2511" t="s">
        <v>648</v>
      </c>
      <c r="B16" s="2513"/>
      <c r="C16" s="2513"/>
      <c r="D16" s="2513"/>
      <c r="E16" s="2512" t="e">
        <f t="shared" si="0"/>
        <v>#DIV/0!</v>
      </c>
      <c r="F16" s="2512" t="e">
        <f t="shared" si="1"/>
        <v>#DIV/0!</v>
      </c>
      <c r="G16" s="1327"/>
      <c r="H16" s="1327"/>
      <c r="I16" s="2513"/>
      <c r="J16" s="2682"/>
      <c r="K16" s="2682"/>
    </row>
    <row r="17" spans="1:11" ht="15.6">
      <c r="A17" s="2511" t="s">
        <v>647</v>
      </c>
      <c r="B17" s="2513"/>
      <c r="C17" s="2513"/>
      <c r="D17" s="2513"/>
      <c r="E17" s="2512" t="e">
        <f t="shared" si="0"/>
        <v>#DIV/0!</v>
      </c>
      <c r="F17" s="2512" t="e">
        <f t="shared" si="1"/>
        <v>#DIV/0!</v>
      </c>
      <c r="G17" s="1327"/>
      <c r="H17" s="1327"/>
      <c r="I17" s="2513"/>
      <c r="J17" s="2682"/>
      <c r="K17" s="2682"/>
    </row>
    <row r="18" spans="1:11" ht="15.6">
      <c r="A18" s="2511" t="s">
        <v>646</v>
      </c>
      <c r="B18" s="2513"/>
      <c r="C18" s="2513"/>
      <c r="D18" s="2513"/>
      <c r="E18" s="2512" t="e">
        <f t="shared" si="0"/>
        <v>#DIV/0!</v>
      </c>
      <c r="F18" s="2512" t="e">
        <f t="shared" si="1"/>
        <v>#DIV/0!</v>
      </c>
      <c r="G18" s="2513"/>
      <c r="H18" s="2513"/>
      <c r="I18" s="2513"/>
      <c r="J18" s="2682"/>
      <c r="K18" s="2682"/>
    </row>
    <row r="19" spans="1:11" ht="15.6">
      <c r="A19" s="2511" t="s">
        <v>645</v>
      </c>
      <c r="B19" s="2513"/>
      <c r="C19" s="2513"/>
      <c r="D19" s="2513"/>
      <c r="E19" s="2512" t="e">
        <f t="shared" si="0"/>
        <v>#DIV/0!</v>
      </c>
      <c r="F19" s="2512" t="e">
        <f t="shared" si="1"/>
        <v>#DIV/0!</v>
      </c>
      <c r="G19" s="2513"/>
      <c r="H19" s="2513"/>
      <c r="I19" s="2513"/>
      <c r="J19" s="2682"/>
      <c r="K19" s="2682"/>
    </row>
    <row r="20" spans="1:11" ht="15.6">
      <c r="A20" s="2511" t="s">
        <v>644</v>
      </c>
      <c r="B20" s="2513"/>
      <c r="C20" s="2513"/>
      <c r="D20" s="2513"/>
      <c r="E20" s="2512" t="e">
        <f t="shared" si="0"/>
        <v>#DIV/0!</v>
      </c>
      <c r="F20" s="2512" t="e">
        <f t="shared" si="1"/>
        <v>#DIV/0!</v>
      </c>
      <c r="G20" s="2513"/>
      <c r="H20" s="2513"/>
      <c r="I20" s="2513"/>
      <c r="J20" s="2682"/>
      <c r="K20" s="2682"/>
    </row>
    <row r="21" spans="1:11" ht="15.6">
      <c r="A21" s="2511" t="s">
        <v>643</v>
      </c>
      <c r="B21" s="2513"/>
      <c r="C21" s="2513"/>
      <c r="D21" s="2513"/>
      <c r="E21" s="2512" t="e">
        <f t="shared" si="0"/>
        <v>#DIV/0!</v>
      </c>
      <c r="F21" s="2512" t="e">
        <f t="shared" si="1"/>
        <v>#DIV/0!</v>
      </c>
      <c r="G21" s="2513"/>
      <c r="H21" s="2513"/>
      <c r="I21" s="2513"/>
      <c r="J21" s="2682"/>
      <c r="K21" s="2682"/>
    </row>
    <row r="22" spans="1:11" ht="15.6">
      <c r="A22" s="2511" t="s">
        <v>642</v>
      </c>
      <c r="B22" s="2513"/>
      <c r="C22" s="2513"/>
      <c r="D22" s="2513"/>
      <c r="E22" s="2512" t="e">
        <f t="shared" si="0"/>
        <v>#DIV/0!</v>
      </c>
      <c r="F22" s="2512" t="e">
        <f t="shared" si="1"/>
        <v>#DIV/0!</v>
      </c>
      <c r="G22" s="2513"/>
      <c r="H22" s="2513"/>
      <c r="I22" s="2513"/>
      <c r="J22" s="2682"/>
      <c r="K22" s="2682"/>
    </row>
    <row r="23" spans="1:11" ht="15.6">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N17" sqref="N17"/>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v>713</v>
      </c>
      <c r="D1" s="1743"/>
      <c r="E1" s="1743"/>
      <c r="F1" s="1745" t="s">
        <v>1263</v>
      </c>
      <c r="G1" s="1557" t="s">
        <v>3391</v>
      </c>
      <c r="H1" s="1746" t="str">
        <f>IF(G1="现房","——","估价对象范围")</f>
        <v>——</v>
      </c>
      <c r="I1" s="1747"/>
    </row>
    <row r="2" spans="1:12" ht="21.75" customHeight="1" thickBot="1">
      <c r="A2" s="3633" t="str">
        <f>项目基本情况!S2</f>
        <v>北京市大兴区芳源里1号楼7层713房地产</v>
      </c>
      <c r="B2" s="3634"/>
      <c r="C2" s="3634"/>
      <c r="D2" s="3634"/>
      <c r="E2" s="3634"/>
      <c r="F2" s="3634"/>
      <c r="G2" s="3634"/>
      <c r="H2" s="3634"/>
      <c r="I2" s="3635"/>
    </row>
    <row r="3" spans="1:12" ht="13.2">
      <c r="A3" s="3637" t="s">
        <v>1264</v>
      </c>
      <c r="B3" s="3638"/>
      <c r="C3" s="3638"/>
      <c r="D3" s="3638"/>
      <c r="E3" s="3638"/>
      <c r="F3" s="3638"/>
      <c r="G3" s="3638"/>
      <c r="H3" s="3638"/>
      <c r="I3" s="3638"/>
    </row>
    <row r="4" spans="1:12" ht="14.4">
      <c r="A4" s="1750" t="s">
        <v>1265</v>
      </c>
      <c r="B4" s="1751" t="s">
        <v>1266</v>
      </c>
      <c r="C4" s="1752" t="s">
        <v>3488</v>
      </c>
      <c r="D4" s="1752" t="s">
        <v>3399</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1" t="s">
        <v>1268</v>
      </c>
      <c r="B5" s="3636">
        <v>25</v>
      </c>
      <c r="C5" s="3639"/>
      <c r="D5" s="3627"/>
      <c r="E5" s="131" t="s">
        <v>1269</v>
      </c>
      <c r="F5" s="1753"/>
      <c r="G5" s="1753"/>
      <c r="H5" s="1753"/>
      <c r="I5" s="1369"/>
    </row>
    <row r="6" spans="1:12" ht="13.2">
      <c r="A6" s="3581"/>
      <c r="B6" s="3636"/>
      <c r="C6" s="3641"/>
      <c r="D6" s="3627"/>
      <c r="E6" s="131" t="s">
        <v>1270</v>
      </c>
      <c r="F6" s="1753"/>
      <c r="G6" s="1753"/>
      <c r="H6" s="1753"/>
      <c r="I6" s="1369"/>
    </row>
    <row r="7" spans="1:12" ht="13.2">
      <c r="A7" s="3581"/>
      <c r="B7" s="3636"/>
      <c r="C7" s="3640"/>
      <c r="D7" s="3627"/>
      <c r="E7" s="131" t="s">
        <v>1271</v>
      </c>
      <c r="F7" s="1753"/>
      <c r="G7" s="1753"/>
      <c r="H7" s="1753"/>
      <c r="I7" s="1369"/>
    </row>
    <row r="8" spans="1:12" ht="13.2">
      <c r="A8" s="3581" t="s">
        <v>1272</v>
      </c>
      <c r="B8" s="3636">
        <v>15</v>
      </c>
      <c r="C8" s="3639"/>
      <c r="D8" s="3627"/>
      <c r="E8" s="131" t="s">
        <v>1273</v>
      </c>
      <c r="F8" s="1753"/>
      <c r="G8" s="1753"/>
      <c r="H8" s="1753"/>
      <c r="I8" s="1369"/>
    </row>
    <row r="9" spans="1:12" ht="13.2">
      <c r="A9" s="3581"/>
      <c r="B9" s="3636"/>
      <c r="C9" s="3640"/>
      <c r="D9" s="3627"/>
      <c r="E9" s="131" t="s">
        <v>1274</v>
      </c>
      <c r="F9" s="1753"/>
      <c r="G9" s="1753"/>
      <c r="H9" s="1753"/>
      <c r="I9" s="1369"/>
    </row>
    <row r="10" spans="1:12" ht="13.2">
      <c r="A10" s="3581" t="s">
        <v>1275</v>
      </c>
      <c r="B10" s="3636">
        <v>15</v>
      </c>
      <c r="C10" s="3639"/>
      <c r="D10" s="3627"/>
      <c r="E10" s="131" t="s">
        <v>1276</v>
      </c>
      <c r="F10" s="1753"/>
      <c r="G10" s="1753"/>
      <c r="H10" s="1753"/>
      <c r="I10" s="1369"/>
    </row>
    <row r="11" spans="1:12" ht="13.2">
      <c r="A11" s="3581"/>
      <c r="B11" s="3636"/>
      <c r="C11" s="3640"/>
      <c r="D11" s="3627"/>
      <c r="E11" s="131" t="s">
        <v>1277</v>
      </c>
      <c r="F11" s="1753"/>
      <c r="G11" s="1753"/>
      <c r="H11" s="1753"/>
      <c r="I11" s="1369"/>
    </row>
    <row r="12" spans="1:12" ht="13.2">
      <c r="A12" s="3581" t="s">
        <v>1278</v>
      </c>
      <c r="B12" s="3636">
        <v>15</v>
      </c>
      <c r="C12" s="3639"/>
      <c r="D12" s="3627"/>
      <c r="E12" s="131" t="s">
        <v>1279</v>
      </c>
      <c r="F12" s="1753"/>
      <c r="G12" s="1753"/>
      <c r="H12" s="1753"/>
      <c r="I12" s="1369"/>
    </row>
    <row r="13" spans="1:12" ht="13.2">
      <c r="A13" s="3581"/>
      <c r="B13" s="3636"/>
      <c r="C13" s="3640"/>
      <c r="D13" s="3627"/>
      <c r="E13" s="131" t="s">
        <v>1280</v>
      </c>
      <c r="F13" s="1753"/>
      <c r="G13" s="1753"/>
      <c r="H13" s="1753"/>
      <c r="I13" s="1369"/>
    </row>
    <row r="14" spans="1:12" ht="13.2">
      <c r="A14" s="3581" t="s">
        <v>1281</v>
      </c>
      <c r="B14" s="3636">
        <v>30</v>
      </c>
      <c r="C14" s="3639">
        <v>8</v>
      </c>
      <c r="D14" s="3627">
        <v>2</v>
      </c>
      <c r="E14" s="131" t="s">
        <v>1282</v>
      </c>
      <c r="F14" s="1753"/>
      <c r="G14" s="1753"/>
      <c r="H14" s="1753"/>
      <c r="I14" s="1369"/>
    </row>
    <row r="15" spans="1:12" ht="13.2">
      <c r="A15" s="3581"/>
      <c r="B15" s="3636"/>
      <c r="C15" s="3641"/>
      <c r="D15" s="3627"/>
      <c r="E15" s="131" t="s">
        <v>1283</v>
      </c>
      <c r="F15" s="1753"/>
      <c r="G15" s="1753"/>
      <c r="H15" s="1753"/>
      <c r="I15" s="1369"/>
    </row>
    <row r="16" spans="1:12" ht="13.2">
      <c r="A16" s="3581"/>
      <c r="B16" s="3636"/>
      <c r="C16" s="3640"/>
      <c r="D16" s="3627"/>
      <c r="E16" s="131" t="s">
        <v>1284</v>
      </c>
      <c r="F16" s="1753"/>
      <c r="G16" s="1753"/>
      <c r="H16" s="1753"/>
      <c r="I16" s="1369"/>
    </row>
    <row r="17" spans="1:36" ht="14.4">
      <c r="A17" s="1754" t="s">
        <v>1285</v>
      </c>
      <c r="B17" s="56"/>
      <c r="C17" s="132">
        <f>SUM(C5:C16)</f>
        <v>8</v>
      </c>
      <c r="D17" s="132">
        <f>SUM(D5:D16)</f>
        <v>2</v>
      </c>
      <c r="E17" s="129"/>
      <c r="F17" s="129"/>
      <c r="G17" s="129"/>
      <c r="H17" s="129"/>
      <c r="I17" s="129"/>
      <c r="K17" s="302"/>
      <c r="L17" s="302" t="s">
        <v>1286</v>
      </c>
      <c r="M17" s="302" t="s">
        <v>1287</v>
      </c>
    </row>
    <row r="18" spans="1:36" ht="31.95" customHeight="1" thickBot="1">
      <c r="A18" s="1755" t="s">
        <v>1288</v>
      </c>
      <c r="B18" s="1756"/>
      <c r="C18" s="133">
        <f>ROUND(C17/SUM(C17:D17),2)</f>
        <v>0.8</v>
      </c>
      <c r="D18" s="133">
        <f>1-C18</f>
        <v>0.19999999999999996</v>
      </c>
      <c r="E18" s="3658" t="s">
        <v>2131</v>
      </c>
      <c r="F18" s="3659"/>
      <c r="G18" s="3659"/>
      <c r="H18" s="3659"/>
      <c r="I18" s="3659"/>
      <c r="K18" s="302" t="s">
        <v>1289</v>
      </c>
      <c r="L18" s="302">
        <f>IF(C1="",'数据-汇总表'!E3,SUMIF(项目类型,C1,'数据-汇总表'!E17:E26)+SUMIF(项目类型,C1,'数据-汇总表'!I17:I26))</f>
        <v>111.43</v>
      </c>
      <c r="M18" s="302">
        <f>IF(C1="",'数据-汇总表'!E3,SUMIF(项目类型,C1,'数据-汇总表'!E17:E26))</f>
        <v>111.43</v>
      </c>
    </row>
    <row r="19" spans="1:36" ht="14.4">
      <c r="A19" s="1757" t="s">
        <v>1290</v>
      </c>
      <c r="B19" s="1758" t="s">
        <v>1291</v>
      </c>
      <c r="C19" s="134">
        <f ca="1">SUMIF(INDIRECT("'"&amp;C4&amp;"'"&amp;"!A:A"),结果表!B19,INDIRECT("'"&amp;C4&amp;"'"&amp;"!B:B"))</f>
        <v>274.61919999999998</v>
      </c>
      <c r="D19" s="135">
        <f ca="1">SUMIF(INDIRECT("'"&amp;D4&amp;"'"&amp;"!A:A"),结果表!B19,INDIRECT("'"&amp;D4&amp;"'"&amp;"!B:B"))</f>
        <v>174.0284</v>
      </c>
      <c r="E19" s="1757" t="s">
        <v>1292</v>
      </c>
      <c r="F19" s="1758" t="s">
        <v>1291</v>
      </c>
      <c r="G19" s="136">
        <f ca="1">ROUND(C19*$C$18+D19*$D$18,0)</f>
        <v>255</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0"/>
      <c r="B20" s="1022" t="s">
        <v>1295</v>
      </c>
      <c r="C20" s="137">
        <f ca="1">SUMIF(INDIRECT("'"&amp;C4&amp;"'"&amp;"!A:A"),结果表!B20,INDIRECT("'"&amp;C4&amp;"'"&amp;"!B:B"))</f>
        <v>24645</v>
      </c>
      <c r="D20" s="138">
        <f ca="1">SUMIF(INDIRECT("'"&amp;D4&amp;"'"&amp;"!A:A"),结果表!B20,INDIRECT("'"&amp;D4&amp;"'"&amp;"!B:B"))</f>
        <v>15618</v>
      </c>
      <c r="E20" s="1760"/>
      <c r="F20" s="1022" t="s">
        <v>1295</v>
      </c>
      <c r="G20" s="139">
        <f ca="1">ROUND(C20*$C$18+D20*$D$18,0)</f>
        <v>22840</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0.57801370351046133</v>
      </c>
      <c r="E22" s="129"/>
      <c r="F22" s="129"/>
      <c r="G22" s="129"/>
      <c r="H22" s="129"/>
      <c r="I22" s="129"/>
    </row>
    <row r="23" spans="1:36" ht="13.8" thickBot="1">
      <c r="A23" s="1743"/>
      <c r="B23" s="1743"/>
      <c r="C23" s="1743"/>
      <c r="D23" s="1743"/>
      <c r="E23" s="129"/>
      <c r="F23" s="129"/>
      <c r="G23" s="129"/>
      <c r="H23" s="129"/>
      <c r="I23" s="129"/>
    </row>
    <row r="24" spans="1:36" ht="14.4">
      <c r="A24" s="3651" t="s">
        <v>1299</v>
      </c>
      <c r="B24" s="1758" t="s">
        <v>1291</v>
      </c>
      <c r="C24" s="136">
        <f>IF(B30=0,0,D30)</f>
        <v>0</v>
      </c>
      <c r="D24" s="1765"/>
      <c r="E24" s="129"/>
      <c r="F24" s="129"/>
      <c r="G24" s="129"/>
      <c r="H24" s="129"/>
      <c r="I24" s="129"/>
    </row>
    <row r="25" spans="1:36" ht="14.4">
      <c r="A25" s="3652"/>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5.6" thickTop="1" thickBot="1">
      <c r="A32" s="1769" t="s">
        <v>1305</v>
      </c>
      <c r="B32" s="1770"/>
      <c r="C32" s="144">
        <f ca="1">IF(D32="总价",G19-C24,G20-C25)</f>
        <v>22840</v>
      </c>
      <c r="D32" s="1771" t="s">
        <v>3490</v>
      </c>
      <c r="E32" s="129"/>
      <c r="F32" s="129"/>
      <c r="G32" s="129"/>
      <c r="H32" s="129"/>
      <c r="I32" s="129"/>
    </row>
    <row r="33" spans="1:15" ht="14.4">
      <c r="A33" s="784" t="s">
        <v>1306</v>
      </c>
      <c r="B33" s="1772"/>
      <c r="C33" s="1773" t="s">
        <v>3491</v>
      </c>
      <c r="D33" s="1774"/>
      <c r="E33" s="1775" t="s">
        <v>1307</v>
      </c>
      <c r="F33" s="1776" t="str">
        <f>IF(D32="楼面单价","取值（单价）","取值（总价）")</f>
        <v>取值（单价）</v>
      </c>
      <c r="G33" s="129"/>
      <c r="H33" s="129"/>
      <c r="I33" s="129"/>
    </row>
    <row r="34" spans="1:15" ht="14.4">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 thickBot="1">
      <c r="A36" s="3628" t="s">
        <v>1312</v>
      </c>
      <c r="B36" s="1783" t="s">
        <v>1313</v>
      </c>
      <c r="C36" s="145"/>
      <c r="D36" s="1784"/>
      <c r="E36" s="1785"/>
      <c r="F36" s="1786"/>
      <c r="G36" s="129"/>
      <c r="H36" s="129"/>
      <c r="I36" s="129"/>
    </row>
    <row r="37" spans="1:15" ht="15" thickBot="1">
      <c r="A37" s="3629"/>
      <c r="B37" s="1670" t="s">
        <v>1314</v>
      </c>
      <c r="C37" s="147"/>
      <c r="D37" s="1135"/>
      <c r="E37" s="1135"/>
      <c r="F37" s="1786"/>
      <c r="G37" s="129"/>
      <c r="H37" s="129"/>
      <c r="I37" s="129"/>
    </row>
    <row r="38" spans="1:15" ht="15" thickBot="1">
      <c r="A38" s="3630"/>
      <c r="B38" s="1787" t="s">
        <v>1315</v>
      </c>
      <c r="C38" s="672"/>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48" t="s">
        <v>1326</v>
      </c>
      <c r="B45" s="3649"/>
      <c r="C45" s="3650"/>
      <c r="D45" s="155">
        <f ca="1">ROUND(H101*F45,0)</f>
        <v>255</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2"/>
      <c r="I46" s="159"/>
      <c r="J46" s="2517">
        <v>1</v>
      </c>
      <c r="K46" s="3569" t="s">
        <v>1331</v>
      </c>
      <c r="L46" s="3569"/>
      <c r="M46" s="3570"/>
      <c r="N46" s="3570"/>
      <c r="O46" s="3570"/>
    </row>
    <row r="47" spans="1:15" ht="12" customHeight="1">
      <c r="A47" s="160" t="s">
        <v>1332</v>
      </c>
      <c r="B47" s="161"/>
      <c r="C47" s="162"/>
      <c r="D47" s="1083" t="s">
        <v>1333</v>
      </c>
      <c r="E47" s="302" t="s">
        <v>1334</v>
      </c>
      <c r="F47" s="163" t="s">
        <v>1335</v>
      </c>
      <c r="G47" s="2540" t="s">
        <v>1336</v>
      </c>
      <c r="H47" s="2541"/>
      <c r="I47" s="159"/>
      <c r="J47" s="2517">
        <v>2</v>
      </c>
      <c r="K47" s="3569" t="s">
        <v>1337</v>
      </c>
      <c r="L47" s="3569"/>
      <c r="M47" s="3571">
        <f>'数据-取费表'!B2</f>
        <v>45435</v>
      </c>
      <c r="N47" s="3571"/>
      <c r="O47" s="3571"/>
    </row>
    <row r="48" spans="1:15" ht="26.4">
      <c r="A48" s="3631" t="s">
        <v>1338</v>
      </c>
      <c r="B48" s="3632"/>
      <c r="C48" s="363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569" t="s">
        <v>1340</v>
      </c>
      <c r="L48" s="3569"/>
      <c r="M48" s="3572">
        <f ca="1">H101</f>
        <v>255</v>
      </c>
      <c r="N48" s="3572"/>
      <c r="O48" s="3572"/>
    </row>
    <row r="49" spans="1:35" ht="25.5" customHeight="1">
      <c r="A49" s="2328" t="s">
        <v>1341</v>
      </c>
      <c r="B49" s="3617" t="s">
        <v>1342</v>
      </c>
      <c r="C49" s="3617"/>
      <c r="D49" s="1586">
        <v>0</v>
      </c>
      <c r="E49" s="324" t="s">
        <v>1343</v>
      </c>
      <c r="F49" s="2418" t="s">
        <v>28</v>
      </c>
      <c r="G49" s="3600"/>
      <c r="H49" s="2305" t="s">
        <v>2134</v>
      </c>
      <c r="I49" s="2306"/>
      <c r="J49" s="2517">
        <v>4</v>
      </c>
      <c r="K49" s="3569" t="str">
        <f>IF(项目基本情况!E8="房地产抵押价值","房地产抵押价值","抵押担保权已注销时的房地产抵押价值")</f>
        <v>房地产抵押价值</v>
      </c>
      <c r="L49" s="3569"/>
      <c r="M49" s="3572">
        <f ca="1">IF(项目基本情况!E8="房地产抵押价值",H107,H109)</f>
        <v>255</v>
      </c>
      <c r="N49" s="3572"/>
      <c r="O49" s="3572"/>
    </row>
    <row r="50" spans="1:35" ht="25.5" customHeight="1">
      <c r="A50" s="2545"/>
      <c r="B50" s="3617" t="s">
        <v>1344</v>
      </c>
      <c r="C50" s="3617"/>
      <c r="D50" s="2546"/>
      <c r="E50" s="332"/>
      <c r="F50" s="2418"/>
      <c r="G50" s="3601"/>
      <c r="H50" s="2307" t="s">
        <v>2135</v>
      </c>
      <c r="I50" s="2306"/>
      <c r="J50" s="3568" t="s">
        <v>1345</v>
      </c>
      <c r="K50" s="3568"/>
      <c r="L50" s="3568"/>
      <c r="M50" s="3568"/>
      <c r="N50" s="3568"/>
      <c r="O50" s="3568"/>
    </row>
    <row r="51" spans="1:35" ht="20.399999999999999" customHeight="1">
      <c r="A51" s="2547"/>
      <c r="B51" s="3617" t="s">
        <v>1346</v>
      </c>
      <c r="C51" s="3617"/>
      <c r="D51" s="1083"/>
      <c r="E51" s="327"/>
      <c r="F51" s="2418"/>
      <c r="G51" s="3602"/>
      <c r="H51" s="2307" t="s">
        <v>2136</v>
      </c>
      <c r="I51" s="2306"/>
      <c r="J51" s="2518" t="s">
        <v>1347</v>
      </c>
      <c r="K51" s="3569" t="s">
        <v>1348</v>
      </c>
      <c r="L51" s="3569"/>
      <c r="M51" s="2518" t="s">
        <v>1349</v>
      </c>
      <c r="N51" s="2518" t="s">
        <v>1350</v>
      </c>
      <c r="O51" s="2518" t="s">
        <v>1351</v>
      </c>
    </row>
    <row r="52" spans="1:35" ht="24" customHeight="1">
      <c r="A52" s="2330" t="s">
        <v>1352</v>
      </c>
      <c r="B52" s="3617" t="s">
        <v>1353</v>
      </c>
      <c r="C52" s="3617"/>
      <c r="D52" s="1083">
        <f ca="1">ROUND(D45*'数据-取费表'!B41/(1+'数据-取费表'!C42),0)</f>
        <v>13</v>
      </c>
      <c r="E52" s="2329" t="s">
        <v>1354</v>
      </c>
      <c r="F52" s="2548">
        <f>'数据-取费表'!B41</f>
        <v>5.5000000000000007E-2</v>
      </c>
      <c r="G52" s="2549"/>
      <c r="H52" s="2538"/>
      <c r="I52" s="1803"/>
      <c r="J52" s="2517">
        <v>1</v>
      </c>
      <c r="K52" s="3594" t="s">
        <v>1355</v>
      </c>
      <c r="L52" s="3594"/>
      <c r="M52" s="2519" t="b">
        <f>D48</f>
        <v>0</v>
      </c>
      <c r="N52" s="2517" t="str">
        <f>E48</f>
        <v>销售额×税（费）率</v>
      </c>
      <c r="O52" s="2520">
        <f>F48</f>
        <v>5.5000000000000007E-2</v>
      </c>
    </row>
    <row r="53" spans="1:35" ht="12" customHeight="1">
      <c r="A53" s="2330" t="s">
        <v>1356</v>
      </c>
      <c r="B53" s="3618" t="s">
        <v>2291</v>
      </c>
      <c r="C53" s="3619"/>
      <c r="D53" s="1083">
        <f ca="1">ROUND(D45*'数据-取费表'!B41/(1+'数据-取费表'!C42),0)</f>
        <v>13</v>
      </c>
      <c r="E53" s="2329" t="s">
        <v>1354</v>
      </c>
      <c r="F53" s="2548">
        <f>'数据-取费表'!B41</f>
        <v>5.5000000000000007E-2</v>
      </c>
      <c r="G53" s="2549"/>
      <c r="H53" s="2538"/>
      <c r="I53" s="1803"/>
      <c r="J53" s="2517">
        <v>2</v>
      </c>
      <c r="K53" s="3594" t="s">
        <v>1357</v>
      </c>
      <c r="L53" s="3594"/>
      <c r="M53" s="2519">
        <f t="shared" ref="M53:O54" ca="1" si="0">D55</f>
        <v>0</v>
      </c>
      <c r="N53" s="2517" t="str">
        <f t="shared" si="0"/>
        <v>销售额×税（费）率</v>
      </c>
      <c r="O53" s="2520" t="str">
        <f t="shared" si="0"/>
        <v>免征</v>
      </c>
    </row>
    <row r="54" spans="1:35" ht="12" customHeight="1">
      <c r="A54" s="2330" t="s">
        <v>1358</v>
      </c>
      <c r="B54" s="3618" t="s">
        <v>2292</v>
      </c>
      <c r="C54" s="3619"/>
      <c r="D54" s="1083">
        <f ca="1">C68</f>
        <v>13</v>
      </c>
      <c r="E54" s="327" t="s">
        <v>1359</v>
      </c>
      <c r="F54" s="2548">
        <f>'数据-取费表'!B41</f>
        <v>5.5000000000000007E-2</v>
      </c>
      <c r="G54" s="2549"/>
      <c r="H54" s="2550"/>
      <c r="I54" s="1803"/>
      <c r="J54" s="2517">
        <v>3</v>
      </c>
      <c r="K54" s="3594" t="s">
        <v>1360</v>
      </c>
      <c r="L54" s="3594"/>
      <c r="M54" s="2519">
        <f t="shared" ca="1" si="0"/>
        <v>145</v>
      </c>
      <c r="N54" s="2517" t="str">
        <f t="shared" si="0"/>
        <v>增值额×税（费）率</v>
      </c>
      <c r="O54" s="2521" t="str">
        <f t="shared" si="0"/>
        <v>免征</v>
      </c>
    </row>
    <row r="55" spans="1:35" ht="24" customHeight="1">
      <c r="A55" s="3654" t="s">
        <v>1361</v>
      </c>
      <c r="B55" s="3632"/>
      <c r="C55" s="3632"/>
      <c r="D55" s="2319">
        <f ca="1">IF(H55="个人住宅",0,ROUND(D45*I55,0))</f>
        <v>0</v>
      </c>
      <c r="E55" s="2329" t="s">
        <v>1362</v>
      </c>
      <c r="F55" s="2548" t="str">
        <f>IF(H55="正常",I55,"免征")</f>
        <v>免征</v>
      </c>
      <c r="G55" s="2549"/>
      <c r="H55" s="2544"/>
      <c r="I55" s="165">
        <f>'数据-取费表'!B49</f>
        <v>5.0000000000000001E-4</v>
      </c>
      <c r="J55" s="2517">
        <f>IF(H59="非个人房产","",4)</f>
        <v>4</v>
      </c>
      <c r="K55" s="3594" t="str">
        <f>IF(H59="非个人房产","——","个人所得税")</f>
        <v>个人所得税</v>
      </c>
      <c r="L55" s="3594"/>
      <c r="M55" s="2522">
        <f ca="1">D59</f>
        <v>2</v>
      </c>
      <c r="N55" s="2035" t="str">
        <f>E59</f>
        <v>差额计税</v>
      </c>
      <c r="O55" s="2523">
        <f>F59</f>
        <v>0.01</v>
      </c>
    </row>
    <row r="56" spans="1:35" ht="25.2">
      <c r="A56" s="3654" t="s">
        <v>1363</v>
      </c>
      <c r="B56" s="3632"/>
      <c r="C56" s="3632"/>
      <c r="D56" s="2319">
        <f ca="1">IF(H56="个人住宅",D57,D58)</f>
        <v>145</v>
      </c>
      <c r="E56" s="2329" t="s">
        <v>1364</v>
      </c>
      <c r="F56" s="2548" t="str">
        <f>IF(H56="正常",F58,"免征")</f>
        <v>免征</v>
      </c>
      <c r="G56" s="2551" t="s">
        <v>1365</v>
      </c>
      <c r="H56" s="2552"/>
      <c r="I56" s="1804"/>
      <c r="J56" s="2517" t="str">
        <f>IF(项目基本情况!K6="上海银行",IF(J55="",4,J55+1),"")</f>
        <v/>
      </c>
      <c r="K56" s="3575" t="str">
        <f>IF(项目基本情况!K6="上海银行","其他处置费用","")</f>
        <v/>
      </c>
      <c r="L56" s="3576"/>
      <c r="M56" s="2519" t="str">
        <f>IF(项目基本情况!K6="上海银行",M69,"")</f>
        <v/>
      </c>
      <c r="N56" s="3575" t="str">
        <f>IF(项目基本情况!K6="上海银行","包含处置中涉及的律师、诉讼、拍卖、评估等费用","")</f>
        <v/>
      </c>
      <c r="O56" s="3578"/>
    </row>
    <row r="57" spans="1:35" ht="13.2">
      <c r="A57" s="2330" t="s">
        <v>1341</v>
      </c>
      <c r="B57" s="3618" t="s">
        <v>1366</v>
      </c>
      <c r="C57" s="3619"/>
      <c r="D57" s="1586">
        <v>0</v>
      </c>
      <c r="E57" s="324" t="s">
        <v>1343</v>
      </c>
      <c r="F57" s="302"/>
      <c r="G57" s="2549"/>
      <c r="H57" s="2553"/>
      <c r="I57" s="1804"/>
      <c r="J57" s="3594">
        <f>IF(AND(J55="",J56=""),4,IF(项目基本情况!K6="上海银行",结果表!J56+1,结果表!J55+1))</f>
        <v>5</v>
      </c>
      <c r="K57" s="3594" t="s">
        <v>1367</v>
      </c>
      <c r="L57" s="2524" t="s">
        <v>1368</v>
      </c>
      <c r="M57" s="2525"/>
      <c r="N57" s="2526">
        <f ca="1">SUMIF(M52:M56,"&lt;9e307")</f>
        <v>147</v>
      </c>
      <c r="O57" s="2527"/>
      <c r="P57" s="2684">
        <f ca="1">N57/M49</f>
        <v>0.57647058823529407</v>
      </c>
    </row>
    <row r="58" spans="1:35" ht="25.2">
      <c r="A58" s="2330" t="s">
        <v>1352</v>
      </c>
      <c r="B58" s="3618" t="s">
        <v>1369</v>
      </c>
      <c r="C58" s="3617"/>
      <c r="D58" s="2319">
        <f ca="1">IF(H58="转让取得",C81,C97)</f>
        <v>145</v>
      </c>
      <c r="E58" s="2329" t="s">
        <v>1364</v>
      </c>
      <c r="F58" s="302" t="s">
        <v>28</v>
      </c>
      <c r="G58" s="2549"/>
      <c r="H58" s="2552"/>
      <c r="I58" s="1804"/>
      <c r="J58" s="3594"/>
      <c r="K58" s="3594"/>
      <c r="L58" s="2524" t="s">
        <v>1370</v>
      </c>
      <c r="M58" s="2528"/>
      <c r="N58" s="2529" t="str">
        <f ca="1">NUMBERSTRING(INT(N57*10000),2)&amp;"元整"</f>
        <v>壹佰肆拾柒万元整</v>
      </c>
      <c r="O58" s="2530"/>
    </row>
    <row r="59" spans="1:35" ht="24.6" thickBot="1">
      <c r="A59" s="3598" t="s">
        <v>1371</v>
      </c>
      <c r="B59" s="3599"/>
      <c r="C59" s="3599"/>
      <c r="D59" s="2554">
        <f ca="1">IF(H59="非个人房产","——",IF(H59="个人住宅（满五唯一有凭证）",0,IF(H59="个人其他（无凭证）",ROUND(D45*F59,0),ROUND(C67*F59,0))))</f>
        <v>2</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596">
        <f>J57+1</f>
        <v>6</v>
      </c>
      <c r="K59" s="3594" t="s">
        <v>1372</v>
      </c>
      <c r="L59" s="2517" t="s">
        <v>1368</v>
      </c>
      <c r="M59" s="2531"/>
      <c r="N59" s="2532">
        <f ca="1">M49-N57</f>
        <v>108</v>
      </c>
      <c r="O59" s="2533"/>
    </row>
    <row r="60" spans="1:35" ht="12" customHeight="1">
      <c r="A60" s="1805"/>
      <c r="B60" s="1743"/>
      <c r="C60" s="1743"/>
      <c r="D60" s="1743"/>
      <c r="E60" s="1574"/>
      <c r="F60" s="1804"/>
      <c r="G60" s="1804"/>
      <c r="H60" s="1806"/>
      <c r="I60" s="129"/>
      <c r="J60" s="3597"/>
      <c r="K60" s="3594"/>
      <c r="L60" s="2524" t="s">
        <v>1370</v>
      </c>
      <c r="M60" s="2528"/>
      <c r="N60" s="2529" t="str">
        <f ca="1">NUMBERSTRING(INT(N59*10000),2)&amp;"元整"</f>
        <v>壹佰零捌万元整</v>
      </c>
      <c r="O60" s="2530"/>
    </row>
    <row r="61" spans="1:35" ht="13.8" thickBot="1">
      <c r="A61" s="3653" t="s">
        <v>1373</v>
      </c>
      <c r="B61" s="3653"/>
      <c r="C61" s="3653"/>
      <c r="D61" s="3653"/>
      <c r="E61" s="3653"/>
      <c r="F61" s="1804"/>
      <c r="G61" s="1804"/>
      <c r="H61" s="1806"/>
      <c r="I61" s="129"/>
      <c r="J61" s="2517">
        <f>J59+1</f>
        <v>7</v>
      </c>
      <c r="K61" s="3594" t="s">
        <v>1374</v>
      </c>
      <c r="L61" s="3594"/>
      <c r="M61" s="2534"/>
      <c r="N61" s="2535">
        <f ca="1">ROUND(N59*10000/'数据-汇总表'!E3,0)</f>
        <v>9692</v>
      </c>
      <c r="O61" s="2536"/>
    </row>
    <row r="62" spans="1:35" ht="13.2">
      <c r="A62" s="3613" t="s">
        <v>1375</v>
      </c>
      <c r="B62" s="3614"/>
      <c r="C62" s="2016"/>
      <c r="D62" s="2016" t="s">
        <v>1376</v>
      </c>
      <c r="E62" s="166" t="s">
        <v>1377</v>
      </c>
      <c r="F62" s="1804"/>
      <c r="G62" s="1804"/>
      <c r="H62" s="1806"/>
      <c r="I62" s="129"/>
    </row>
    <row r="63" spans="1:35" ht="13.2">
      <c r="A63" s="173" t="s">
        <v>330</v>
      </c>
      <c r="B63" s="167" t="s">
        <v>1378</v>
      </c>
      <c r="C63" s="2558">
        <f ca="1">ROUND((C64+C65)/(1+'数据-取费表'!C42),0)</f>
        <v>243</v>
      </c>
      <c r="D63" s="167"/>
      <c r="E63" s="168"/>
      <c r="F63" s="1804"/>
      <c r="G63" s="1804"/>
      <c r="H63" s="1806"/>
      <c r="I63" s="129"/>
      <c r="J63" s="3577" t="s">
        <v>1379</v>
      </c>
      <c r="K63" s="1328" t="s">
        <v>1380</v>
      </c>
      <c r="L63" s="1328">
        <f ca="1">IF(M49&gt;10000,M49*0.5%,IF(AND(M49&gt;1000,M49&lt;=10000),M49*1%,IF(AND(M49&gt;100,M49&lt;=1000),M49*3%,IF(AND(M49&gt;10,M49&lt;=100),M49*5%,M49*8%))))</f>
        <v>7.6499999999999995</v>
      </c>
      <c r="M63" s="302">
        <f ca="1">ROUND(L63,1)</f>
        <v>7.7</v>
      </c>
      <c r="N63" s="2537"/>
      <c r="Z63" s="1748"/>
      <c r="AI63" s="1749"/>
    </row>
    <row r="64" spans="1:35" ht="14.25" customHeight="1">
      <c r="A64" s="169" t="s">
        <v>325</v>
      </c>
      <c r="B64" s="170" t="s">
        <v>1381</v>
      </c>
      <c r="C64" s="2559">
        <f ca="1">D45</f>
        <v>255</v>
      </c>
      <c r="D64" s="170" t="s">
        <v>26</v>
      </c>
      <c r="E64" s="172"/>
      <c r="F64" s="1804"/>
      <c r="G64" s="1804"/>
      <c r="H64" s="1806"/>
      <c r="I64" s="129"/>
      <c r="J64" s="3577"/>
      <c r="K64" s="1328" t="s">
        <v>1382</v>
      </c>
      <c r="L64" s="1328">
        <f ca="1">IF(M49&gt;2000,M49*0.5%,IF(AND(M49&gt;1000,M49&lt;=2000),M49*0.6%,IF(AND(M49&gt;500,M49&lt;=1000),M49*0.7%,IF(AND(M49&gt;200,M49&lt;=500),M49*0.8%,IF(AND(M49&gt;100,M49&lt;=200),M49*0.9%,IF(AND(M49&gt;50,M49&lt;=100),M49*1%,IF(AND(M49&gt;20,M49&lt;=50),M49*1.5%,IF(AND(M49&gt;10,M49&lt;=20),M49*2%,IF(AND(M49&gt;1,M49&lt;=10),M49*2.5%)))))))))</f>
        <v>2.04</v>
      </c>
      <c r="M64" s="302">
        <f t="shared" ref="M64:M65" ca="1" si="1">ROUND(L64,1)</f>
        <v>2</v>
      </c>
      <c r="N64" s="2538" t="s">
        <v>1383</v>
      </c>
      <c r="Z64" s="1748"/>
      <c r="AI64" s="1749"/>
    </row>
    <row r="65" spans="1:35" ht="14.25" customHeight="1">
      <c r="A65" s="169" t="s">
        <v>326</v>
      </c>
      <c r="B65" s="170" t="s">
        <v>1384</v>
      </c>
      <c r="C65" s="2560"/>
      <c r="D65" s="170"/>
      <c r="E65" s="172"/>
      <c r="F65" s="1804"/>
      <c r="G65" s="1804"/>
      <c r="H65" s="1806"/>
      <c r="I65" s="129"/>
      <c r="J65" s="3577"/>
      <c r="K65" s="1328" t="s">
        <v>1385</v>
      </c>
      <c r="L65" s="1328">
        <f ca="1">IF(M49&gt;1000,M49*0.1%,IF(AND(M49&gt;500,M49&lt;=1000),M49*0.5%,IF(AND(M49&gt;50,M49&lt;=500),M49*1%,IF(AND(M49&gt;1,M49&lt;=50),M49*1.5%))))</f>
        <v>2.5500000000000003</v>
      </c>
      <c r="M65" s="302">
        <f t="shared" ca="1" si="1"/>
        <v>2.6</v>
      </c>
      <c r="N65" s="2538" t="s">
        <v>1383</v>
      </c>
      <c r="Z65" s="1748"/>
      <c r="AI65" s="1749"/>
    </row>
    <row r="66" spans="1:35" ht="14.25" customHeight="1">
      <c r="A66" s="173" t="s">
        <v>327</v>
      </c>
      <c r="B66" s="174" t="s">
        <v>1386</v>
      </c>
      <c r="C66" s="2561"/>
      <c r="D66" s="174" t="s">
        <v>26</v>
      </c>
      <c r="E66" s="1334" t="s">
        <v>671</v>
      </c>
      <c r="F66" s="1804"/>
      <c r="G66" s="1804"/>
      <c r="H66" s="1806"/>
      <c r="I66" s="129"/>
      <c r="J66" s="3577"/>
      <c r="K66" s="1328" t="s">
        <v>1387</v>
      </c>
      <c r="L66" s="1328">
        <f ca="1">M49*0.5%</f>
        <v>1.2750000000000001</v>
      </c>
      <c r="M66" s="302">
        <f ca="1">IF(L66&gt;0.5,0.5,ROUND(L66,0))</f>
        <v>0.5</v>
      </c>
      <c r="N66" s="2538" t="s">
        <v>1388</v>
      </c>
      <c r="Z66" s="1748"/>
      <c r="AI66" s="1749"/>
    </row>
    <row r="67" spans="1:35" ht="14.25" customHeight="1">
      <c r="A67" s="173" t="s">
        <v>328</v>
      </c>
      <c r="B67" s="174" t="s">
        <v>1389</v>
      </c>
      <c r="C67" s="2562">
        <f ca="1">C63-C66</f>
        <v>243</v>
      </c>
      <c r="D67" s="170" t="s">
        <v>26</v>
      </c>
      <c r="E67" s="172"/>
      <c r="F67" s="1804"/>
      <c r="G67" s="1804"/>
      <c r="H67" s="1806"/>
      <c r="I67" s="129"/>
      <c r="J67" s="3577"/>
      <c r="K67" s="1328" t="s">
        <v>1390</v>
      </c>
      <c r="L67" s="1328">
        <f ca="1">IF(M49&gt;=10000,(8.25+(M49-10000)*0.01%),IF(AND(M49&gt;=8000,M49&lt;10000),(7.85+(M49-8000)*0.02%),IF(AND(M49&gt;=5000,M49&lt;8000),(6.65+(M49-5000)*0.04%),IF(AND(M49&gt;=2000,M49&lt;5000),(4.25+(PM49-2000)*0.08%),IF(AND(M49&gt;=1000,M49&lt;2000),(2.75+(M49-1000)*0.15%),IF(AND(M49&gt;=100,M49&lt;1000),(0.5+(M49-100)*0.25%),IF(AND(M49&gt;0,M49&lt;100),M49*0.5%)))))))</f>
        <v>0.88749999999999996</v>
      </c>
      <c r="M67" s="302">
        <f ca="1">ROUND(L67*0.9,1)</f>
        <v>0.8</v>
      </c>
      <c r="N67" s="2537"/>
      <c r="Z67" s="1748"/>
      <c r="AI67" s="1749"/>
    </row>
    <row r="68" spans="1:35" ht="14.25" customHeight="1" thickBot="1">
      <c r="A68" s="176" t="s">
        <v>329</v>
      </c>
      <c r="B68" s="177" t="s">
        <v>1391</v>
      </c>
      <c r="C68" s="2563">
        <f ca="1">IF(C67&lt;=0,0,ROUND(C67*D68,0))</f>
        <v>13</v>
      </c>
      <c r="D68" s="2564">
        <f>'数据-取费表'!B41</f>
        <v>5.5000000000000007E-2</v>
      </c>
      <c r="E68" s="178"/>
      <c r="F68" s="1804"/>
      <c r="G68" s="1804"/>
      <c r="H68" s="1806"/>
      <c r="I68" s="129"/>
      <c r="J68" s="3577"/>
      <c r="K68" s="1328" t="s">
        <v>1392</v>
      </c>
      <c r="L68" s="1328">
        <f ca="1">IF(M49&gt;10000,M49*0.5%,IF(AND(M49&gt;5000,M49&lt;=10000),M49*1%,IF(AND(M49&gt;1000,M49&lt;=5000),M49*2%,IF(AND(M49&gt;200,M49&lt;=1000),M49*3%,M49*5%))))</f>
        <v>7.6499999999999995</v>
      </c>
      <c r="M68" s="302">
        <f ca="1">ROUND(L68,1)</f>
        <v>7.7</v>
      </c>
      <c r="N68" s="2537"/>
      <c r="Z68" s="1748"/>
      <c r="AI68" s="1749"/>
    </row>
    <row r="69" spans="1:35" s="1768" customFormat="1" ht="16.5" customHeight="1">
      <c r="A69" s="1807"/>
      <c r="B69" s="1808"/>
      <c r="C69" s="1809"/>
      <c r="D69" s="1810"/>
      <c r="E69" s="1811"/>
      <c r="F69" s="1574"/>
      <c r="G69" s="1574"/>
      <c r="H69" s="1573"/>
      <c r="I69" s="1743"/>
      <c r="J69" s="3577"/>
      <c r="K69" s="1328" t="s">
        <v>1393</v>
      </c>
      <c r="L69" s="1328"/>
      <c r="M69" s="302">
        <f ca="1">ROUND(SUM(M63:M68),0)</f>
        <v>21</v>
      </c>
      <c r="N69" s="2539">
        <f ca="1">M69/M49</f>
        <v>8.2352941176470587E-2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621" t="s">
        <v>1394</v>
      </c>
      <c r="B70" s="3622"/>
      <c r="C70" s="3622"/>
      <c r="D70" s="3622"/>
      <c r="E70" s="3622"/>
      <c r="F70" s="3622"/>
      <c r="G70" s="3622"/>
      <c r="H70" s="3622"/>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13" t="s">
        <v>1375</v>
      </c>
      <c r="B71" s="3614"/>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2">
        <f ca="1">ROUND(D45/(1+'数据-取费表'!C42),0)</f>
        <v>243</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618" t="s">
        <v>1402</v>
      </c>
      <c r="F76" s="3617"/>
      <c r="G76" s="3617"/>
      <c r="H76" s="362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610" t="s">
        <v>1406</v>
      </c>
      <c r="F78" s="3611"/>
      <c r="G78" s="3611"/>
      <c r="H78" s="361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2">
        <f ca="1">C72-C73</f>
        <v>242</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242</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3">
        <f ca="1">ROUND(IF(C79&lt;=0,0,IF(C80&gt;=200%,C79*60%-C73*35%,IF(C80&gt;=100%,C79*50%-C73*15%,IF(C80&gt;=50%,C79*40%-C73*5%,IF(C80&lt;50%,C79*30%,0))))),0)</f>
        <v>145</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21" t="s">
        <v>1410</v>
      </c>
      <c r="B83" s="3622"/>
      <c r="C83" s="3622"/>
      <c r="D83" s="3622"/>
      <c r="E83" s="3622"/>
      <c r="F83" s="3622"/>
      <c r="G83" s="3622"/>
      <c r="H83" s="362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13" t="s">
        <v>1375</v>
      </c>
      <c r="B84" s="3614"/>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2">
        <f ca="1">ROUND(D45/(1+'数据-取费表'!C42),0)</f>
        <v>243</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6"/>
      <c r="D90" s="2571"/>
      <c r="E90" s="193" t="str">
        <f>IF(H88="-","土地取得成本中已包含该笔费用"," ")</f>
        <v xml:space="preserve"> </v>
      </c>
      <c r="F90" s="2322"/>
      <c r="G90" s="3579" t="s">
        <v>2129</v>
      </c>
      <c r="H90" s="3580"/>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610" t="s">
        <v>1419</v>
      </c>
      <c r="F91" s="3611"/>
      <c r="G91" s="361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610" t="s">
        <v>1422</v>
      </c>
      <c r="F92" s="3611"/>
      <c r="G92" s="3611"/>
      <c r="H92" s="3612"/>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610" t="s">
        <v>1406</v>
      </c>
      <c r="F93" s="3611"/>
      <c r="G93" s="3611"/>
      <c r="H93" s="361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655" t="s">
        <v>1426</v>
      </c>
      <c r="F94" s="3656"/>
      <c r="G94" s="3656"/>
      <c r="H94" s="365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2">
        <f ca="1">ROUND(C85-C86,0)</f>
        <v>242</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242</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3">
        <f ca="1">ROUND(IF(C95&lt;=0,0,IF(C96&gt;=200%,C95*60%-C86*35%,IF(C96&gt;=100%,C95*50%-C86*15%,IF(C96&gt;=50%,C95*40%-C86*5%,IF(C96&lt;50%,C95*30%,0))))),0)</f>
        <v>145</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95"/>
      <c r="E100" s="3559" t="s">
        <v>1429</v>
      </c>
      <c r="F100" s="3559"/>
      <c r="G100" s="3559"/>
      <c r="H100" s="3595"/>
      <c r="I100" s="129"/>
    </row>
    <row r="101" spans="1:35" ht="18.75" customHeight="1">
      <c r="A101" s="3603" t="s">
        <v>1430</v>
      </c>
      <c r="B101" s="3604"/>
      <c r="C101" s="2579" t="str">
        <f>C4</f>
        <v xml:space="preserve">比较法-办公售价 </v>
      </c>
      <c r="D101" s="2580" t="str">
        <f>D4</f>
        <v>收益法 (元)</v>
      </c>
      <c r="E101" s="3573" t="s">
        <v>1431</v>
      </c>
      <c r="F101" s="3574"/>
      <c r="G101" s="1823" t="s">
        <v>1432</v>
      </c>
      <c r="H101" s="2589">
        <f ca="1">H118</f>
        <v>255</v>
      </c>
      <c r="I101" s="129"/>
    </row>
    <row r="102" spans="1:35" ht="18.75" customHeight="1">
      <c r="A102" s="3605" t="s">
        <v>1433</v>
      </c>
      <c r="B102" s="2578" t="s">
        <v>1432</v>
      </c>
      <c r="C102" s="2579">
        <f ca="1">IF(D32="楼面单价",ROUND(C19,0),C19)</f>
        <v>275</v>
      </c>
      <c r="D102" s="2580">
        <f ca="1">IF(D32="楼面单价",ROUND(D19,0),D19)</f>
        <v>174</v>
      </c>
      <c r="E102" s="3573"/>
      <c r="F102" s="3574"/>
      <c r="G102" s="1823" t="s">
        <v>1434</v>
      </c>
      <c r="H102" s="2549">
        <f ca="1">I118</f>
        <v>22840</v>
      </c>
      <c r="I102" s="129"/>
    </row>
    <row r="103" spans="1:35" ht="42.75" customHeight="1">
      <c r="A103" s="3605"/>
      <c r="B103" s="2578" t="s">
        <v>1434</v>
      </c>
      <c r="C103" s="2581">
        <f ca="1">C20</f>
        <v>24645</v>
      </c>
      <c r="D103" s="2582">
        <f ca="1">D20</f>
        <v>15618</v>
      </c>
      <c r="E103" s="3566" t="s">
        <v>1435</v>
      </c>
      <c r="F103" s="3567"/>
      <c r="G103" s="1824" t="s">
        <v>1436</v>
      </c>
      <c r="H103" s="2589">
        <f>IF(D36="正常操作",H104+H105+H106,H105+H106)</f>
        <v>0</v>
      </c>
      <c r="I103" s="129"/>
    </row>
    <row r="104" spans="1:35" ht="18.75" customHeight="1">
      <c r="A104" s="3605" t="s">
        <v>1437</v>
      </c>
      <c r="B104" s="2583" t="s">
        <v>1432</v>
      </c>
      <c r="C104" s="2584">
        <f ca="1">H118</f>
        <v>255</v>
      </c>
      <c r="D104" s="2585"/>
      <c r="E104" s="1670" t="s">
        <v>1438</v>
      </c>
      <c r="F104" s="1662"/>
      <c r="G104" s="1824" t="s">
        <v>1436</v>
      </c>
      <c r="H104" s="2590">
        <f>IF(D36="同一抵押权人同一抵押物续贷",C36&amp;"（续贷，未扣减，详见特别提示）",C36)</f>
        <v>0</v>
      </c>
      <c r="I104" s="129"/>
    </row>
    <row r="105" spans="1:35" ht="18.75" customHeight="1" thickBot="1">
      <c r="A105" s="3615"/>
      <c r="B105" s="2586" t="s">
        <v>1434</v>
      </c>
      <c r="C105" s="2587">
        <f ca="1">I118</f>
        <v>22840</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6" t="str">
        <f>IF(项目基本情况!E8="已注销","——","3.房地产抵押价值")</f>
        <v>3.房地产抵押价值</v>
      </c>
      <c r="F107" s="3574"/>
      <c r="G107" s="1823" t="s">
        <v>1432</v>
      </c>
      <c r="H107" s="2589">
        <f ca="1">IF(E107="——","——",H101-H103)</f>
        <v>255</v>
      </c>
      <c r="I107" s="129"/>
    </row>
    <row r="108" spans="1:35" ht="18.75" customHeight="1">
      <c r="A108" s="129"/>
      <c r="B108" s="129"/>
      <c r="C108" s="129"/>
      <c r="D108" s="129"/>
      <c r="E108" s="3606"/>
      <c r="F108" s="3574"/>
      <c r="G108" s="1823" t="s">
        <v>1434</v>
      </c>
      <c r="H108" s="2549">
        <f ca="1">IF(H107=H101,H102,ROUND(H107*10000/'数据-汇总表'!E3,0))</f>
        <v>22840</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3" t="s">
        <v>1432</v>
      </c>
      <c r="H109" s="2592" t="str">
        <f>IF(E109="——","——",H101-H105-H106)</f>
        <v>——</v>
      </c>
      <c r="I109" s="129"/>
    </row>
    <row r="110" spans="1:35" ht="18.75" customHeight="1">
      <c r="A110" s="129"/>
      <c r="B110" s="129"/>
      <c r="C110" s="129"/>
      <c r="D110" s="129"/>
      <c r="E110" s="3606"/>
      <c r="F110" s="3574"/>
      <c r="G110" s="1823" t="s">
        <v>1434</v>
      </c>
      <c r="H110" s="2549"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3" t="s">
        <v>1432</v>
      </c>
      <c r="H111" s="2589" t="str">
        <f>IF(E111="——","——",N59)</f>
        <v>——</v>
      </c>
      <c r="I111" s="129"/>
    </row>
    <row r="112" spans="1:35" ht="18.75" customHeight="1" thickBot="1">
      <c r="A112" s="129"/>
      <c r="B112" s="129"/>
      <c r="C112" s="129"/>
      <c r="D112" s="129"/>
      <c r="E112" s="3608"/>
      <c r="F112" s="3609"/>
      <c r="G112" s="1826" t="s">
        <v>1434</v>
      </c>
      <c r="H112" s="2593" t="str">
        <f>IF(E111="——","——",N61)</f>
        <v>——</v>
      </c>
      <c r="I112" s="129"/>
    </row>
    <row r="113" spans="1:27" ht="18.75" customHeight="1">
      <c r="A113" s="129"/>
      <c r="B113" s="129"/>
      <c r="C113" s="129"/>
      <c r="D113" s="129"/>
      <c r="E113" s="3616" t="s">
        <v>1440</v>
      </c>
      <c r="F113" s="3616"/>
      <c r="G113" s="3616"/>
      <c r="H113" s="3616"/>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4" t="s">
        <v>1449</v>
      </c>
      <c r="E117" s="2324" t="s">
        <v>1450</v>
      </c>
      <c r="F117" s="2324" t="s">
        <v>1449</v>
      </c>
      <c r="G117" s="2324" t="s">
        <v>1451</v>
      </c>
      <c r="H117" s="2324" t="s">
        <v>1449</v>
      </c>
      <c r="I117" s="2324" t="s">
        <v>1451</v>
      </c>
    </row>
    <row r="118" spans="1:27" ht="24.75" customHeight="1">
      <c r="A118" s="2594" t="str">
        <f>项目基本情况!S2</f>
        <v>北京市大兴区芳源里1号楼7层713房地产</v>
      </c>
      <c r="B118" s="2324">
        <f>M18</f>
        <v>111.43</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255</v>
      </c>
      <c r="I118" s="2324">
        <f ca="1">ROUND(IF(D32="楼面单价",C32,H118*10000/B118),0)</f>
        <v>22840</v>
      </c>
    </row>
    <row r="119" spans="1:27" ht="18.75" customHeight="1">
      <c r="A119" s="3581" t="s">
        <v>1452</v>
      </c>
      <c r="B119" s="3581"/>
      <c r="C119" s="3581"/>
      <c r="D119" s="3587" t="str">
        <f>NUMBERSTRING(INT(D118*10000),2)&amp;"元整"</f>
        <v>零元整</v>
      </c>
      <c r="E119" s="3588"/>
      <c r="F119" s="3587" t="str">
        <f>NUMBERSTRING(INT(F118*10000),2)&amp;"元整"</f>
        <v>零元整</v>
      </c>
      <c r="G119" s="3588"/>
      <c r="H119" s="3587" t="str">
        <f ca="1">NUMBERSTRING(INT(H118*10000),2)&amp;"元整"</f>
        <v>贰佰伍拾伍万元整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7" t="s">
        <v>1452</v>
      </c>
      <c r="B121" s="3589"/>
      <c r="C121" s="3588"/>
      <c r="D121" s="3587" t="str">
        <f>IF(D120=0,"零元整",NUMBERSTRING(INT(D120*10000),2)&amp;"元整")</f>
        <v>零元整</v>
      </c>
      <c r="E121" s="3589"/>
      <c r="F121" s="3589"/>
      <c r="G121" s="3589"/>
      <c r="H121" s="3589"/>
      <c r="I121" s="3588"/>
      <c r="AA121" s="723"/>
    </row>
    <row r="122" spans="1:27" ht="18.75" customHeight="1">
      <c r="A122" s="3593" t="str">
        <f>IF(项目基本情况!B9="房地产市场价值","",MID(E107,3,LEN(E107)-2))</f>
        <v>房地产抵押价值</v>
      </c>
      <c r="B122" s="3593"/>
      <c r="C122" s="3593"/>
      <c r="D122" s="3582">
        <f ca="1">H107</f>
        <v>255</v>
      </c>
      <c r="E122" s="3583"/>
      <c r="F122" s="3583"/>
      <c r="G122" s="3583"/>
      <c r="H122" s="3583"/>
      <c r="I122" s="3584"/>
      <c r="AA122" s="723"/>
    </row>
    <row r="123" spans="1:27" ht="18.75" customHeight="1">
      <c r="A123" s="3581" t="s">
        <v>1452</v>
      </c>
      <c r="B123" s="3581"/>
      <c r="C123" s="3581"/>
      <c r="D123" s="3587" t="str">
        <f ca="1">NUMBERSTRING(INT(D122*10000),2)&amp;"元整"</f>
        <v>贰佰伍拾伍万元整</v>
      </c>
      <c r="E123" s="3589"/>
      <c r="F123" s="3589"/>
      <c r="G123" s="3589"/>
      <c r="H123" s="3589"/>
      <c r="I123" s="3588"/>
      <c r="AA123" s="723"/>
    </row>
    <row r="124" spans="1:27" ht="18.75" customHeight="1">
      <c r="A124" s="3593" t="str">
        <f>IF(项目基本情况!B9="房地产市场价值","",MID(E109,3,LEN(E109)-2))</f>
        <v/>
      </c>
      <c r="B124" s="3593"/>
      <c r="C124" s="3593"/>
      <c r="D124" s="3582" t="str">
        <f>H109</f>
        <v>——</v>
      </c>
      <c r="E124" s="3583"/>
      <c r="F124" s="3583"/>
      <c r="G124" s="3583"/>
      <c r="H124" s="3583"/>
      <c r="I124" s="3584"/>
      <c r="AA124" s="723"/>
    </row>
    <row r="125" spans="1:27" ht="18.75" customHeight="1">
      <c r="A125" s="3581" t="s">
        <v>1452</v>
      </c>
      <c r="B125" s="3581"/>
      <c r="C125" s="3581"/>
      <c r="D125" s="3587" t="e">
        <f>NUMBERSTRING(INT(D124*10000),2)&amp;"元整"</f>
        <v>#VALUE!</v>
      </c>
      <c r="E125" s="3589"/>
      <c r="F125" s="3589"/>
      <c r="G125" s="3589"/>
      <c r="H125" s="3589"/>
      <c r="I125" s="3588"/>
      <c r="AA125" s="723"/>
    </row>
    <row r="126" spans="1:27" ht="18.75" customHeight="1">
      <c r="A126" s="3593" t="str">
        <f>IF(项目基本情况!B9="房地产市场价值","",MID(E111,3,LEN(E111)-2))</f>
        <v/>
      </c>
      <c r="B126" s="3593"/>
      <c r="C126" s="3593"/>
      <c r="D126" s="3582" t="str">
        <f>H111</f>
        <v>——</v>
      </c>
      <c r="E126" s="3583"/>
      <c r="F126" s="3583"/>
      <c r="G126" s="3583"/>
      <c r="H126" s="3583"/>
      <c r="I126" s="3584"/>
      <c r="AA126" s="723"/>
    </row>
    <row r="127" spans="1:27" ht="18.75" customHeight="1">
      <c r="A127" s="3581" t="s">
        <v>1452</v>
      </c>
      <c r="B127" s="3581"/>
      <c r="C127" s="3581"/>
      <c r="D127" s="3587" t="e">
        <f>NUMBERSTRING(INT(D126*10000),2)&amp;"元整"</f>
        <v>#VALUE!</v>
      </c>
      <c r="E127" s="3589"/>
      <c r="F127" s="3589"/>
      <c r="G127" s="3589"/>
      <c r="H127" s="3589"/>
      <c r="I127" s="3588"/>
      <c r="AA127" s="723"/>
    </row>
    <row r="128" spans="1:27" ht="21.75" customHeight="1">
      <c r="A128" s="3590" t="s">
        <v>1453</v>
      </c>
      <c r="B128" s="3590"/>
      <c r="C128" s="3590"/>
      <c r="D128" s="3590"/>
      <c r="E128" s="3590"/>
      <c r="F128" s="3590"/>
      <c r="G128" s="3590"/>
      <c r="H128" s="3590"/>
      <c r="I128" s="3590"/>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4.4"/>
  <sheetData>
    <row r="10" spans="9:9">
      <c r="I10" s="3469" t="s">
        <v>3519</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北京市大兴区芳源里1号楼7层713房地产抵押价值预评估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tabSelected="1" view="pageBreakPreview" topLeftCell="B18" zoomScale="70" zoomScaleNormal="70" zoomScaleSheetLayoutView="70" workbookViewId="0">
      <selection activeCell="C26" sqref="C2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713</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274.61919999999998</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24645</v>
      </c>
      <c r="C3" s="354" t="s">
        <v>1665</v>
      </c>
      <c r="D3" s="353">
        <f>IF(D1="",'数据-汇总表'!E3,SUMIF('数据-汇总表'!$C19:$C33,D1,'数据-汇总表'!$E19:$E33))</f>
        <v>111.43</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5" customHeight="1">
      <c r="A5" s="358"/>
      <c r="B5" s="359"/>
      <c r="C5" s="3677" t="s">
        <v>3436</v>
      </c>
      <c r="D5" s="3678"/>
      <c r="E5" s="3679" t="s">
        <v>3501</v>
      </c>
      <c r="F5" s="3680"/>
      <c r="G5" s="3679" t="str">
        <f>E5</f>
        <v>泰禾中央广场</v>
      </c>
      <c r="H5" s="3680"/>
      <c r="I5" s="3679" t="str">
        <f>G5</f>
        <v>泰禾中央广场</v>
      </c>
      <c r="J5" s="3680"/>
      <c r="K5" s="559"/>
      <c r="L5" s="2709"/>
      <c r="M5" s="2710"/>
      <c r="N5" s="2710"/>
      <c r="O5" s="2710"/>
      <c r="P5" s="3669"/>
      <c r="Q5" s="3670"/>
      <c r="R5" s="3675"/>
      <c r="S5" s="3676"/>
      <c r="T5" s="3675"/>
      <c r="U5" s="3676"/>
      <c r="V5" s="3688"/>
      <c r="W5" s="3688"/>
      <c r="X5" s="3458"/>
      <c r="Y5" s="3675"/>
      <c r="Z5" s="3676"/>
      <c r="AA5" s="3690"/>
      <c r="AB5" s="3690"/>
      <c r="AC5" s="3661"/>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97" t="s">
        <v>1691</v>
      </c>
      <c r="Q15" s="3456" t="str">
        <f t="shared" si="6"/>
        <v>办公集聚程度</v>
      </c>
      <c r="R15" s="703" t="s">
        <v>14</v>
      </c>
      <c r="S15" s="704">
        <f t="shared" si="0"/>
        <v>98</v>
      </c>
      <c r="T15" s="703" t="s">
        <v>14</v>
      </c>
      <c r="U15" s="704">
        <f t="shared" si="1"/>
        <v>98</v>
      </c>
      <c r="V15" s="703" t="s">
        <v>14</v>
      </c>
      <c r="W15" s="704">
        <f t="shared" si="2"/>
        <v>98</v>
      </c>
      <c r="X15" s="3458"/>
      <c r="Y15" s="3699"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98"/>
      <c r="Q19" s="3456" t="str">
        <f>B19</f>
        <v>公共配套设施</v>
      </c>
      <c r="R19" s="703" t="s">
        <v>14</v>
      </c>
      <c r="S19" s="704">
        <f>F19</f>
        <v>100</v>
      </c>
      <c r="T19" s="703" t="s">
        <v>14</v>
      </c>
      <c r="U19" s="704">
        <f>H19</f>
        <v>100</v>
      </c>
      <c r="V19" s="703" t="s">
        <v>14</v>
      </c>
      <c r="W19" s="704">
        <f>J19</f>
        <v>100</v>
      </c>
      <c r="X19" s="3458"/>
      <c r="Y19" s="3700"/>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98"/>
      <c r="Q23" s="3456" t="str">
        <f>B23</f>
        <v>环境质量</v>
      </c>
      <c r="R23" s="703" t="s">
        <v>14</v>
      </c>
      <c r="S23" s="704">
        <f>F23</f>
        <v>100</v>
      </c>
      <c r="T23" s="703" t="s">
        <v>14</v>
      </c>
      <c r="U23" s="704">
        <f>H23</f>
        <v>100</v>
      </c>
      <c r="V23" s="703" t="s">
        <v>14</v>
      </c>
      <c r="W23" s="704">
        <f>J23</f>
        <v>100</v>
      </c>
      <c r="X23" s="3458"/>
      <c r="Y23" s="3700"/>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3522</v>
      </c>
      <c r="D26" s="386"/>
      <c r="E26" s="565" t="s">
        <v>3522</v>
      </c>
      <c r="F26" s="386"/>
      <c r="G26" s="582" t="str">
        <f>E26</f>
        <v>次干道</v>
      </c>
      <c r="H26" s="386"/>
      <c r="I26" s="565" t="str">
        <f>G26</f>
        <v>次干道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3450</v>
      </c>
      <c r="D27" s="386">
        <v>100</v>
      </c>
      <c r="E27" s="565" t="s">
        <v>3452</v>
      </c>
      <c r="F27" s="386">
        <f>SUMIF(89:89,E27,90:90)-SUMIF(89:89,C27,90:90)+100</f>
        <v>99</v>
      </c>
      <c r="G27" s="582" t="s">
        <v>3454</v>
      </c>
      <c r="H27" s="386">
        <f>SUMIF(89:89,G27,90:90)-SUMIF(89:89,C27,90:90)+100</f>
        <v>98</v>
      </c>
      <c r="I27" s="565" t="s">
        <v>3454</v>
      </c>
      <c r="J27" s="386">
        <f>SUMIF(89:89,I27,90:90)-SUMIF(89:89,C27,90:90)+100</f>
        <v>98</v>
      </c>
      <c r="K27" s="561">
        <v>1</v>
      </c>
      <c r="L27" s="2716"/>
      <c r="M27" s="2710"/>
      <c r="N27" s="2710"/>
      <c r="O27" s="2710"/>
      <c r="P27" s="3698"/>
      <c r="Q27" s="3456" t="str">
        <f t="shared" ref="Q27:Q47" si="11">B27</f>
        <v>楼层</v>
      </c>
      <c r="R27" s="703" t="s">
        <v>14</v>
      </c>
      <c r="S27" s="704">
        <f>F27</f>
        <v>99</v>
      </c>
      <c r="T27" s="703" t="s">
        <v>14</v>
      </c>
      <c r="U27" s="704">
        <f>H27</f>
        <v>98</v>
      </c>
      <c r="V27" s="703" t="s">
        <v>14</v>
      </c>
      <c r="W27" s="704">
        <f>J27</f>
        <v>98</v>
      </c>
      <c r="X27" s="3458"/>
      <c r="Y27" s="3700"/>
      <c r="Z27" s="3459" t="str">
        <f>Q27</f>
        <v>楼层</v>
      </c>
      <c r="AA27" s="3457">
        <f t="shared" si="3"/>
        <v>1.0101010101010102</v>
      </c>
      <c r="AB27" s="3457">
        <f t="shared" si="4"/>
        <v>1.0204081632653061</v>
      </c>
      <c r="AC27" s="1957">
        <f t="shared" si="5"/>
        <v>1.0204081632653061</v>
      </c>
    </row>
    <row r="28" spans="1:29" s="108" customFormat="1" ht="15.6" thickBot="1">
      <c r="A28" s="382"/>
      <c r="B28" s="579" t="s">
        <v>1816</v>
      </c>
      <c r="C28" s="1960" t="s">
        <v>3521</v>
      </c>
      <c r="D28" s="413">
        <v>100</v>
      </c>
      <c r="E28" s="1952" t="s">
        <v>3518</v>
      </c>
      <c r="F28" s="413">
        <f>SUMIF(91:91,E28,92:92)-SUMIF(91:91,C28,92:92)+100</f>
        <v>98.5</v>
      </c>
      <c r="G28" s="1960" t="s">
        <v>3512</v>
      </c>
      <c r="H28" s="413">
        <f>SUMIF(91:91,G28,92:92)-SUMIF(91:91,C28,92:92)+100</f>
        <v>97</v>
      </c>
      <c r="I28" s="1952" t="s">
        <v>3512</v>
      </c>
      <c r="J28" s="413">
        <f>SUMIF(91:91,I28,92:92)-SUMIF(91:91,C28,92:92)+100</f>
        <v>97</v>
      </c>
      <c r="K28" s="561">
        <v>0.5</v>
      </c>
      <c r="L28" s="2711"/>
      <c r="M28" s="2712"/>
      <c r="N28" s="2712"/>
      <c r="O28" s="2712"/>
      <c r="P28" s="3698"/>
      <c r="Q28" s="3454" t="str">
        <f t="shared" si="11"/>
        <v>朝向</v>
      </c>
      <c r="R28" s="699" t="s">
        <v>14</v>
      </c>
      <c r="S28" s="700">
        <f>F28</f>
        <v>98.5</v>
      </c>
      <c r="T28" s="699" t="s">
        <v>14</v>
      </c>
      <c r="U28" s="700">
        <f>H28</f>
        <v>97</v>
      </c>
      <c r="V28" s="699" t="s">
        <v>14</v>
      </c>
      <c r="W28" s="700">
        <f>J28</f>
        <v>97</v>
      </c>
      <c r="X28" s="701"/>
      <c r="Y28" s="3700"/>
      <c r="Z28" s="3453" t="str">
        <f>Q28</f>
        <v>朝向</v>
      </c>
      <c r="AA28" s="3457">
        <f>D28/F28</f>
        <v>1.015228426395939</v>
      </c>
      <c r="AB28" s="3457">
        <f>D28/H28</f>
        <v>1.0309278350515463</v>
      </c>
      <c r="AC28" s="1957">
        <f>D28/J28</f>
        <v>1.0309278350515463</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111.43</v>
      </c>
      <c r="D34" s="127">
        <v>100</v>
      </c>
      <c r="E34" s="381">
        <v>46.81</v>
      </c>
      <c r="F34" s="376">
        <f>LOOKUP(E34,104:104,105:105)-LOOKUP(C34,104:104,105:105)+100</f>
        <v>102</v>
      </c>
      <c r="G34" s="380">
        <v>43.3</v>
      </c>
      <c r="H34" s="127">
        <f>LOOKUP(G34,104:104,105:105)-LOOKUP(C34,104:104,105:105)+100</f>
        <v>102</v>
      </c>
      <c r="I34" s="380">
        <v>44.43</v>
      </c>
      <c r="J34" s="127">
        <f>LOOKUP(I34,104:104,105:105)-LOOKUP(C34,104:104,105:105)+100</f>
        <v>102</v>
      </c>
      <c r="K34" s="562"/>
      <c r="L34" s="2715"/>
      <c r="M34" s="2717"/>
      <c r="N34" s="2717"/>
      <c r="O34" s="2717"/>
      <c r="P34" s="3702"/>
      <c r="Q34" s="705" t="str">
        <f t="shared" si="11"/>
        <v>项目建筑规模</v>
      </c>
      <c r="R34" s="706" t="s">
        <v>14</v>
      </c>
      <c r="S34" s="707">
        <f t="shared" si="12"/>
        <v>102</v>
      </c>
      <c r="T34" s="706" t="s">
        <v>14</v>
      </c>
      <c r="U34" s="707">
        <f t="shared" si="13"/>
        <v>102</v>
      </c>
      <c r="V34" s="706" t="s">
        <v>14</v>
      </c>
      <c r="W34" s="707">
        <f t="shared" si="14"/>
        <v>102</v>
      </c>
      <c r="X34" s="708"/>
      <c r="Y34" s="3704"/>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702"/>
      <c r="Q37" s="3456" t="str">
        <f t="shared" si="11"/>
        <v>成新度</v>
      </c>
      <c r="R37" s="703" t="s">
        <v>14</v>
      </c>
      <c r="S37" s="704">
        <f t="shared" si="12"/>
        <v>103</v>
      </c>
      <c r="T37" s="703" t="s">
        <v>14</v>
      </c>
      <c r="U37" s="704">
        <f t="shared" si="13"/>
        <v>103</v>
      </c>
      <c r="V37" s="703" t="s">
        <v>14</v>
      </c>
      <c r="W37" s="704">
        <f t="shared" si="14"/>
        <v>103</v>
      </c>
      <c r="X37" s="3458"/>
      <c r="Y37" s="3704"/>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702"/>
      <c r="Q38" s="3454" t="str">
        <f t="shared" si="11"/>
        <v>写字楼等级</v>
      </c>
      <c r="R38" s="699" t="s">
        <v>14</v>
      </c>
      <c r="S38" s="700">
        <f t="shared" si="12"/>
        <v>100</v>
      </c>
      <c r="T38" s="699" t="s">
        <v>14</v>
      </c>
      <c r="U38" s="700">
        <f t="shared" si="13"/>
        <v>100</v>
      </c>
      <c r="V38" s="699" t="s">
        <v>14</v>
      </c>
      <c r="W38" s="700">
        <f t="shared" si="14"/>
        <v>100</v>
      </c>
      <c r="X38" s="701"/>
      <c r="Y38" s="3704"/>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702" t="s">
        <v>1696</v>
      </c>
      <c r="Q39" s="3456" t="str">
        <f t="shared" si="11"/>
        <v>物业管理</v>
      </c>
      <c r="R39" s="703" t="s">
        <v>14</v>
      </c>
      <c r="S39" s="704">
        <f t="shared" si="12"/>
        <v>100</v>
      </c>
      <c r="T39" s="703" t="s">
        <v>14</v>
      </c>
      <c r="U39" s="704">
        <f t="shared" si="13"/>
        <v>100</v>
      </c>
      <c r="V39" s="703" t="s">
        <v>14</v>
      </c>
      <c r="W39" s="704">
        <f t="shared" si="14"/>
        <v>100</v>
      </c>
      <c r="X39" s="3458"/>
      <c r="Y39" s="3704"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702"/>
      <c r="Q40" s="3456" t="str">
        <f t="shared" si="11"/>
        <v>市政基础设施</v>
      </c>
      <c r="R40" s="703" t="s">
        <v>14</v>
      </c>
      <c r="S40" s="704">
        <f t="shared" si="12"/>
        <v>98</v>
      </c>
      <c r="T40" s="703" t="s">
        <v>14</v>
      </c>
      <c r="U40" s="704">
        <f t="shared" si="13"/>
        <v>98</v>
      </c>
      <c r="V40" s="703" t="s">
        <v>14</v>
      </c>
      <c r="W40" s="704">
        <f t="shared" si="14"/>
        <v>98</v>
      </c>
      <c r="X40" s="3458"/>
      <c r="Y40" s="3704"/>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3516</v>
      </c>
      <c r="D41" s="386">
        <v>100</v>
      </c>
      <c r="E41" s="565" t="s">
        <v>3514</v>
      </c>
      <c r="F41" s="412">
        <f>SUMIF(119:119,E41,120:120)-SUMIF(119:119,C41,120:120)+100</f>
        <v>92</v>
      </c>
      <c r="G41" s="565" t="s">
        <v>3514</v>
      </c>
      <c r="H41" s="386">
        <f>SUMIF(119:119,G41,120:120)-SUMIF(119:119,C41,120:120)+100</f>
        <v>92</v>
      </c>
      <c r="I41" s="565" t="str">
        <f>G41</f>
        <v>4米2</v>
      </c>
      <c r="J41" s="386">
        <f>SUMIF(119:119,I41,120:120)-SUMIF(119:119,C41,120:120)+100</f>
        <v>92</v>
      </c>
      <c r="K41" s="561">
        <v>8</v>
      </c>
      <c r="L41" s="2716"/>
      <c r="M41" s="2710"/>
      <c r="N41" s="2710"/>
      <c r="O41" s="2710"/>
      <c r="P41" s="3702"/>
      <c r="Q41" s="3456" t="str">
        <f t="shared" si="11"/>
        <v>层高</v>
      </c>
      <c r="R41" s="703" t="s">
        <v>14</v>
      </c>
      <c r="S41" s="704">
        <f t="shared" si="12"/>
        <v>92</v>
      </c>
      <c r="T41" s="703" t="s">
        <v>14</v>
      </c>
      <c r="U41" s="704">
        <f t="shared" si="13"/>
        <v>92</v>
      </c>
      <c r="V41" s="703" t="s">
        <v>14</v>
      </c>
      <c r="W41" s="704">
        <f t="shared" si="14"/>
        <v>92</v>
      </c>
      <c r="X41" s="3458"/>
      <c r="Y41" s="3704"/>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111.43</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702"/>
      <c r="Q43" s="3456" t="str">
        <f t="shared" si="11"/>
        <v>内部装修</v>
      </c>
      <c r="R43" s="703" t="s">
        <v>14</v>
      </c>
      <c r="S43" s="704">
        <f t="shared" si="12"/>
        <v>103</v>
      </c>
      <c r="T43" s="703" t="s">
        <v>14</v>
      </c>
      <c r="U43" s="704">
        <f t="shared" si="13"/>
        <v>103</v>
      </c>
      <c r="V43" s="703" t="s">
        <v>14</v>
      </c>
      <c r="W43" s="704">
        <f t="shared" si="14"/>
        <v>103</v>
      </c>
      <c r="X43" s="3458"/>
      <c r="Y43" s="3704"/>
      <c r="Z43" s="3459" t="str">
        <f t="shared" si="15"/>
        <v>内部装修</v>
      </c>
      <c r="AA43" s="3457">
        <f t="shared" si="3"/>
        <v>0.970873786407767</v>
      </c>
      <c r="AB43" s="3457">
        <f t="shared" si="4"/>
        <v>0.970873786407767</v>
      </c>
      <c r="AC43" s="1957">
        <f t="shared" si="5"/>
        <v>0.970873786407767</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702"/>
      <c r="Q44" s="3456" t="str">
        <f t="shared" si="11"/>
        <v>内部装修维护情况</v>
      </c>
      <c r="R44" s="703" t="s">
        <v>14</v>
      </c>
      <c r="S44" s="704">
        <f t="shared" si="12"/>
        <v>100</v>
      </c>
      <c r="T44" s="703" t="s">
        <v>14</v>
      </c>
      <c r="U44" s="704">
        <f t="shared" si="13"/>
        <v>100</v>
      </c>
      <c r="V44" s="703" t="s">
        <v>14</v>
      </c>
      <c r="W44" s="704">
        <f t="shared" si="14"/>
        <v>100</v>
      </c>
      <c r="X44" s="3458"/>
      <c r="Y44" s="3704"/>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4.4">
      <c r="A48" s="430" t="s">
        <v>1708</v>
      </c>
      <c r="B48" s="431"/>
      <c r="C48" s="1150" t="s">
        <v>0</v>
      </c>
      <c r="D48" s="1151"/>
      <c r="E48" s="1152">
        <v>23072</v>
      </c>
      <c r="F48" s="1153"/>
      <c r="G48" s="1154">
        <v>24885</v>
      </c>
      <c r="H48" s="1155"/>
      <c r="I48" s="1152">
        <v>23183</v>
      </c>
      <c r="J48" s="436"/>
      <c r="K48" s="712"/>
      <c r="L48" s="2718"/>
      <c r="M48" s="2710"/>
      <c r="N48" s="2710"/>
      <c r="O48" s="2710"/>
      <c r="P48" s="3696" t="str">
        <f>A48</f>
        <v>成交单价（元/平方米）</v>
      </c>
      <c r="Q48" s="3706"/>
      <c r="R48" s="3707">
        <f>E48</f>
        <v>23072</v>
      </c>
      <c r="S48" s="3707"/>
      <c r="T48" s="3707">
        <f>G48</f>
        <v>24885</v>
      </c>
      <c r="U48" s="3707"/>
      <c r="V48" s="3707">
        <f>I48</f>
        <v>23183</v>
      </c>
      <c r="W48" s="3707"/>
      <c r="X48" s="397"/>
      <c r="Y48" s="710"/>
      <c r="Z48" s="397"/>
      <c r="AA48" s="397"/>
      <c r="AB48" s="397"/>
      <c r="AC48" s="578"/>
    </row>
    <row r="49" spans="1:29" ht="15" thickBot="1">
      <c r="A49" s="437" t="s">
        <v>1709</v>
      </c>
      <c r="B49" s="438"/>
      <c r="C49" s="1156">
        <f>R50</f>
        <v>24645</v>
      </c>
      <c r="D49" s="2312" t="s">
        <v>2138</v>
      </c>
      <c r="E49" s="1157">
        <f>R49</f>
        <v>23567</v>
      </c>
      <c r="F49" s="2313"/>
      <c r="G49" s="1156">
        <f>T49</f>
        <v>26076</v>
      </c>
      <c r="H49" s="2313"/>
      <c r="I49" s="1157">
        <f>V49</f>
        <v>24292</v>
      </c>
      <c r="J49" s="2313"/>
      <c r="K49" s="2315">
        <f>F49+H49+J49</f>
        <v>0</v>
      </c>
      <c r="L49" s="2718"/>
      <c r="M49" s="2710"/>
      <c r="N49" s="2710"/>
      <c r="O49" s="2710"/>
      <c r="P49" s="3696" t="str">
        <f>A49</f>
        <v>比较价值（元/平方米）</v>
      </c>
      <c r="Q49" s="3706"/>
      <c r="R49" s="3707">
        <f>IF(F1="售价",ROUND(PRODUCT(R48,AA7:AA47),0),ROUND(PRODUCT(R48,AA7:AA47),1))</f>
        <v>23567</v>
      </c>
      <c r="S49" s="3707"/>
      <c r="T49" s="3707">
        <f>IF(F1="售价",ROUND(PRODUCT(T48,AB7:AB47),0),ROUND(PRODUCT(T48,AB7:AB47),1))</f>
        <v>26076</v>
      </c>
      <c r="U49" s="3707"/>
      <c r="V49" s="3707">
        <f>IF(F1="售价",ROUND(PRODUCT(V48,AC7:AC47),0),ROUND(PRODUCT(V48,AC7:AC47),1))</f>
        <v>24292</v>
      </c>
      <c r="W49" s="3707"/>
      <c r="X49" s="397"/>
      <c r="Y49" s="397"/>
      <c r="Z49" s="397"/>
      <c r="AA49" s="397"/>
      <c r="AB49" s="397"/>
      <c r="AC49" s="578"/>
    </row>
    <row r="50" spans="1:29" ht="15" thickBot="1">
      <c r="A50" s="441" t="s">
        <v>1710</v>
      </c>
      <c r="B50" s="442"/>
      <c r="C50" s="1159">
        <f>R50</f>
        <v>24645</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24645</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2.1454576976421613E-2</v>
      </c>
      <c r="F53" s="449" t="str">
        <f>IF(OR(E53&gt;=0.3,E53&lt;=-0.3),"超过30%","")</f>
        <v/>
      </c>
      <c r="G53" s="448">
        <f>IF(G48&lt;G49,G49/G48-1,G48/G49-1)</f>
        <v>4.7860156720916258E-2</v>
      </c>
      <c r="H53" s="449" t="str">
        <f>IF(OR(G53&gt;=0.3,G53&lt;=-0.3),"超过30%","")</f>
        <v/>
      </c>
      <c r="I53" s="448">
        <f>IF(I48&lt;I49,I49/I48-1,I48/I49-1)</f>
        <v>4.7836776948626092E-2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0.10646242627402724</v>
      </c>
      <c r="F54" s="449" t="str">
        <f>IF(OR(E54&gt;=0.2,E54&lt;=-0.2),"超过20%","")</f>
        <v/>
      </c>
      <c r="G54" s="448">
        <f>IF(G49&lt;I49,I49/G49-1,G49/I49-1)</f>
        <v>7.343981557714474E-2</v>
      </c>
      <c r="H54" s="449" t="str">
        <f>IF(OR(G54&gt;=0.2,G54&lt;=-0.2),"超过20%","")</f>
        <v/>
      </c>
      <c r="I54" s="448">
        <f>IF(I49&lt;E49,E49/I49-1,I49/E49-1)</f>
        <v>3.0763355539525694E-2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 thickTop="1">
      <c r="A91" s="502"/>
      <c r="B91" s="487" t="str">
        <f>B28</f>
        <v>朝向</v>
      </c>
      <c r="C91" s="3467" t="s">
        <v>3505</v>
      </c>
      <c r="D91" s="3467" t="s">
        <v>3503</v>
      </c>
      <c r="E91" s="3467" t="s">
        <v>3504</v>
      </c>
      <c r="F91" s="3467" t="s">
        <v>3506</v>
      </c>
      <c r="G91" s="3467" t="s">
        <v>3507</v>
      </c>
      <c r="H91" s="3467" t="s">
        <v>3508</v>
      </c>
      <c r="I91" s="3473" t="s">
        <v>3509</v>
      </c>
      <c r="J91" s="3473" t="s">
        <v>3510</v>
      </c>
      <c r="K91" s="3473" t="s">
        <v>3511</v>
      </c>
      <c r="L91" s="3474" t="s">
        <v>3513</v>
      </c>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3517</v>
      </c>
      <c r="D119" s="532" t="s">
        <v>3502</v>
      </c>
      <c r="E119" s="532" t="s">
        <v>3515</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B1" zoomScale="70" zoomScaleNormal="70" zoomScaleSheetLayoutView="70" workbookViewId="0">
      <selection activeCell="H36" sqref="H3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v>713</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174.0284</v>
      </c>
      <c r="C2" s="1383" t="s">
        <v>879</v>
      </c>
      <c r="D2" s="1467">
        <f ca="1">C40+J29+L46</f>
        <v>1740284</v>
      </c>
      <c r="E2" s="1384" t="s">
        <v>880</v>
      </c>
      <c r="F2" s="1385"/>
      <c r="G2" s="2700"/>
      <c r="H2" s="2689"/>
      <c r="I2" s="2689"/>
      <c r="J2" s="2689"/>
      <c r="K2" s="2690"/>
      <c r="L2" s="2689"/>
      <c r="M2" s="2689"/>
    </row>
    <row r="3" spans="1:37" ht="18" customHeight="1" thickBot="1">
      <c r="A3" s="1386" t="s">
        <v>881</v>
      </c>
      <c r="B3" s="1387">
        <f ca="1">IF(ISERROR(D2/F43),0,ROUND(D2/F43,0))</f>
        <v>15618</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98957</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98833</v>
      </c>
      <c r="D6" s="155" t="s">
        <v>2106</v>
      </c>
      <c r="E6" s="302" t="s">
        <v>696</v>
      </c>
      <c r="F6" s="303">
        <f ca="1">INDIRECT("'数据-取费表'!u"&amp;$G$1)</f>
        <v>2.7</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111.43</v>
      </c>
      <c r="G7" s="1380"/>
      <c r="H7" s="304"/>
      <c r="I7" s="3712"/>
      <c r="J7" s="306"/>
      <c r="K7" s="307"/>
      <c r="L7" s="302" t="s">
        <v>697</v>
      </c>
      <c r="M7" s="303">
        <f ca="1">F7</f>
        <v>111.43</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124</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361959</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390005</v>
      </c>
      <c r="D14" s="1341" t="s">
        <v>708</v>
      </c>
      <c r="E14" s="1338"/>
      <c r="F14" s="319"/>
      <c r="G14" s="1380"/>
      <c r="H14" s="978" t="s">
        <v>398</v>
      </c>
      <c r="I14" s="302" t="s">
        <v>709</v>
      </c>
      <c r="J14" s="21">
        <f ca="1">C29</f>
        <v>540237</v>
      </c>
      <c r="K14" s="12"/>
      <c r="L14" s="805"/>
      <c r="M14" s="806"/>
    </row>
    <row r="15" spans="1:37" s="1393" customFormat="1" ht="18" customHeight="1" thickBot="1">
      <c r="A15" s="978" t="s">
        <v>399</v>
      </c>
      <c r="B15" s="302" t="s">
        <v>710</v>
      </c>
      <c r="C15" s="21">
        <f ca="1">ROUND(C14*F15,0)</f>
        <v>11700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5402</v>
      </c>
      <c r="K16" s="1083" t="s">
        <v>715</v>
      </c>
      <c r="L16" s="1084"/>
      <c r="M16" s="1068"/>
    </row>
    <row r="17" spans="1:37" s="1393" customFormat="1" ht="18" customHeight="1">
      <c r="A17" s="978" t="s">
        <v>681</v>
      </c>
      <c r="B17" s="302" t="s">
        <v>716</v>
      </c>
      <c r="C17" s="21">
        <f ca="1">ROUND(F17*(F43+INDIRECT("'数据-取费表'!S"&amp;$G$1)),0)</f>
        <v>22286</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7800</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431791</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8636</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5402</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15195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-5402</v>
      </c>
      <c r="K25" s="1091" t="s">
        <v>753</v>
      </c>
      <c r="L25" s="1092"/>
      <c r="M25" s="1093"/>
    </row>
    <row r="26" spans="1:37" ht="18" customHeight="1">
      <c r="A26" s="978" t="s">
        <v>397</v>
      </c>
      <c r="B26" s="302" t="s">
        <v>754</v>
      </c>
      <c r="C26" s="21">
        <f ca="1">ROUND((C19+C20)*F26,0)</f>
        <v>44043</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540237</v>
      </c>
      <c r="D29" s="1088"/>
      <c r="E29" s="1086"/>
      <c r="F29" s="1089"/>
      <c r="G29" s="1392"/>
      <c r="H29" s="334" t="s">
        <v>396</v>
      </c>
      <c r="I29" s="335" t="s">
        <v>768</v>
      </c>
      <c r="J29" s="336">
        <f ca="1">ROUND(J26/(1+F40)^F41,0)</f>
        <v>0</v>
      </c>
      <c r="K29" s="337" t="s">
        <v>769</v>
      </c>
      <c r="L29" s="338"/>
      <c r="M29" s="339">
        <f ca="1">INDIRECT("'数据-取费表'!k"&amp;$G$1)</f>
        <v>111.43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13343</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6589</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5402</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362</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990</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85614</v>
      </c>
      <c r="D39" s="1091" t="s">
        <v>773</v>
      </c>
      <c r="E39" s="1092"/>
      <c r="F39" s="1093"/>
      <c r="G39" s="1380"/>
      <c r="H39" s="2694"/>
      <c r="I39" s="1394"/>
      <c r="J39" s="1395"/>
      <c r="K39" s="2698"/>
      <c r="L39" s="2694"/>
      <c r="M39" s="2694"/>
    </row>
    <row r="40" spans="1:18" ht="18" customHeight="1">
      <c r="A40" s="299" t="s">
        <v>395</v>
      </c>
      <c r="B40" s="300" t="s">
        <v>774</v>
      </c>
      <c r="C40" s="301">
        <f ca="1">ROUND(C39*(1-((1+F42)/(1+F40))^F41)/(F40-F42),0)</f>
        <v>1713344</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15376</v>
      </c>
      <c r="D43" s="337" t="s">
        <v>777</v>
      </c>
      <c r="E43" s="338" t="s">
        <v>778</v>
      </c>
      <c r="F43" s="339">
        <f ca="1">INDIRECT("'数据-取费表'!k"&amp;$G$1)</f>
        <v>111.43</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-180.03290000000001</v>
      </c>
      <c r="D45" s="3426" t="s">
        <v>3357</v>
      </c>
      <c r="E45" s="1396"/>
      <c r="F45" s="1396"/>
      <c r="O45" s="1399" t="s">
        <v>808</v>
      </c>
      <c r="P45" s="1457"/>
      <c r="Q45" s="1457"/>
      <c r="R45" s="1457"/>
    </row>
    <row r="46" spans="1:18" s="1380" customFormat="1" ht="13.8" thickBot="1">
      <c r="A46" s="1400" t="s">
        <v>809</v>
      </c>
      <c r="C46" s="1401">
        <f ca="1">ROUND(C45,0)</f>
        <v>-180</v>
      </c>
      <c r="D46" s="1402" t="str">
        <f>C2</f>
        <v>万元</v>
      </c>
      <c r="I46" s="1403" t="s">
        <v>810</v>
      </c>
      <c r="J46" s="1404"/>
      <c r="K46" s="1405"/>
      <c r="L46" s="1406">
        <f ca="1">IF(M47="住宅",0,IF(L48&gt;J51,L60,J60))</f>
        <v>26940</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1713344</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26940</v>
      </c>
      <c r="R48" s="1416" t="s">
        <v>822</v>
      </c>
    </row>
    <row r="49" spans="1:18" s="1380" customFormat="1" ht="13.8"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540237</v>
      </c>
      <c r="R49" s="1416" t="s">
        <v>818</v>
      </c>
    </row>
    <row r="50" spans="1:18" s="1380" customFormat="1" ht="13.8" thickBot="1">
      <c r="A50" s="972"/>
      <c r="B50" s="975"/>
      <c r="C50" s="976"/>
      <c r="D50" s="949"/>
      <c r="E50" s="1052" t="s">
        <v>697</v>
      </c>
      <c r="F50" s="1053">
        <f ca="1">F7</f>
        <v>111.43</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8"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1120664</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1740284</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361959</v>
      </c>
      <c r="D56" s="1443"/>
      <c r="E56" s="1444"/>
      <c r="F56" s="1436"/>
      <c r="I56" s="1445" t="s">
        <v>842</v>
      </c>
      <c r="J56" s="1446" t="s">
        <v>3411</v>
      </c>
      <c r="K56" s="1417" t="s">
        <v>843</v>
      </c>
      <c r="L56" s="1420" t="str">
        <f ca="1">IF(L48&lt;J51,"——",L48-J51)</f>
        <v>——</v>
      </c>
      <c r="O56" s="1414" t="s">
        <v>403</v>
      </c>
      <c r="P56" s="1415" t="s">
        <v>817</v>
      </c>
      <c r="Q56" s="1416">
        <f ca="1">C40+J29</f>
        <v>1713344</v>
      </c>
      <c r="R56" s="1416" t="s">
        <v>818</v>
      </c>
    </row>
    <row r="57" spans="1:18" s="1380" customFormat="1" ht="24.6" thickBot="1">
      <c r="A57" s="1447"/>
      <c r="B57" s="946" t="s">
        <v>767</v>
      </c>
      <c r="C57" s="238">
        <f ca="1">C29</f>
        <v>540237</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5764</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216095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2"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26940</v>
      </c>
      <c r="K60" s="1456" t="s">
        <v>854</v>
      </c>
      <c r="L60" s="1455">
        <f ca="1">IF(OR(M47="住宅",L48&lt;J51),0,ROUND(L57*(L58/L59-1),0))</f>
        <v>0</v>
      </c>
      <c r="O60" s="1424" t="s">
        <v>407</v>
      </c>
      <c r="P60" s="1415" t="s">
        <v>855</v>
      </c>
      <c r="Q60" s="1416">
        <f ca="1">L58</f>
        <v>0.84399999999999997</v>
      </c>
      <c r="R60" s="1416" t="s">
        <v>856</v>
      </c>
    </row>
    <row r="61" spans="1:18" s="1380" customFormat="1" ht="13.8"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8"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1713344</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5402</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362</v>
      </c>
      <c r="D65" s="960" t="s">
        <v>743</v>
      </c>
      <c r="E65" s="946" t="s">
        <v>744</v>
      </c>
      <c r="F65" s="330">
        <f t="shared" ca="1" si="0"/>
        <v>1E-3</v>
      </c>
      <c r="I65" s="1458" t="s">
        <v>867</v>
      </c>
      <c r="J65" s="1459">
        <v>40</v>
      </c>
      <c r="K65" s="1459">
        <v>30</v>
      </c>
      <c r="L65" s="1459">
        <v>50</v>
      </c>
      <c r="M65" s="1461">
        <v>0.02</v>
      </c>
      <c r="O65" s="1414" t="s">
        <v>403</v>
      </c>
      <c r="P65" s="1415" t="s">
        <v>868</v>
      </c>
      <c r="Q65" s="1416">
        <f ca="1">C40+J29</f>
        <v>1713344</v>
      </c>
      <c r="R65" s="1416" t="s">
        <v>818</v>
      </c>
    </row>
    <row r="66" spans="1:18" s="1380" customFormat="1" ht="16.2"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24.6" thickBot="1">
      <c r="A67" s="953" t="s">
        <v>394</v>
      </c>
      <c r="B67" s="963" t="s">
        <v>752</v>
      </c>
      <c r="C67" s="316">
        <f ca="1">C48-C58</f>
        <v>-5764</v>
      </c>
      <c r="D67" s="959" t="s">
        <v>753</v>
      </c>
      <c r="E67" s="964"/>
      <c r="F67" s="965"/>
      <c r="O67" s="1424" t="s">
        <v>405</v>
      </c>
      <c r="P67" s="1415" t="s">
        <v>850</v>
      </c>
      <c r="Q67" s="1462">
        <f ca="1">L51</f>
        <v>1120664</v>
      </c>
      <c r="R67" s="1416" t="s">
        <v>870</v>
      </c>
    </row>
    <row r="68" spans="1:18" s="1380" customFormat="1" ht="16.2" thickBot="1">
      <c r="A68" s="943" t="s">
        <v>395</v>
      </c>
      <c r="B68" s="944" t="s">
        <v>774</v>
      </c>
      <c r="C68" s="301">
        <f ca="1">ROUND(C67*(1-((1+F70)/(1+F68))^F69)/(F68-F70),0)</f>
        <v>-86985</v>
      </c>
      <c r="D68" s="961" t="s">
        <v>758</v>
      </c>
      <c r="E68" s="946" t="s">
        <v>759</v>
      </c>
      <c r="F68" s="312">
        <f ca="1">F40</f>
        <v>0.05</v>
      </c>
      <c r="O68" s="1424" t="s">
        <v>406</v>
      </c>
      <c r="P68" s="1463" t="s">
        <v>871</v>
      </c>
      <c r="Q68" s="1416">
        <f ca="1">ROUND(Q69-Q70*Q71,0)</f>
        <v>62087</v>
      </c>
      <c r="R68" s="1416" t="s">
        <v>414</v>
      </c>
    </row>
    <row r="69" spans="1:18" s="1380" customFormat="1" ht="13.8" thickBot="1">
      <c r="A69" s="947"/>
      <c r="B69" s="948"/>
      <c r="C69" s="306"/>
      <c r="D69" s="966" t="s">
        <v>762</v>
      </c>
      <c r="E69" s="946" t="s">
        <v>763</v>
      </c>
      <c r="F69" s="333">
        <f ca="1">F41</f>
        <v>28.79</v>
      </c>
      <c r="O69" s="1424" t="s">
        <v>411</v>
      </c>
      <c r="P69" s="1463" t="s">
        <v>872</v>
      </c>
      <c r="Q69" s="1416">
        <f ca="1">C39</f>
        <v>85614</v>
      </c>
      <c r="R69" s="1416" t="s">
        <v>818</v>
      </c>
    </row>
    <row r="70" spans="1:18" s="1380" customFormat="1" ht="13.8" thickBot="1">
      <c r="A70" s="950"/>
      <c r="B70" s="951"/>
      <c r="C70" s="310"/>
      <c r="D70" s="962"/>
      <c r="E70" s="946" t="s">
        <v>766</v>
      </c>
      <c r="F70" s="1050"/>
      <c r="O70" s="1424" t="s">
        <v>412</v>
      </c>
      <c r="P70" s="1463" t="s">
        <v>873</v>
      </c>
      <c r="Q70" s="1416">
        <f ca="1">C13</f>
        <v>361959</v>
      </c>
      <c r="R70" s="1416" t="s">
        <v>818</v>
      </c>
    </row>
    <row r="71" spans="1:18" s="1380" customFormat="1" ht="13.8" thickBot="1">
      <c r="A71" s="967" t="s">
        <v>396</v>
      </c>
      <c r="B71" s="968" t="s">
        <v>776</v>
      </c>
      <c r="C71" s="336">
        <f ca="1">ROUND(C68/F71,0)</f>
        <v>-781</v>
      </c>
      <c r="D71" s="969" t="s">
        <v>777</v>
      </c>
      <c r="E71" s="970" t="s">
        <v>778</v>
      </c>
      <c r="F71" s="339">
        <f ca="1">F43</f>
        <v>111.43</v>
      </c>
      <c r="O71" s="1424" t="s">
        <v>413</v>
      </c>
      <c r="P71" s="1463" t="s">
        <v>874</v>
      </c>
      <c r="Q71" s="1427">
        <f ca="1">C76</f>
        <v>6.5000000000000002E-2</v>
      </c>
      <c r="R71" s="1416"/>
    </row>
    <row r="72" spans="1:18" s="1380" customFormat="1" ht="13.8" thickBot="1">
      <c r="B72" s="724"/>
      <c r="C72" s="724"/>
      <c r="O72" s="1424" t="s">
        <v>407</v>
      </c>
      <c r="P72" s="1415" t="s">
        <v>852</v>
      </c>
      <c r="Q72" s="1427">
        <f>L52</f>
        <v>5.5E-2</v>
      </c>
      <c r="R72" s="1416"/>
    </row>
    <row r="73" spans="1:18" ht="16.2" thickBot="1">
      <c r="A73" s="1380"/>
      <c r="B73" s="724"/>
      <c r="C73" s="724"/>
      <c r="D73" s="1380"/>
      <c r="E73" s="1380"/>
      <c r="F73" s="1380"/>
      <c r="O73" s="1424" t="s">
        <v>408</v>
      </c>
      <c r="P73" s="1415" t="s">
        <v>855</v>
      </c>
      <c r="Q73" s="1416">
        <f ca="1">L58</f>
        <v>0.84399999999999997</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8" thickBot="1">
      <c r="A75" s="1380"/>
      <c r="B75" s="340" t="s">
        <v>795</v>
      </c>
      <c r="C75" s="341">
        <f ca="1">ROUND(C13*C76,0)</f>
        <v>23527</v>
      </c>
      <c r="D75" s="1380"/>
      <c r="E75" s="1380"/>
      <c r="F75" s="1380"/>
      <c r="K75" s="1398"/>
      <c r="L75" s="1380"/>
      <c r="O75" s="1414" t="s">
        <v>409</v>
      </c>
      <c r="P75" s="1415" t="s">
        <v>838</v>
      </c>
      <c r="Q75" s="1416">
        <f ca="1">Q65+Q66</f>
        <v>1713344</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0.72499999999999998</v>
      </c>
    </row>
    <row r="80" spans="1:18">
      <c r="B80" s="340" t="s">
        <v>800</v>
      </c>
      <c r="C80" s="274">
        <f ca="1">ROUND(C75/C39,3)</f>
        <v>0.27500000000000002</v>
      </c>
    </row>
    <row r="81" spans="2:3">
      <c r="B81" s="270" t="s">
        <v>801</v>
      </c>
      <c r="C81" s="238"/>
    </row>
    <row r="82" spans="2:3">
      <c r="B82" s="273" t="s">
        <v>802</v>
      </c>
      <c r="C82" s="275">
        <f ca="1">1-C83</f>
        <v>0.78900000000000003</v>
      </c>
    </row>
    <row r="83" spans="2:3">
      <c r="B83" s="273" t="s">
        <v>803</v>
      </c>
      <c r="C83" s="274">
        <f ca="1">ROUND(C13/C40,3)</f>
        <v>0.21099999999999999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4.4"/>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M96" sqref="M9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5" customHeight="1">
      <c r="A5" s="358"/>
      <c r="B5" s="359"/>
      <c r="C5" s="3677" t="s">
        <v>3436</v>
      </c>
      <c r="D5" s="3678"/>
      <c r="E5" s="3679" t="s">
        <v>3487</v>
      </c>
      <c r="F5" s="3680"/>
      <c r="G5" s="3679" t="str">
        <f>E5</f>
        <v>兴创国际中心</v>
      </c>
      <c r="H5" s="3680"/>
      <c r="I5" s="3679" t="str">
        <f>E5</f>
        <v>兴创国际中心</v>
      </c>
      <c r="J5" s="3680"/>
      <c r="K5" s="559"/>
      <c r="L5" s="2709"/>
      <c r="M5" s="2710"/>
      <c r="N5" s="2710"/>
      <c r="O5" s="2710"/>
      <c r="P5" s="3669"/>
      <c r="Q5" s="3670"/>
      <c r="R5" s="3675"/>
      <c r="S5" s="3676"/>
      <c r="T5" s="3675"/>
      <c r="U5" s="3676"/>
      <c r="V5" s="3688"/>
      <c r="W5" s="3688"/>
      <c r="X5" s="3458"/>
      <c r="Y5" s="3675"/>
      <c r="Z5" s="3676"/>
      <c r="AA5" s="3690"/>
      <c r="AB5" s="3690"/>
      <c r="AC5" s="3661"/>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97" t="s">
        <v>1691</v>
      </c>
      <c r="Q15" s="3456" t="str">
        <f t="shared" si="6"/>
        <v>办公集聚程度</v>
      </c>
      <c r="R15" s="703" t="s">
        <v>14</v>
      </c>
      <c r="S15" s="704">
        <f t="shared" si="0"/>
        <v>104</v>
      </c>
      <c r="T15" s="703" t="s">
        <v>14</v>
      </c>
      <c r="U15" s="704">
        <f t="shared" si="1"/>
        <v>104</v>
      </c>
      <c r="V15" s="703" t="s">
        <v>14</v>
      </c>
      <c r="W15" s="704">
        <f t="shared" si="2"/>
        <v>104</v>
      </c>
      <c r="X15" s="3458"/>
      <c r="Y15" s="3699"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98"/>
      <c r="Q19" s="3456" t="str">
        <f>B19</f>
        <v>公共配套设施</v>
      </c>
      <c r="R19" s="703" t="s">
        <v>14</v>
      </c>
      <c r="S19" s="704">
        <f>F19</f>
        <v>101</v>
      </c>
      <c r="T19" s="703" t="s">
        <v>14</v>
      </c>
      <c r="U19" s="704">
        <f>H19</f>
        <v>101</v>
      </c>
      <c r="V19" s="703" t="s">
        <v>14</v>
      </c>
      <c r="W19" s="704">
        <f>J19</f>
        <v>101</v>
      </c>
      <c r="X19" s="3458"/>
      <c r="Y19" s="3700"/>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98"/>
      <c r="Q23" s="3456" t="str">
        <f>B23</f>
        <v>环境质量</v>
      </c>
      <c r="R23" s="703" t="s">
        <v>14</v>
      </c>
      <c r="S23" s="704">
        <f>F23</f>
        <v>102</v>
      </c>
      <c r="T23" s="703" t="s">
        <v>14</v>
      </c>
      <c r="U23" s="704">
        <f>H23</f>
        <v>102</v>
      </c>
      <c r="V23" s="703" t="s">
        <v>14</v>
      </c>
      <c r="W23" s="704">
        <f>J23</f>
        <v>102</v>
      </c>
      <c r="X23" s="3458"/>
      <c r="Y23" s="3700"/>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98"/>
      <c r="Q27" s="3456" t="str">
        <f t="shared" ref="Q27:Q47" si="11">B27</f>
        <v>楼层</v>
      </c>
      <c r="R27" s="703" t="s">
        <v>14</v>
      </c>
      <c r="S27" s="704">
        <f>F27</f>
        <v>100</v>
      </c>
      <c r="T27" s="703" t="s">
        <v>14</v>
      </c>
      <c r="U27" s="704">
        <f>H27</f>
        <v>100</v>
      </c>
      <c r="V27" s="703" t="s">
        <v>14</v>
      </c>
      <c r="W27" s="704">
        <f>J27</f>
        <v>100</v>
      </c>
      <c r="X27" s="3458"/>
      <c r="Y27" s="3700"/>
      <c r="Z27" s="3459" t="str">
        <f>Q27</f>
        <v>楼层</v>
      </c>
      <c r="AA27" s="3457">
        <f t="shared" si="3"/>
        <v>1</v>
      </c>
      <c r="AB27" s="3457">
        <f t="shared" si="4"/>
        <v>1</v>
      </c>
      <c r="AC27" s="1957">
        <f t="shared" si="5"/>
        <v>1</v>
      </c>
    </row>
    <row r="28" spans="1:29" s="108" customFormat="1" ht="15.6"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98"/>
      <c r="Q28" s="3454" t="str">
        <f t="shared" si="11"/>
        <v>朝向</v>
      </c>
      <c r="R28" s="699" t="s">
        <v>14</v>
      </c>
      <c r="S28" s="700">
        <f>F28</f>
        <v>100</v>
      </c>
      <c r="T28" s="699" t="s">
        <v>14</v>
      </c>
      <c r="U28" s="700">
        <f>H28</f>
        <v>100</v>
      </c>
      <c r="V28" s="699" t="s">
        <v>14</v>
      </c>
      <c r="W28" s="700">
        <f>J28</f>
        <v>100</v>
      </c>
      <c r="X28" s="701"/>
      <c r="Y28" s="3700"/>
      <c r="Z28" s="3453" t="str">
        <f>Q28</f>
        <v>朝向</v>
      </c>
      <c r="AA28" s="3457">
        <f>D28/F28</f>
        <v>1</v>
      </c>
      <c r="AB28" s="3457">
        <f>D28/H28</f>
        <v>1</v>
      </c>
      <c r="AC28" s="1957">
        <f>D28/J28</f>
        <v>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111.43</v>
      </c>
      <c r="D34" s="127">
        <v>100</v>
      </c>
      <c r="E34" s="381">
        <v>260</v>
      </c>
      <c r="F34" s="376">
        <f>LOOKUP(E34,104:104,105:105)-LOOKUP(C34,104:104,105:105)+100</f>
        <v>100</v>
      </c>
      <c r="G34" s="380">
        <v>150</v>
      </c>
      <c r="H34" s="127">
        <f>LOOKUP(G34,104:104,105:105)-LOOKUP(C34,104:104,105:105)+100</f>
        <v>100</v>
      </c>
      <c r="I34" s="380">
        <v>263</v>
      </c>
      <c r="J34" s="127">
        <f>LOOKUP(I34,104:104,105:105)-LOOKUP(C34,104:104,105:105)+100</f>
        <v>100</v>
      </c>
      <c r="K34" s="562"/>
      <c r="L34" s="2715"/>
      <c r="M34" s="2717"/>
      <c r="N34" s="2717"/>
      <c r="O34" s="2717"/>
      <c r="P34" s="3702"/>
      <c r="Q34" s="705" t="str">
        <f t="shared" si="11"/>
        <v>项目建筑规模</v>
      </c>
      <c r="R34" s="706" t="s">
        <v>14</v>
      </c>
      <c r="S34" s="707">
        <f t="shared" si="12"/>
        <v>100</v>
      </c>
      <c r="T34" s="706" t="s">
        <v>14</v>
      </c>
      <c r="U34" s="707">
        <f t="shared" si="13"/>
        <v>100</v>
      </c>
      <c r="V34" s="706" t="s">
        <v>14</v>
      </c>
      <c r="W34" s="707">
        <f t="shared" si="14"/>
        <v>100</v>
      </c>
      <c r="X34" s="708"/>
      <c r="Y34" s="3704"/>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702"/>
      <c r="Q37" s="3456" t="str">
        <f t="shared" si="11"/>
        <v>成新度</v>
      </c>
      <c r="R37" s="703" t="s">
        <v>14</v>
      </c>
      <c r="S37" s="704">
        <f t="shared" si="12"/>
        <v>104</v>
      </c>
      <c r="T37" s="703" t="s">
        <v>14</v>
      </c>
      <c r="U37" s="704">
        <f t="shared" si="13"/>
        <v>104</v>
      </c>
      <c r="V37" s="703" t="s">
        <v>14</v>
      </c>
      <c r="W37" s="704">
        <f t="shared" si="14"/>
        <v>104</v>
      </c>
      <c r="X37" s="3458"/>
      <c r="Y37" s="3704"/>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702"/>
      <c r="Q38" s="3454" t="str">
        <f t="shared" si="11"/>
        <v>写字楼等级</v>
      </c>
      <c r="R38" s="699" t="s">
        <v>14</v>
      </c>
      <c r="S38" s="700">
        <f t="shared" si="12"/>
        <v>106</v>
      </c>
      <c r="T38" s="699" t="s">
        <v>14</v>
      </c>
      <c r="U38" s="700">
        <f t="shared" si="13"/>
        <v>106</v>
      </c>
      <c r="V38" s="699" t="s">
        <v>14</v>
      </c>
      <c r="W38" s="700">
        <f t="shared" si="14"/>
        <v>106</v>
      </c>
      <c r="X38" s="701"/>
      <c r="Y38" s="3704"/>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702" t="s">
        <v>1696</v>
      </c>
      <c r="Q39" s="3456" t="str">
        <f t="shared" si="11"/>
        <v>物业管理</v>
      </c>
      <c r="R39" s="703" t="s">
        <v>14</v>
      </c>
      <c r="S39" s="704">
        <f t="shared" si="12"/>
        <v>102</v>
      </c>
      <c r="T39" s="703" t="s">
        <v>14</v>
      </c>
      <c r="U39" s="704">
        <f t="shared" si="13"/>
        <v>102</v>
      </c>
      <c r="V39" s="703" t="s">
        <v>14</v>
      </c>
      <c r="W39" s="704">
        <f t="shared" si="14"/>
        <v>102</v>
      </c>
      <c r="X39" s="3458"/>
      <c r="Y39" s="3704"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702"/>
      <c r="Q40" s="3456" t="str">
        <f t="shared" si="11"/>
        <v>市政基础设施</v>
      </c>
      <c r="R40" s="703" t="s">
        <v>14</v>
      </c>
      <c r="S40" s="704">
        <f t="shared" si="12"/>
        <v>99</v>
      </c>
      <c r="T40" s="703" t="s">
        <v>14</v>
      </c>
      <c r="U40" s="704">
        <f t="shared" si="13"/>
        <v>99</v>
      </c>
      <c r="V40" s="703" t="s">
        <v>14</v>
      </c>
      <c r="W40" s="704">
        <f t="shared" si="14"/>
        <v>99</v>
      </c>
      <c r="X40" s="3458"/>
      <c r="Y40" s="3704"/>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702"/>
      <c r="Q41" s="3456" t="str">
        <f t="shared" si="11"/>
        <v>层高</v>
      </c>
      <c r="R41" s="703" t="s">
        <v>14</v>
      </c>
      <c r="S41" s="704">
        <f t="shared" si="12"/>
        <v>98</v>
      </c>
      <c r="T41" s="703" t="s">
        <v>14</v>
      </c>
      <c r="U41" s="704">
        <f t="shared" si="13"/>
        <v>98</v>
      </c>
      <c r="V41" s="703" t="s">
        <v>14</v>
      </c>
      <c r="W41" s="704">
        <f t="shared" si="14"/>
        <v>98</v>
      </c>
      <c r="X41" s="3458"/>
      <c r="Y41" s="3704"/>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111.43</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702"/>
      <c r="Q43" s="3456" t="str">
        <f t="shared" si="11"/>
        <v>内部装修</v>
      </c>
      <c r="R43" s="703" t="s">
        <v>14</v>
      </c>
      <c r="S43" s="704">
        <f t="shared" si="12"/>
        <v>102</v>
      </c>
      <c r="T43" s="703" t="s">
        <v>14</v>
      </c>
      <c r="U43" s="704">
        <f t="shared" si="13"/>
        <v>102</v>
      </c>
      <c r="V43" s="703" t="s">
        <v>14</v>
      </c>
      <c r="W43" s="704">
        <f t="shared" si="14"/>
        <v>102</v>
      </c>
      <c r="X43" s="3458"/>
      <c r="Y43" s="3704"/>
      <c r="Z43" s="3459" t="str">
        <f t="shared" si="15"/>
        <v>内部装修</v>
      </c>
      <c r="AA43" s="3457">
        <f t="shared" si="3"/>
        <v>0.98039215686274506</v>
      </c>
      <c r="AB43" s="3457">
        <f t="shared" si="4"/>
        <v>0.98039215686274506</v>
      </c>
      <c r="AC43" s="1957">
        <f t="shared" si="5"/>
        <v>0.98039215686274506</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702"/>
      <c r="Q44" s="3456" t="str">
        <f t="shared" si="11"/>
        <v>内部装修维护情况</v>
      </c>
      <c r="R44" s="703" t="s">
        <v>14</v>
      </c>
      <c r="S44" s="704">
        <f t="shared" si="12"/>
        <v>100</v>
      </c>
      <c r="T44" s="703" t="s">
        <v>14</v>
      </c>
      <c r="U44" s="704">
        <f t="shared" si="13"/>
        <v>100</v>
      </c>
      <c r="V44" s="703" t="s">
        <v>14</v>
      </c>
      <c r="W44" s="704">
        <f t="shared" si="14"/>
        <v>100</v>
      </c>
      <c r="X44" s="3458"/>
      <c r="Y44" s="3704"/>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4.4">
      <c r="A48" s="430" t="s">
        <v>1708</v>
      </c>
      <c r="B48" s="431"/>
      <c r="C48" s="1150" t="s">
        <v>0</v>
      </c>
      <c r="D48" s="1151"/>
      <c r="E48" s="1152">
        <v>3.5</v>
      </c>
      <c r="F48" s="1153"/>
      <c r="G48" s="1154">
        <v>3.3</v>
      </c>
      <c r="H48" s="1155"/>
      <c r="I48" s="1152">
        <v>3.3</v>
      </c>
      <c r="J48" s="436"/>
      <c r="K48" s="712"/>
      <c r="L48" s="2718"/>
      <c r="M48" s="2710"/>
      <c r="N48" s="2710"/>
      <c r="O48" s="2710"/>
      <c r="P48" s="3696" t="str">
        <f>A48</f>
        <v>成交单价（元/平方米）</v>
      </c>
      <c r="Q48" s="3706"/>
      <c r="R48" s="3707">
        <f>E48</f>
        <v>3.5</v>
      </c>
      <c r="S48" s="3707"/>
      <c r="T48" s="3707">
        <f>G48</f>
        <v>3.3</v>
      </c>
      <c r="U48" s="3707"/>
      <c r="V48" s="3707">
        <f>I48</f>
        <v>3.3</v>
      </c>
      <c r="W48" s="3707"/>
      <c r="X48" s="397"/>
      <c r="Y48" s="710"/>
      <c r="Z48" s="397"/>
      <c r="AA48" s="397"/>
      <c r="AB48" s="397"/>
      <c r="AC48" s="578"/>
    </row>
    <row r="49" spans="1:29" ht="1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96" t="str">
        <f>A49</f>
        <v>比较价值（元/平方米）</v>
      </c>
      <c r="Q49" s="3706"/>
      <c r="R49" s="3707">
        <f>IF(F1="售价",ROUND(PRODUCT(R48,AA7:AA47),0),ROUND(PRODUCT(R48,AA7:AA47),1))</f>
        <v>3</v>
      </c>
      <c r="S49" s="3707"/>
      <c r="T49" s="3707">
        <f>IF(F1="售价",ROUND(PRODUCT(T48,AB7:AB47),0),ROUND(PRODUCT(T48,AB7:AB47),1))</f>
        <v>3</v>
      </c>
      <c r="U49" s="3707"/>
      <c r="V49" s="3707">
        <f>IF(F1="售价",ROUND(PRODUCT(V48,AC7:AC47),0),ROUND(PRODUCT(V48,AC7:AC47),1))</f>
        <v>3</v>
      </c>
      <c r="W49" s="3707"/>
      <c r="X49" s="397"/>
      <c r="Y49" s="397"/>
      <c r="Z49" s="397"/>
      <c r="AA49" s="397"/>
      <c r="AB49" s="397"/>
      <c r="AC49" s="578"/>
    </row>
    <row r="50" spans="1:29" ht="15" thickBot="1">
      <c r="A50" s="441" t="s">
        <v>1710</v>
      </c>
      <c r="B50" s="442"/>
      <c r="C50" s="1159">
        <f>R50</f>
        <v>3</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3</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4.4"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c r="C1" s="198"/>
      <c r="D1" s="198"/>
      <c r="E1" s="198"/>
      <c r="F1" s="198"/>
      <c r="G1" s="1122">
        <f>MATCH(B1,'数据-取费表'!A6:A16,0)+5</f>
        <v>7</v>
      </c>
    </row>
    <row r="2" spans="1:9" s="200" customFormat="1" ht="18" customHeight="1">
      <c r="A2" s="201" t="s">
        <v>1462</v>
      </c>
      <c r="B2" s="202">
        <f ca="1">IF(D2="——",C52,C52-E2)</f>
        <v>38</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3410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2</v>
      </c>
      <c r="D10" s="843">
        <f ca="1">IF(B1="",'数据-汇总表'!E6,IF(INDIRECT("'数据-取费表'!c"&amp;$G$1)="住宅",INDIRECT("'数据-取费表'!s"&amp;$G$1),INDIRECT("'数据-取费表'!k"&amp;$G$1)+INDIRECT("'数据-取费表'!s"&amp;$G$1)))</f>
        <v>111.43</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v>
      </c>
      <c r="D19" s="847">
        <f ca="1">D9+D10</f>
        <v>111.43</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v>
      </c>
      <c r="D37" s="217">
        <f ca="1">D19</f>
        <v>111.43</v>
      </c>
      <c r="E37" s="249">
        <f>'数据-取费表'!B35</f>
        <v>200</v>
      </c>
      <c r="F37" s="259"/>
      <c r="G37" s="261" t="s">
        <v>1532</v>
      </c>
    </row>
    <row r="38" spans="1:7" ht="13.5" customHeight="1">
      <c r="A38" s="778"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4</v>
      </c>
      <c r="D45" s="235">
        <f ca="1">C47</f>
        <v>2E-3</v>
      </c>
      <c r="E45" s="236" t="s">
        <v>1539</v>
      </c>
      <c r="F45" s="246">
        <f ca="1">F27</f>
        <v>0.1</v>
      </c>
      <c r="G45" s="247" t="s">
        <v>1548</v>
      </c>
    </row>
    <row r="46" spans="1:7" s="214" customFormat="1" ht="13.5" customHeight="1">
      <c r="A46" s="778" t="s">
        <v>346</v>
      </c>
      <c r="B46" s="248" t="s">
        <v>1549</v>
      </c>
      <c r="C46" s="249">
        <f ca="1">ROUND((C33+C39)*F27,0)</f>
        <v>4</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53</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36</v>
      </c>
      <c r="D51" s="232"/>
      <c r="E51" s="232"/>
      <c r="F51" s="264"/>
      <c r="G51" s="234" t="s">
        <v>1560</v>
      </c>
    </row>
    <row r="52" spans="1:7" s="208" customFormat="1" ht="16.8" thickBot="1">
      <c r="A52" s="265" t="s">
        <v>1561</v>
      </c>
      <c r="B52" s="266"/>
      <c r="C52" s="267">
        <f ca="1">C31+C51</f>
        <v>38</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1229964</v>
      </c>
      <c r="D6" s="217"/>
      <c r="E6" s="218"/>
      <c r="F6" s="218"/>
      <c r="G6" s="219"/>
    </row>
    <row r="7" spans="1:8" s="214" customFormat="1" ht="13.5" customHeight="1">
      <c r="A7" s="776" t="s">
        <v>1474</v>
      </c>
      <c r="B7" s="215" t="s">
        <v>1475</v>
      </c>
      <c r="C7" s="220">
        <f>ROUND(C6*F7,0)</f>
        <v>37514</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8"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7"/>
      <c r="C1" s="1188"/>
      <c r="D1" s="1186"/>
      <c r="E1" s="2800"/>
      <c r="F1" s="2800"/>
      <c r="G1" s="2665"/>
      <c r="H1" s="2800"/>
      <c r="I1" s="2800"/>
      <c r="J1" s="2800"/>
      <c r="K1" s="2801">
        <f>MATCH(C1,'数据-取费表'!A6:A16,0)+5</f>
        <v>7</v>
      </c>
    </row>
    <row r="2" spans="1:33" ht="18" customHeight="1">
      <c r="A2" s="201" t="s">
        <v>1462</v>
      </c>
      <c r="B2" s="204">
        <f ca="1">C32</f>
        <v>-2</v>
      </c>
      <c r="C2" s="276" t="s">
        <v>1595</v>
      </c>
      <c r="D2" s="276"/>
      <c r="E2" s="2800"/>
      <c r="F2" s="2800"/>
      <c r="G2" s="2800"/>
      <c r="H2" s="2800"/>
      <c r="I2" s="2800"/>
      <c r="J2" s="2800"/>
      <c r="K2" s="2800"/>
    </row>
    <row r="3" spans="1:33" ht="18" customHeight="1" thickBot="1">
      <c r="A3" s="203" t="s">
        <v>1464</v>
      </c>
      <c r="B3" s="204">
        <f ca="1">ROUND(B2*10000/IF(C1="",'数据-汇总表'!E3,INDIRECT("'数据-取费表'!K"&amp;$K$1)),0)</f>
        <v>-179</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111.43</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111.43</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111.43</v>
      </c>
      <c r="E20" s="21">
        <f>'数据-取费表'!B28</f>
        <v>200</v>
      </c>
      <c r="F20" s="802"/>
      <c r="G20" s="12"/>
      <c r="H20" s="807"/>
      <c r="I20" s="807"/>
      <c r="J20" s="807"/>
      <c r="K20" s="808"/>
    </row>
    <row r="21" spans="1:33" s="801" customFormat="1" ht="13.5" customHeight="1">
      <c r="A21" s="788" t="s">
        <v>357</v>
      </c>
      <c r="B21" s="811" t="s">
        <v>1628</v>
      </c>
      <c r="C21" s="812">
        <f ca="1">C16+C17+C18</f>
        <v>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8"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8"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6"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6"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24.6"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8" thickBot="1">
      <c r="A69" s="947"/>
      <c r="B69" s="948"/>
      <c r="C69" s="306"/>
      <c r="D69" s="966" t="s">
        <v>762</v>
      </c>
      <c r="E69" s="946" t="s">
        <v>763</v>
      </c>
      <c r="F69" s="333">
        <f ca="1">F41</f>
        <v>0</v>
      </c>
      <c r="O69" s="1424" t="s">
        <v>411</v>
      </c>
      <c r="P69" s="1463" t="s">
        <v>872</v>
      </c>
      <c r="Q69" s="1416">
        <f ca="1">C39</f>
        <v>0</v>
      </c>
      <c r="R69" s="1416" t="s">
        <v>818</v>
      </c>
    </row>
    <row r="70" spans="1:18" s="1380" customFormat="1" ht="13.8" thickBot="1">
      <c r="A70" s="950"/>
      <c r="B70" s="951"/>
      <c r="C70" s="310"/>
      <c r="D70" s="962"/>
      <c r="E70" s="946" t="s">
        <v>766</v>
      </c>
      <c r="F70" s="1050"/>
      <c r="O70" s="1424" t="s">
        <v>412</v>
      </c>
      <c r="P70" s="1463" t="s">
        <v>873</v>
      </c>
      <c r="Q70" s="1416">
        <f ca="1">C13</f>
        <v>0</v>
      </c>
      <c r="R70" s="1416" t="s">
        <v>818</v>
      </c>
    </row>
    <row r="71" spans="1:18" s="1380" customFormat="1" ht="13.8"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6" customWidth="1"/>
    <col min="2" max="2" width="8.88671875" style="2836"/>
    <col min="3" max="5" width="12.88671875" style="2836" customWidth="1"/>
    <col min="6" max="6" width="47.44140625" style="2836" customWidth="1"/>
    <col min="7" max="7" width="13" style="2995" customWidth="1"/>
    <col min="8" max="8" width="8.88671875" style="2830"/>
    <col min="9" max="9" width="8.88671875" style="2831"/>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831"/>
    <col min="23" max="256" width="8.88671875" style="2836"/>
    <col min="257" max="257" width="9.44140625" style="2836" customWidth="1"/>
    <col min="258" max="258" width="8.88671875" style="2836"/>
    <col min="259" max="261" width="12.88671875" style="2836" customWidth="1"/>
    <col min="262" max="262" width="47.44140625" style="2836" customWidth="1"/>
    <col min="263" max="263" width="13" style="2836" customWidth="1"/>
    <col min="264" max="265" width="8.88671875" style="2836"/>
    <col min="266" max="266" width="5.77734375" style="2836" customWidth="1"/>
    <col min="267" max="267" width="11.77734375" style="2836" customWidth="1"/>
    <col min="268" max="269" width="10.77734375" style="2836" customWidth="1"/>
    <col min="270" max="270" width="10" style="2836" customWidth="1"/>
    <col min="271" max="272" width="10.44140625" style="2836" bestFit="1" customWidth="1"/>
    <col min="273" max="273" width="10" style="2836" customWidth="1"/>
    <col min="274" max="274" width="10.109375" style="2836" customWidth="1"/>
    <col min="275" max="275" width="10" style="2836" customWidth="1"/>
    <col min="276" max="276" width="26.109375" style="2836" customWidth="1"/>
    <col min="277" max="512" width="8.88671875" style="2836"/>
    <col min="513" max="513" width="9.44140625" style="2836" customWidth="1"/>
    <col min="514" max="514" width="8.88671875" style="2836"/>
    <col min="515" max="517" width="12.88671875" style="2836" customWidth="1"/>
    <col min="518" max="518" width="47.44140625" style="2836" customWidth="1"/>
    <col min="519" max="519" width="13" style="2836" customWidth="1"/>
    <col min="520" max="521" width="8.88671875" style="2836"/>
    <col min="522" max="522" width="5.77734375" style="2836" customWidth="1"/>
    <col min="523" max="523" width="11.77734375" style="2836" customWidth="1"/>
    <col min="524" max="525" width="10.77734375" style="2836" customWidth="1"/>
    <col min="526" max="526" width="10" style="2836" customWidth="1"/>
    <col min="527" max="528" width="10.44140625" style="2836" bestFit="1" customWidth="1"/>
    <col min="529" max="529" width="10" style="2836" customWidth="1"/>
    <col min="530" max="530" width="10.109375" style="2836" customWidth="1"/>
    <col min="531" max="531" width="10" style="2836" customWidth="1"/>
    <col min="532" max="532" width="26.109375" style="2836" customWidth="1"/>
    <col min="533" max="768" width="8.88671875" style="2836"/>
    <col min="769" max="769" width="9.44140625" style="2836" customWidth="1"/>
    <col min="770" max="770" width="8.88671875" style="2836"/>
    <col min="771" max="773" width="12.88671875" style="2836" customWidth="1"/>
    <col min="774" max="774" width="47.44140625" style="2836" customWidth="1"/>
    <col min="775" max="775" width="13" style="2836" customWidth="1"/>
    <col min="776" max="777" width="8.88671875" style="2836"/>
    <col min="778" max="778" width="5.77734375" style="2836" customWidth="1"/>
    <col min="779" max="779" width="11.77734375" style="2836" customWidth="1"/>
    <col min="780" max="781" width="10.77734375" style="2836" customWidth="1"/>
    <col min="782" max="782" width="10" style="2836" customWidth="1"/>
    <col min="783" max="784" width="10.44140625" style="2836" bestFit="1" customWidth="1"/>
    <col min="785" max="785" width="10" style="2836" customWidth="1"/>
    <col min="786" max="786" width="10.109375" style="2836" customWidth="1"/>
    <col min="787" max="787" width="10" style="2836" customWidth="1"/>
    <col min="788" max="788" width="26.109375" style="2836" customWidth="1"/>
    <col min="789" max="1024" width="8.88671875" style="2836"/>
    <col min="1025" max="1025" width="9.44140625" style="2836" customWidth="1"/>
    <col min="1026" max="1026" width="8.88671875" style="2836"/>
    <col min="1027" max="1029" width="12.88671875" style="2836" customWidth="1"/>
    <col min="1030" max="1030" width="47.44140625" style="2836" customWidth="1"/>
    <col min="1031" max="1031" width="13" style="2836" customWidth="1"/>
    <col min="1032" max="1033" width="8.88671875" style="2836"/>
    <col min="1034" max="1034" width="5.77734375" style="2836" customWidth="1"/>
    <col min="1035" max="1035" width="11.77734375" style="2836" customWidth="1"/>
    <col min="1036" max="1037" width="10.77734375" style="2836" customWidth="1"/>
    <col min="1038" max="1038" width="10" style="2836" customWidth="1"/>
    <col min="1039" max="1040" width="10.44140625" style="2836" bestFit="1" customWidth="1"/>
    <col min="1041" max="1041" width="10" style="2836" customWidth="1"/>
    <col min="1042" max="1042" width="10.109375" style="2836" customWidth="1"/>
    <col min="1043" max="1043" width="10" style="2836" customWidth="1"/>
    <col min="1044" max="1044" width="26.109375" style="2836" customWidth="1"/>
    <col min="1045" max="1280" width="8.88671875" style="2836"/>
    <col min="1281" max="1281" width="9.44140625" style="2836" customWidth="1"/>
    <col min="1282" max="1282" width="8.88671875" style="2836"/>
    <col min="1283" max="1285" width="12.88671875" style="2836" customWidth="1"/>
    <col min="1286" max="1286" width="47.44140625" style="2836" customWidth="1"/>
    <col min="1287" max="1287" width="13" style="2836" customWidth="1"/>
    <col min="1288" max="1289" width="8.88671875" style="2836"/>
    <col min="1290" max="1290" width="5.77734375" style="2836" customWidth="1"/>
    <col min="1291" max="1291" width="11.77734375" style="2836" customWidth="1"/>
    <col min="1292" max="1293" width="10.77734375" style="2836" customWidth="1"/>
    <col min="1294" max="1294" width="10" style="2836" customWidth="1"/>
    <col min="1295" max="1296" width="10.44140625" style="2836" bestFit="1" customWidth="1"/>
    <col min="1297" max="1297" width="10" style="2836" customWidth="1"/>
    <col min="1298" max="1298" width="10.109375" style="2836" customWidth="1"/>
    <col min="1299" max="1299" width="10" style="2836" customWidth="1"/>
    <col min="1300" max="1300" width="26.109375" style="2836" customWidth="1"/>
    <col min="1301" max="1536" width="8.88671875" style="2836"/>
    <col min="1537" max="1537" width="9.44140625" style="2836" customWidth="1"/>
    <col min="1538" max="1538" width="8.88671875" style="2836"/>
    <col min="1539" max="1541" width="12.88671875" style="2836" customWidth="1"/>
    <col min="1542" max="1542" width="47.44140625" style="2836" customWidth="1"/>
    <col min="1543" max="1543" width="13" style="2836" customWidth="1"/>
    <col min="1544" max="1545" width="8.88671875" style="2836"/>
    <col min="1546" max="1546" width="5.77734375" style="2836" customWidth="1"/>
    <col min="1547" max="1547" width="11.77734375" style="2836" customWidth="1"/>
    <col min="1548" max="1549" width="10.77734375" style="2836" customWidth="1"/>
    <col min="1550" max="1550" width="10" style="2836" customWidth="1"/>
    <col min="1551" max="1552" width="10.44140625" style="2836" bestFit="1" customWidth="1"/>
    <col min="1553" max="1553" width="10" style="2836" customWidth="1"/>
    <col min="1554" max="1554" width="10.109375" style="2836" customWidth="1"/>
    <col min="1555" max="1555" width="10" style="2836" customWidth="1"/>
    <col min="1556" max="1556" width="26.109375" style="2836" customWidth="1"/>
    <col min="1557" max="1792" width="8.88671875" style="2836"/>
    <col min="1793" max="1793" width="9.44140625" style="2836" customWidth="1"/>
    <col min="1794" max="1794" width="8.88671875" style="2836"/>
    <col min="1795" max="1797" width="12.88671875" style="2836" customWidth="1"/>
    <col min="1798" max="1798" width="47.44140625" style="2836" customWidth="1"/>
    <col min="1799" max="1799" width="13" style="2836" customWidth="1"/>
    <col min="1800" max="1801" width="8.88671875" style="2836"/>
    <col min="1802" max="1802" width="5.77734375" style="2836" customWidth="1"/>
    <col min="1803" max="1803" width="11.77734375" style="2836" customWidth="1"/>
    <col min="1804" max="1805" width="10.77734375" style="2836" customWidth="1"/>
    <col min="1806" max="1806" width="10" style="2836" customWidth="1"/>
    <col min="1807" max="1808" width="10.44140625" style="2836" bestFit="1" customWidth="1"/>
    <col min="1809" max="1809" width="10" style="2836" customWidth="1"/>
    <col min="1810" max="1810" width="10.109375" style="2836" customWidth="1"/>
    <col min="1811" max="1811" width="10" style="2836" customWidth="1"/>
    <col min="1812" max="1812" width="26.109375" style="2836" customWidth="1"/>
    <col min="1813" max="2048" width="8.88671875" style="2836"/>
    <col min="2049" max="2049" width="9.44140625" style="2836" customWidth="1"/>
    <col min="2050" max="2050" width="8.88671875" style="2836"/>
    <col min="2051" max="2053" width="12.88671875" style="2836" customWidth="1"/>
    <col min="2054" max="2054" width="47.44140625" style="2836" customWidth="1"/>
    <col min="2055" max="2055" width="13" style="2836" customWidth="1"/>
    <col min="2056" max="2057" width="8.88671875" style="2836"/>
    <col min="2058" max="2058" width="5.77734375" style="2836" customWidth="1"/>
    <col min="2059" max="2059" width="11.77734375" style="2836" customWidth="1"/>
    <col min="2060" max="2061" width="10.77734375" style="2836" customWidth="1"/>
    <col min="2062" max="2062" width="10" style="2836" customWidth="1"/>
    <col min="2063" max="2064" width="10.44140625" style="2836" bestFit="1" customWidth="1"/>
    <col min="2065" max="2065" width="10" style="2836" customWidth="1"/>
    <col min="2066" max="2066" width="10.109375" style="2836" customWidth="1"/>
    <col min="2067" max="2067" width="10" style="2836" customWidth="1"/>
    <col min="2068" max="2068" width="26.109375" style="2836" customWidth="1"/>
    <col min="2069" max="2304" width="8.88671875" style="2836"/>
    <col min="2305" max="2305" width="9.44140625" style="2836" customWidth="1"/>
    <col min="2306" max="2306" width="8.88671875" style="2836"/>
    <col min="2307" max="2309" width="12.88671875" style="2836" customWidth="1"/>
    <col min="2310" max="2310" width="47.44140625" style="2836" customWidth="1"/>
    <col min="2311" max="2311" width="13" style="2836" customWidth="1"/>
    <col min="2312" max="2313" width="8.88671875" style="2836"/>
    <col min="2314" max="2314" width="5.77734375" style="2836" customWidth="1"/>
    <col min="2315" max="2315" width="11.77734375" style="2836" customWidth="1"/>
    <col min="2316" max="2317" width="10.77734375" style="2836" customWidth="1"/>
    <col min="2318" max="2318" width="10" style="2836" customWidth="1"/>
    <col min="2319" max="2320" width="10.44140625" style="2836" bestFit="1" customWidth="1"/>
    <col min="2321" max="2321" width="10" style="2836" customWidth="1"/>
    <col min="2322" max="2322" width="10.109375" style="2836" customWidth="1"/>
    <col min="2323" max="2323" width="10" style="2836" customWidth="1"/>
    <col min="2324" max="2324" width="26.109375" style="2836" customWidth="1"/>
    <col min="2325" max="2560" width="8.88671875" style="2836"/>
    <col min="2561" max="2561" width="9.44140625" style="2836" customWidth="1"/>
    <col min="2562" max="2562" width="8.88671875" style="2836"/>
    <col min="2563" max="2565" width="12.88671875" style="2836" customWidth="1"/>
    <col min="2566" max="2566" width="47.44140625" style="2836" customWidth="1"/>
    <col min="2567" max="2567" width="13" style="2836" customWidth="1"/>
    <col min="2568" max="2569" width="8.88671875" style="2836"/>
    <col min="2570" max="2570" width="5.77734375" style="2836" customWidth="1"/>
    <col min="2571" max="2571" width="11.77734375" style="2836" customWidth="1"/>
    <col min="2572" max="2573" width="10.77734375" style="2836" customWidth="1"/>
    <col min="2574" max="2574" width="10" style="2836" customWidth="1"/>
    <col min="2575" max="2576" width="10.44140625" style="2836" bestFit="1" customWidth="1"/>
    <col min="2577" max="2577" width="10" style="2836" customWidth="1"/>
    <col min="2578" max="2578" width="10.109375" style="2836" customWidth="1"/>
    <col min="2579" max="2579" width="10" style="2836" customWidth="1"/>
    <col min="2580" max="2580" width="26.109375" style="2836" customWidth="1"/>
    <col min="2581" max="2816" width="8.88671875" style="2836"/>
    <col min="2817" max="2817" width="9.44140625" style="2836" customWidth="1"/>
    <col min="2818" max="2818" width="8.88671875" style="2836"/>
    <col min="2819" max="2821" width="12.88671875" style="2836" customWidth="1"/>
    <col min="2822" max="2822" width="47.44140625" style="2836" customWidth="1"/>
    <col min="2823" max="2823" width="13" style="2836" customWidth="1"/>
    <col min="2824" max="2825" width="8.88671875" style="2836"/>
    <col min="2826" max="2826" width="5.77734375" style="2836" customWidth="1"/>
    <col min="2827" max="2827" width="11.77734375" style="2836" customWidth="1"/>
    <col min="2828" max="2829" width="10.77734375" style="2836" customWidth="1"/>
    <col min="2830" max="2830" width="10" style="2836" customWidth="1"/>
    <col min="2831" max="2832" width="10.44140625" style="2836" bestFit="1" customWidth="1"/>
    <col min="2833" max="2833" width="10" style="2836" customWidth="1"/>
    <col min="2834" max="2834" width="10.109375" style="2836" customWidth="1"/>
    <col min="2835" max="2835" width="10" style="2836" customWidth="1"/>
    <col min="2836" max="2836" width="26.109375" style="2836" customWidth="1"/>
    <col min="2837" max="3072" width="8.88671875" style="2836"/>
    <col min="3073" max="3073" width="9.44140625" style="2836" customWidth="1"/>
    <col min="3074" max="3074" width="8.88671875" style="2836"/>
    <col min="3075" max="3077" width="12.88671875" style="2836" customWidth="1"/>
    <col min="3078" max="3078" width="47.44140625" style="2836" customWidth="1"/>
    <col min="3079" max="3079" width="13" style="2836" customWidth="1"/>
    <col min="3080" max="3081" width="8.88671875" style="2836"/>
    <col min="3082" max="3082" width="5.77734375" style="2836" customWidth="1"/>
    <col min="3083" max="3083" width="11.77734375" style="2836" customWidth="1"/>
    <col min="3084" max="3085" width="10.77734375" style="2836" customWidth="1"/>
    <col min="3086" max="3086" width="10" style="2836" customWidth="1"/>
    <col min="3087" max="3088" width="10.44140625" style="2836" bestFit="1" customWidth="1"/>
    <col min="3089" max="3089" width="10" style="2836" customWidth="1"/>
    <col min="3090" max="3090" width="10.109375" style="2836" customWidth="1"/>
    <col min="3091" max="3091" width="10" style="2836" customWidth="1"/>
    <col min="3092" max="3092" width="26.109375" style="2836" customWidth="1"/>
    <col min="3093" max="3328" width="8.88671875" style="2836"/>
    <col min="3329" max="3329" width="9.44140625" style="2836" customWidth="1"/>
    <col min="3330" max="3330" width="8.88671875" style="2836"/>
    <col min="3331" max="3333" width="12.88671875" style="2836" customWidth="1"/>
    <col min="3334" max="3334" width="47.44140625" style="2836" customWidth="1"/>
    <col min="3335" max="3335" width="13" style="2836" customWidth="1"/>
    <col min="3336" max="3337" width="8.88671875" style="2836"/>
    <col min="3338" max="3338" width="5.77734375" style="2836" customWidth="1"/>
    <col min="3339" max="3339" width="11.77734375" style="2836" customWidth="1"/>
    <col min="3340" max="3341" width="10.77734375" style="2836" customWidth="1"/>
    <col min="3342" max="3342" width="10" style="2836" customWidth="1"/>
    <col min="3343" max="3344" width="10.44140625" style="2836" bestFit="1" customWidth="1"/>
    <col min="3345" max="3345" width="10" style="2836" customWidth="1"/>
    <col min="3346" max="3346" width="10.109375" style="2836" customWidth="1"/>
    <col min="3347" max="3347" width="10" style="2836" customWidth="1"/>
    <col min="3348" max="3348" width="26.109375" style="2836" customWidth="1"/>
    <col min="3349" max="3584" width="8.88671875" style="2836"/>
    <col min="3585" max="3585" width="9.44140625" style="2836" customWidth="1"/>
    <col min="3586" max="3586" width="8.88671875" style="2836"/>
    <col min="3587" max="3589" width="12.88671875" style="2836" customWidth="1"/>
    <col min="3590" max="3590" width="47.44140625" style="2836" customWidth="1"/>
    <col min="3591" max="3591" width="13" style="2836" customWidth="1"/>
    <col min="3592" max="3593" width="8.88671875" style="2836"/>
    <col min="3594" max="3594" width="5.77734375" style="2836" customWidth="1"/>
    <col min="3595" max="3595" width="11.77734375" style="2836" customWidth="1"/>
    <col min="3596" max="3597" width="10.77734375" style="2836" customWidth="1"/>
    <col min="3598" max="3598" width="10" style="2836" customWidth="1"/>
    <col min="3599" max="3600" width="10.44140625" style="2836" bestFit="1" customWidth="1"/>
    <col min="3601" max="3601" width="10" style="2836" customWidth="1"/>
    <col min="3602" max="3602" width="10.109375" style="2836" customWidth="1"/>
    <col min="3603" max="3603" width="10" style="2836" customWidth="1"/>
    <col min="3604" max="3604" width="26.109375" style="2836" customWidth="1"/>
    <col min="3605" max="3840" width="8.88671875" style="2836"/>
    <col min="3841" max="3841" width="9.44140625" style="2836" customWidth="1"/>
    <col min="3842" max="3842" width="8.88671875" style="2836"/>
    <col min="3843" max="3845" width="12.88671875" style="2836" customWidth="1"/>
    <col min="3846" max="3846" width="47.44140625" style="2836" customWidth="1"/>
    <col min="3847" max="3847" width="13" style="2836" customWidth="1"/>
    <col min="3848" max="3849" width="8.88671875" style="2836"/>
    <col min="3850" max="3850" width="5.77734375" style="2836" customWidth="1"/>
    <col min="3851" max="3851" width="11.77734375" style="2836" customWidth="1"/>
    <col min="3852" max="3853" width="10.77734375" style="2836" customWidth="1"/>
    <col min="3854" max="3854" width="10" style="2836" customWidth="1"/>
    <col min="3855" max="3856" width="10.44140625" style="2836" bestFit="1" customWidth="1"/>
    <col min="3857" max="3857" width="10" style="2836" customWidth="1"/>
    <col min="3858" max="3858" width="10.109375" style="2836" customWidth="1"/>
    <col min="3859" max="3859" width="10" style="2836" customWidth="1"/>
    <col min="3860" max="3860" width="26.109375" style="2836" customWidth="1"/>
    <col min="3861" max="4096" width="8.88671875" style="2836"/>
    <col min="4097" max="4097" width="9.44140625" style="2836" customWidth="1"/>
    <col min="4098" max="4098" width="8.88671875" style="2836"/>
    <col min="4099" max="4101" width="12.88671875" style="2836" customWidth="1"/>
    <col min="4102" max="4102" width="47.44140625" style="2836" customWidth="1"/>
    <col min="4103" max="4103" width="13" style="2836" customWidth="1"/>
    <col min="4104" max="4105" width="8.88671875" style="2836"/>
    <col min="4106" max="4106" width="5.77734375" style="2836" customWidth="1"/>
    <col min="4107" max="4107" width="11.77734375" style="2836" customWidth="1"/>
    <col min="4108" max="4109" width="10.77734375" style="2836" customWidth="1"/>
    <col min="4110" max="4110" width="10" style="2836" customWidth="1"/>
    <col min="4111" max="4112" width="10.44140625" style="2836" bestFit="1" customWidth="1"/>
    <col min="4113" max="4113" width="10" style="2836" customWidth="1"/>
    <col min="4114" max="4114" width="10.109375" style="2836" customWidth="1"/>
    <col min="4115" max="4115" width="10" style="2836" customWidth="1"/>
    <col min="4116" max="4116" width="26.109375" style="2836" customWidth="1"/>
    <col min="4117" max="4352" width="8.88671875" style="2836"/>
    <col min="4353" max="4353" width="9.44140625" style="2836" customWidth="1"/>
    <col min="4354" max="4354" width="8.88671875" style="2836"/>
    <col min="4355" max="4357" width="12.88671875" style="2836" customWidth="1"/>
    <col min="4358" max="4358" width="47.44140625" style="2836" customWidth="1"/>
    <col min="4359" max="4359" width="13" style="2836" customWidth="1"/>
    <col min="4360" max="4361" width="8.88671875" style="2836"/>
    <col min="4362" max="4362" width="5.77734375" style="2836" customWidth="1"/>
    <col min="4363" max="4363" width="11.77734375" style="2836" customWidth="1"/>
    <col min="4364" max="4365" width="10.77734375" style="2836" customWidth="1"/>
    <col min="4366" max="4366" width="10" style="2836" customWidth="1"/>
    <col min="4367" max="4368" width="10.44140625" style="2836" bestFit="1" customWidth="1"/>
    <col min="4369" max="4369" width="10" style="2836" customWidth="1"/>
    <col min="4370" max="4370" width="10.109375" style="2836" customWidth="1"/>
    <col min="4371" max="4371" width="10" style="2836" customWidth="1"/>
    <col min="4372" max="4372" width="26.109375" style="2836" customWidth="1"/>
    <col min="4373" max="4608" width="8.88671875" style="2836"/>
    <col min="4609" max="4609" width="9.44140625" style="2836" customWidth="1"/>
    <col min="4610" max="4610" width="8.88671875" style="2836"/>
    <col min="4611" max="4613" width="12.88671875" style="2836" customWidth="1"/>
    <col min="4614" max="4614" width="47.44140625" style="2836" customWidth="1"/>
    <col min="4615" max="4615" width="13" style="2836" customWidth="1"/>
    <col min="4616" max="4617" width="8.88671875" style="2836"/>
    <col min="4618" max="4618" width="5.77734375" style="2836" customWidth="1"/>
    <col min="4619" max="4619" width="11.77734375" style="2836" customWidth="1"/>
    <col min="4620" max="4621" width="10.77734375" style="2836" customWidth="1"/>
    <col min="4622" max="4622" width="10" style="2836" customWidth="1"/>
    <col min="4623" max="4624" width="10.44140625" style="2836" bestFit="1" customWidth="1"/>
    <col min="4625" max="4625" width="10" style="2836" customWidth="1"/>
    <col min="4626" max="4626" width="10.109375" style="2836" customWidth="1"/>
    <col min="4627" max="4627" width="10" style="2836" customWidth="1"/>
    <col min="4628" max="4628" width="26.109375" style="2836" customWidth="1"/>
    <col min="4629" max="4864" width="8.88671875" style="2836"/>
    <col min="4865" max="4865" width="9.44140625" style="2836" customWidth="1"/>
    <col min="4866" max="4866" width="8.88671875" style="2836"/>
    <col min="4867" max="4869" width="12.88671875" style="2836" customWidth="1"/>
    <col min="4870" max="4870" width="47.44140625" style="2836" customWidth="1"/>
    <col min="4871" max="4871" width="13" style="2836" customWidth="1"/>
    <col min="4872" max="4873" width="8.88671875" style="2836"/>
    <col min="4874" max="4874" width="5.77734375" style="2836" customWidth="1"/>
    <col min="4875" max="4875" width="11.77734375" style="2836" customWidth="1"/>
    <col min="4876" max="4877" width="10.77734375" style="2836" customWidth="1"/>
    <col min="4878" max="4878" width="10" style="2836" customWidth="1"/>
    <col min="4879" max="4880" width="10.44140625" style="2836" bestFit="1" customWidth="1"/>
    <col min="4881" max="4881" width="10" style="2836" customWidth="1"/>
    <col min="4882" max="4882" width="10.109375" style="2836" customWidth="1"/>
    <col min="4883" max="4883" width="10" style="2836" customWidth="1"/>
    <col min="4884" max="4884" width="26.109375" style="2836" customWidth="1"/>
    <col min="4885" max="5120" width="8.88671875" style="2836"/>
    <col min="5121" max="5121" width="9.44140625" style="2836" customWidth="1"/>
    <col min="5122" max="5122" width="8.88671875" style="2836"/>
    <col min="5123" max="5125" width="12.88671875" style="2836" customWidth="1"/>
    <col min="5126" max="5126" width="47.44140625" style="2836" customWidth="1"/>
    <col min="5127" max="5127" width="13" style="2836" customWidth="1"/>
    <col min="5128" max="5129" width="8.88671875" style="2836"/>
    <col min="5130" max="5130" width="5.77734375" style="2836" customWidth="1"/>
    <col min="5131" max="5131" width="11.77734375" style="2836" customWidth="1"/>
    <col min="5132" max="5133" width="10.77734375" style="2836" customWidth="1"/>
    <col min="5134" max="5134" width="10" style="2836" customWidth="1"/>
    <col min="5135" max="5136" width="10.44140625" style="2836" bestFit="1" customWidth="1"/>
    <col min="5137" max="5137" width="10" style="2836" customWidth="1"/>
    <col min="5138" max="5138" width="10.109375" style="2836" customWidth="1"/>
    <col min="5139" max="5139" width="10" style="2836" customWidth="1"/>
    <col min="5140" max="5140" width="26.109375" style="2836" customWidth="1"/>
    <col min="5141" max="5376" width="8.88671875" style="2836"/>
    <col min="5377" max="5377" width="9.44140625" style="2836" customWidth="1"/>
    <col min="5378" max="5378" width="8.88671875" style="2836"/>
    <col min="5379" max="5381" width="12.88671875" style="2836" customWidth="1"/>
    <col min="5382" max="5382" width="47.44140625" style="2836" customWidth="1"/>
    <col min="5383" max="5383" width="13" style="2836" customWidth="1"/>
    <col min="5384" max="5385" width="8.88671875" style="2836"/>
    <col min="5386" max="5386" width="5.77734375" style="2836" customWidth="1"/>
    <col min="5387" max="5387" width="11.77734375" style="2836" customWidth="1"/>
    <col min="5388" max="5389" width="10.77734375" style="2836" customWidth="1"/>
    <col min="5390" max="5390" width="10" style="2836" customWidth="1"/>
    <col min="5391" max="5392" width="10.44140625" style="2836" bestFit="1" customWidth="1"/>
    <col min="5393" max="5393" width="10" style="2836" customWidth="1"/>
    <col min="5394" max="5394" width="10.109375" style="2836" customWidth="1"/>
    <col min="5395" max="5395" width="10" style="2836" customWidth="1"/>
    <col min="5396" max="5396" width="26.109375" style="2836" customWidth="1"/>
    <col min="5397" max="5632" width="8.88671875" style="2836"/>
    <col min="5633" max="5633" width="9.44140625" style="2836" customWidth="1"/>
    <col min="5634" max="5634" width="8.88671875" style="2836"/>
    <col min="5635" max="5637" width="12.88671875" style="2836" customWidth="1"/>
    <col min="5638" max="5638" width="47.44140625" style="2836" customWidth="1"/>
    <col min="5639" max="5639" width="13" style="2836" customWidth="1"/>
    <col min="5640" max="5641" width="8.88671875" style="2836"/>
    <col min="5642" max="5642" width="5.77734375" style="2836" customWidth="1"/>
    <col min="5643" max="5643" width="11.77734375" style="2836" customWidth="1"/>
    <col min="5644" max="5645" width="10.77734375" style="2836" customWidth="1"/>
    <col min="5646" max="5646" width="10" style="2836" customWidth="1"/>
    <col min="5647" max="5648" width="10.44140625" style="2836" bestFit="1" customWidth="1"/>
    <col min="5649" max="5649" width="10" style="2836" customWidth="1"/>
    <col min="5650" max="5650" width="10.109375" style="2836" customWidth="1"/>
    <col min="5651" max="5651" width="10" style="2836" customWidth="1"/>
    <col min="5652" max="5652" width="26.109375" style="2836" customWidth="1"/>
    <col min="5653" max="5888" width="8.88671875" style="2836"/>
    <col min="5889" max="5889" width="9.44140625" style="2836" customWidth="1"/>
    <col min="5890" max="5890" width="8.88671875" style="2836"/>
    <col min="5891" max="5893" width="12.88671875" style="2836" customWidth="1"/>
    <col min="5894" max="5894" width="47.44140625" style="2836" customWidth="1"/>
    <col min="5895" max="5895" width="13" style="2836" customWidth="1"/>
    <col min="5896" max="5897" width="8.88671875" style="2836"/>
    <col min="5898" max="5898" width="5.77734375" style="2836" customWidth="1"/>
    <col min="5899" max="5899" width="11.77734375" style="2836" customWidth="1"/>
    <col min="5900" max="5901" width="10.77734375" style="2836" customWidth="1"/>
    <col min="5902" max="5902" width="10" style="2836" customWidth="1"/>
    <col min="5903" max="5904" width="10.44140625" style="2836" bestFit="1" customWidth="1"/>
    <col min="5905" max="5905" width="10" style="2836" customWidth="1"/>
    <col min="5906" max="5906" width="10.109375" style="2836" customWidth="1"/>
    <col min="5907" max="5907" width="10" style="2836" customWidth="1"/>
    <col min="5908" max="5908" width="26.109375" style="2836" customWidth="1"/>
    <col min="5909" max="6144" width="8.88671875" style="2836"/>
    <col min="6145" max="6145" width="9.44140625" style="2836" customWidth="1"/>
    <col min="6146" max="6146" width="8.88671875" style="2836"/>
    <col min="6147" max="6149" width="12.88671875" style="2836" customWidth="1"/>
    <col min="6150" max="6150" width="47.44140625" style="2836" customWidth="1"/>
    <col min="6151" max="6151" width="13" style="2836" customWidth="1"/>
    <col min="6152" max="6153" width="8.88671875" style="2836"/>
    <col min="6154" max="6154" width="5.77734375" style="2836" customWidth="1"/>
    <col min="6155" max="6155" width="11.77734375" style="2836" customWidth="1"/>
    <col min="6156" max="6157" width="10.77734375" style="2836" customWidth="1"/>
    <col min="6158" max="6158" width="10" style="2836" customWidth="1"/>
    <col min="6159" max="6160" width="10.44140625" style="2836" bestFit="1" customWidth="1"/>
    <col min="6161" max="6161" width="10" style="2836" customWidth="1"/>
    <col min="6162" max="6162" width="10.109375" style="2836" customWidth="1"/>
    <col min="6163" max="6163" width="10" style="2836" customWidth="1"/>
    <col min="6164" max="6164" width="26.109375" style="2836" customWidth="1"/>
    <col min="6165" max="6400" width="8.88671875" style="2836"/>
    <col min="6401" max="6401" width="9.44140625" style="2836" customWidth="1"/>
    <col min="6402" max="6402" width="8.88671875" style="2836"/>
    <col min="6403" max="6405" width="12.88671875" style="2836" customWidth="1"/>
    <col min="6406" max="6406" width="47.44140625" style="2836" customWidth="1"/>
    <col min="6407" max="6407" width="13" style="2836" customWidth="1"/>
    <col min="6408" max="6409" width="8.88671875" style="2836"/>
    <col min="6410" max="6410" width="5.77734375" style="2836" customWidth="1"/>
    <col min="6411" max="6411" width="11.77734375" style="2836" customWidth="1"/>
    <col min="6412" max="6413" width="10.77734375" style="2836" customWidth="1"/>
    <col min="6414" max="6414" width="10" style="2836" customWidth="1"/>
    <col min="6415" max="6416" width="10.44140625" style="2836" bestFit="1" customWidth="1"/>
    <col min="6417" max="6417" width="10" style="2836" customWidth="1"/>
    <col min="6418" max="6418" width="10.109375" style="2836" customWidth="1"/>
    <col min="6419" max="6419" width="10" style="2836" customWidth="1"/>
    <col min="6420" max="6420" width="26.109375" style="2836" customWidth="1"/>
    <col min="6421" max="6656" width="8.88671875" style="2836"/>
    <col min="6657" max="6657" width="9.44140625" style="2836" customWidth="1"/>
    <col min="6658" max="6658" width="8.88671875" style="2836"/>
    <col min="6659" max="6661" width="12.88671875" style="2836" customWidth="1"/>
    <col min="6662" max="6662" width="47.44140625" style="2836" customWidth="1"/>
    <col min="6663" max="6663" width="13" style="2836" customWidth="1"/>
    <col min="6664" max="6665" width="8.88671875" style="2836"/>
    <col min="6666" max="6666" width="5.77734375" style="2836" customWidth="1"/>
    <col min="6667" max="6667" width="11.77734375" style="2836" customWidth="1"/>
    <col min="6668" max="6669" width="10.77734375" style="2836" customWidth="1"/>
    <col min="6670" max="6670" width="10" style="2836" customWidth="1"/>
    <col min="6671" max="6672" width="10.44140625" style="2836" bestFit="1" customWidth="1"/>
    <col min="6673" max="6673" width="10" style="2836" customWidth="1"/>
    <col min="6674" max="6674" width="10.109375" style="2836" customWidth="1"/>
    <col min="6675" max="6675" width="10" style="2836" customWidth="1"/>
    <col min="6676" max="6676" width="26.109375" style="2836" customWidth="1"/>
    <col min="6677" max="6912" width="8.88671875" style="2836"/>
    <col min="6913" max="6913" width="9.44140625" style="2836" customWidth="1"/>
    <col min="6914" max="6914" width="8.88671875" style="2836"/>
    <col min="6915" max="6917" width="12.88671875" style="2836" customWidth="1"/>
    <col min="6918" max="6918" width="47.44140625" style="2836" customWidth="1"/>
    <col min="6919" max="6919" width="13" style="2836" customWidth="1"/>
    <col min="6920" max="6921" width="8.88671875" style="2836"/>
    <col min="6922" max="6922" width="5.77734375" style="2836" customWidth="1"/>
    <col min="6923" max="6923" width="11.77734375" style="2836" customWidth="1"/>
    <col min="6924" max="6925" width="10.77734375" style="2836" customWidth="1"/>
    <col min="6926" max="6926" width="10" style="2836" customWidth="1"/>
    <col min="6927" max="6928" width="10.44140625" style="2836" bestFit="1" customWidth="1"/>
    <col min="6929" max="6929" width="10" style="2836" customWidth="1"/>
    <col min="6930" max="6930" width="10.109375" style="2836" customWidth="1"/>
    <col min="6931" max="6931" width="10" style="2836" customWidth="1"/>
    <col min="6932" max="6932" width="26.109375" style="2836" customWidth="1"/>
    <col min="6933" max="7168" width="8.88671875" style="2836"/>
    <col min="7169" max="7169" width="9.44140625" style="2836" customWidth="1"/>
    <col min="7170" max="7170" width="8.88671875" style="2836"/>
    <col min="7171" max="7173" width="12.88671875" style="2836" customWidth="1"/>
    <col min="7174" max="7174" width="47.44140625" style="2836" customWidth="1"/>
    <col min="7175" max="7175" width="13" style="2836" customWidth="1"/>
    <col min="7176" max="7177" width="8.88671875" style="2836"/>
    <col min="7178" max="7178" width="5.77734375" style="2836" customWidth="1"/>
    <col min="7179" max="7179" width="11.77734375" style="2836" customWidth="1"/>
    <col min="7180" max="7181" width="10.77734375" style="2836" customWidth="1"/>
    <col min="7182" max="7182" width="10" style="2836" customWidth="1"/>
    <col min="7183" max="7184" width="10.44140625" style="2836" bestFit="1" customWidth="1"/>
    <col min="7185" max="7185" width="10" style="2836" customWidth="1"/>
    <col min="7186" max="7186" width="10.109375" style="2836" customWidth="1"/>
    <col min="7187" max="7187" width="10" style="2836" customWidth="1"/>
    <col min="7188" max="7188" width="26.109375" style="2836" customWidth="1"/>
    <col min="7189" max="7424" width="8.88671875" style="2836"/>
    <col min="7425" max="7425" width="9.44140625" style="2836" customWidth="1"/>
    <col min="7426" max="7426" width="8.88671875" style="2836"/>
    <col min="7427" max="7429" width="12.88671875" style="2836" customWidth="1"/>
    <col min="7430" max="7430" width="47.44140625" style="2836" customWidth="1"/>
    <col min="7431" max="7431" width="13" style="2836" customWidth="1"/>
    <col min="7432" max="7433" width="8.88671875" style="2836"/>
    <col min="7434" max="7434" width="5.77734375" style="2836" customWidth="1"/>
    <col min="7435" max="7435" width="11.77734375" style="2836" customWidth="1"/>
    <col min="7436" max="7437" width="10.77734375" style="2836" customWidth="1"/>
    <col min="7438" max="7438" width="10" style="2836" customWidth="1"/>
    <col min="7439" max="7440" width="10.44140625" style="2836" bestFit="1" customWidth="1"/>
    <col min="7441" max="7441" width="10" style="2836" customWidth="1"/>
    <col min="7442" max="7442" width="10.109375" style="2836" customWidth="1"/>
    <col min="7443" max="7443" width="10" style="2836" customWidth="1"/>
    <col min="7444" max="7444" width="26.109375" style="2836" customWidth="1"/>
    <col min="7445" max="7680" width="8.88671875" style="2836"/>
    <col min="7681" max="7681" width="9.44140625" style="2836" customWidth="1"/>
    <col min="7682" max="7682" width="8.88671875" style="2836"/>
    <col min="7683" max="7685" width="12.88671875" style="2836" customWidth="1"/>
    <col min="7686" max="7686" width="47.44140625" style="2836" customWidth="1"/>
    <col min="7687" max="7687" width="13" style="2836" customWidth="1"/>
    <col min="7688" max="7689" width="8.88671875" style="2836"/>
    <col min="7690" max="7690" width="5.77734375" style="2836" customWidth="1"/>
    <col min="7691" max="7691" width="11.77734375" style="2836" customWidth="1"/>
    <col min="7692" max="7693" width="10.77734375" style="2836" customWidth="1"/>
    <col min="7694" max="7694" width="10" style="2836" customWidth="1"/>
    <col min="7695" max="7696" width="10.44140625" style="2836" bestFit="1" customWidth="1"/>
    <col min="7697" max="7697" width="10" style="2836" customWidth="1"/>
    <col min="7698" max="7698" width="10.109375" style="2836" customWidth="1"/>
    <col min="7699" max="7699" width="10" style="2836" customWidth="1"/>
    <col min="7700" max="7700" width="26.109375" style="2836" customWidth="1"/>
    <col min="7701" max="7936" width="8.88671875" style="2836"/>
    <col min="7937" max="7937" width="9.44140625" style="2836" customWidth="1"/>
    <col min="7938" max="7938" width="8.88671875" style="2836"/>
    <col min="7939" max="7941" width="12.88671875" style="2836" customWidth="1"/>
    <col min="7942" max="7942" width="47.44140625" style="2836" customWidth="1"/>
    <col min="7943" max="7943" width="13" style="2836" customWidth="1"/>
    <col min="7944" max="7945" width="8.88671875" style="2836"/>
    <col min="7946" max="7946" width="5.77734375" style="2836" customWidth="1"/>
    <col min="7947" max="7947" width="11.77734375" style="2836" customWidth="1"/>
    <col min="7948" max="7949" width="10.77734375" style="2836" customWidth="1"/>
    <col min="7950" max="7950" width="10" style="2836" customWidth="1"/>
    <col min="7951" max="7952" width="10.44140625" style="2836" bestFit="1" customWidth="1"/>
    <col min="7953" max="7953" width="10" style="2836" customWidth="1"/>
    <col min="7954" max="7954" width="10.109375" style="2836" customWidth="1"/>
    <col min="7955" max="7955" width="10" style="2836" customWidth="1"/>
    <col min="7956" max="7956" width="26.109375" style="2836" customWidth="1"/>
    <col min="7957" max="8192" width="8.88671875" style="2836"/>
    <col min="8193" max="8193" width="9.44140625" style="2836" customWidth="1"/>
    <col min="8194" max="8194" width="8.88671875" style="2836"/>
    <col min="8195" max="8197" width="12.88671875" style="2836" customWidth="1"/>
    <col min="8198" max="8198" width="47.44140625" style="2836" customWidth="1"/>
    <col min="8199" max="8199" width="13" style="2836" customWidth="1"/>
    <col min="8200" max="8201" width="8.88671875" style="2836"/>
    <col min="8202" max="8202" width="5.77734375" style="2836" customWidth="1"/>
    <col min="8203" max="8203" width="11.77734375" style="2836" customWidth="1"/>
    <col min="8204" max="8205" width="10.77734375" style="2836" customWidth="1"/>
    <col min="8206" max="8206" width="10" style="2836" customWidth="1"/>
    <col min="8207" max="8208" width="10.44140625" style="2836" bestFit="1" customWidth="1"/>
    <col min="8209" max="8209" width="10" style="2836" customWidth="1"/>
    <col min="8210" max="8210" width="10.109375" style="2836" customWidth="1"/>
    <col min="8211" max="8211" width="10" style="2836" customWidth="1"/>
    <col min="8212" max="8212" width="26.109375" style="2836" customWidth="1"/>
    <col min="8213" max="8448" width="8.88671875" style="2836"/>
    <col min="8449" max="8449" width="9.44140625" style="2836" customWidth="1"/>
    <col min="8450" max="8450" width="8.88671875" style="2836"/>
    <col min="8451" max="8453" width="12.88671875" style="2836" customWidth="1"/>
    <col min="8454" max="8454" width="47.44140625" style="2836" customWidth="1"/>
    <col min="8455" max="8455" width="13" style="2836" customWidth="1"/>
    <col min="8456" max="8457" width="8.88671875" style="2836"/>
    <col min="8458" max="8458" width="5.77734375" style="2836" customWidth="1"/>
    <col min="8459" max="8459" width="11.77734375" style="2836" customWidth="1"/>
    <col min="8460" max="8461" width="10.77734375" style="2836" customWidth="1"/>
    <col min="8462" max="8462" width="10" style="2836" customWidth="1"/>
    <col min="8463" max="8464" width="10.44140625" style="2836" bestFit="1" customWidth="1"/>
    <col min="8465" max="8465" width="10" style="2836" customWidth="1"/>
    <col min="8466" max="8466" width="10.109375" style="2836" customWidth="1"/>
    <col min="8467" max="8467" width="10" style="2836" customWidth="1"/>
    <col min="8468" max="8468" width="26.109375" style="2836" customWidth="1"/>
    <col min="8469" max="8704" width="8.88671875" style="2836"/>
    <col min="8705" max="8705" width="9.44140625" style="2836" customWidth="1"/>
    <col min="8706" max="8706" width="8.88671875" style="2836"/>
    <col min="8707" max="8709" width="12.88671875" style="2836" customWidth="1"/>
    <col min="8710" max="8710" width="47.44140625" style="2836" customWidth="1"/>
    <col min="8711" max="8711" width="13" style="2836" customWidth="1"/>
    <col min="8712" max="8713" width="8.88671875" style="2836"/>
    <col min="8714" max="8714" width="5.77734375" style="2836" customWidth="1"/>
    <col min="8715" max="8715" width="11.77734375" style="2836" customWidth="1"/>
    <col min="8716" max="8717" width="10.77734375" style="2836" customWidth="1"/>
    <col min="8718" max="8718" width="10" style="2836" customWidth="1"/>
    <col min="8719" max="8720" width="10.44140625" style="2836" bestFit="1" customWidth="1"/>
    <col min="8721" max="8721" width="10" style="2836" customWidth="1"/>
    <col min="8722" max="8722" width="10.109375" style="2836" customWidth="1"/>
    <col min="8723" max="8723" width="10" style="2836" customWidth="1"/>
    <col min="8724" max="8724" width="26.109375" style="2836" customWidth="1"/>
    <col min="8725" max="8960" width="8.88671875" style="2836"/>
    <col min="8961" max="8961" width="9.44140625" style="2836" customWidth="1"/>
    <col min="8962" max="8962" width="8.88671875" style="2836"/>
    <col min="8963" max="8965" width="12.88671875" style="2836" customWidth="1"/>
    <col min="8966" max="8966" width="47.44140625" style="2836" customWidth="1"/>
    <col min="8967" max="8967" width="13" style="2836" customWidth="1"/>
    <col min="8968" max="8969" width="8.88671875" style="2836"/>
    <col min="8970" max="8970" width="5.77734375" style="2836" customWidth="1"/>
    <col min="8971" max="8971" width="11.77734375" style="2836" customWidth="1"/>
    <col min="8972" max="8973" width="10.77734375" style="2836" customWidth="1"/>
    <col min="8974" max="8974" width="10" style="2836" customWidth="1"/>
    <col min="8975" max="8976" width="10.44140625" style="2836" bestFit="1" customWidth="1"/>
    <col min="8977" max="8977" width="10" style="2836" customWidth="1"/>
    <col min="8978" max="8978" width="10.109375" style="2836" customWidth="1"/>
    <col min="8979" max="8979" width="10" style="2836" customWidth="1"/>
    <col min="8980" max="8980" width="26.109375" style="2836" customWidth="1"/>
    <col min="8981" max="9216" width="8.88671875" style="2836"/>
    <col min="9217" max="9217" width="9.44140625" style="2836" customWidth="1"/>
    <col min="9218" max="9218" width="8.88671875" style="2836"/>
    <col min="9219" max="9221" width="12.88671875" style="2836" customWidth="1"/>
    <col min="9222" max="9222" width="47.44140625" style="2836" customWidth="1"/>
    <col min="9223" max="9223" width="13" style="2836" customWidth="1"/>
    <col min="9224" max="9225" width="8.88671875" style="2836"/>
    <col min="9226" max="9226" width="5.77734375" style="2836" customWidth="1"/>
    <col min="9227" max="9227" width="11.77734375" style="2836" customWidth="1"/>
    <col min="9228" max="9229" width="10.77734375" style="2836" customWidth="1"/>
    <col min="9230" max="9230" width="10" style="2836" customWidth="1"/>
    <col min="9231" max="9232" width="10.44140625" style="2836" bestFit="1" customWidth="1"/>
    <col min="9233" max="9233" width="10" style="2836" customWidth="1"/>
    <col min="9234" max="9234" width="10.109375" style="2836" customWidth="1"/>
    <col min="9235" max="9235" width="10" style="2836" customWidth="1"/>
    <col min="9236" max="9236" width="26.109375" style="2836" customWidth="1"/>
    <col min="9237" max="9472" width="8.88671875" style="2836"/>
    <col min="9473" max="9473" width="9.44140625" style="2836" customWidth="1"/>
    <col min="9474" max="9474" width="8.88671875" style="2836"/>
    <col min="9475" max="9477" width="12.88671875" style="2836" customWidth="1"/>
    <col min="9478" max="9478" width="47.44140625" style="2836" customWidth="1"/>
    <col min="9479" max="9479" width="13" style="2836" customWidth="1"/>
    <col min="9480" max="9481" width="8.88671875" style="2836"/>
    <col min="9482" max="9482" width="5.77734375" style="2836" customWidth="1"/>
    <col min="9483" max="9483" width="11.77734375" style="2836" customWidth="1"/>
    <col min="9484" max="9485" width="10.77734375" style="2836" customWidth="1"/>
    <col min="9486" max="9486" width="10" style="2836" customWidth="1"/>
    <col min="9487" max="9488" width="10.44140625" style="2836" bestFit="1" customWidth="1"/>
    <col min="9489" max="9489" width="10" style="2836" customWidth="1"/>
    <col min="9490" max="9490" width="10.109375" style="2836" customWidth="1"/>
    <col min="9491" max="9491" width="10" style="2836" customWidth="1"/>
    <col min="9492" max="9492" width="26.109375" style="2836" customWidth="1"/>
    <col min="9493" max="9728" width="8.88671875" style="2836"/>
    <col min="9729" max="9729" width="9.44140625" style="2836" customWidth="1"/>
    <col min="9730" max="9730" width="8.88671875" style="2836"/>
    <col min="9731" max="9733" width="12.88671875" style="2836" customWidth="1"/>
    <col min="9734" max="9734" width="47.44140625" style="2836" customWidth="1"/>
    <col min="9735" max="9735" width="13" style="2836" customWidth="1"/>
    <col min="9736" max="9737" width="8.88671875" style="2836"/>
    <col min="9738" max="9738" width="5.77734375" style="2836" customWidth="1"/>
    <col min="9739" max="9739" width="11.77734375" style="2836" customWidth="1"/>
    <col min="9740" max="9741" width="10.77734375" style="2836" customWidth="1"/>
    <col min="9742" max="9742" width="10" style="2836" customWidth="1"/>
    <col min="9743" max="9744" width="10.44140625" style="2836" bestFit="1" customWidth="1"/>
    <col min="9745" max="9745" width="10" style="2836" customWidth="1"/>
    <col min="9746" max="9746" width="10.109375" style="2836" customWidth="1"/>
    <col min="9747" max="9747" width="10" style="2836" customWidth="1"/>
    <col min="9748" max="9748" width="26.109375" style="2836" customWidth="1"/>
    <col min="9749" max="9984" width="8.88671875" style="2836"/>
    <col min="9985" max="9985" width="9.44140625" style="2836" customWidth="1"/>
    <col min="9986" max="9986" width="8.88671875" style="2836"/>
    <col min="9987" max="9989" width="12.88671875" style="2836" customWidth="1"/>
    <col min="9990" max="9990" width="47.44140625" style="2836" customWidth="1"/>
    <col min="9991" max="9991" width="13" style="2836" customWidth="1"/>
    <col min="9992" max="9993" width="8.88671875" style="2836"/>
    <col min="9994" max="9994" width="5.77734375" style="2836" customWidth="1"/>
    <col min="9995" max="9995" width="11.77734375" style="2836" customWidth="1"/>
    <col min="9996" max="9997" width="10.77734375" style="2836" customWidth="1"/>
    <col min="9998" max="9998" width="10" style="2836" customWidth="1"/>
    <col min="9999" max="10000" width="10.44140625" style="2836" bestFit="1" customWidth="1"/>
    <col min="10001" max="10001" width="10" style="2836" customWidth="1"/>
    <col min="10002" max="10002" width="10.109375" style="2836" customWidth="1"/>
    <col min="10003" max="10003" width="10" style="2836" customWidth="1"/>
    <col min="10004" max="10004" width="26.109375" style="2836" customWidth="1"/>
    <col min="10005" max="10240" width="8.88671875" style="2836"/>
    <col min="10241" max="10241" width="9.44140625" style="2836" customWidth="1"/>
    <col min="10242" max="10242" width="8.88671875" style="2836"/>
    <col min="10243" max="10245" width="12.88671875" style="2836" customWidth="1"/>
    <col min="10246" max="10246" width="47.44140625" style="2836" customWidth="1"/>
    <col min="10247" max="10247" width="13" style="2836" customWidth="1"/>
    <col min="10248" max="10249" width="8.88671875" style="2836"/>
    <col min="10250" max="10250" width="5.77734375" style="2836" customWidth="1"/>
    <col min="10251" max="10251" width="11.77734375" style="2836" customWidth="1"/>
    <col min="10252" max="10253" width="10.77734375" style="2836" customWidth="1"/>
    <col min="10254" max="10254" width="10" style="2836" customWidth="1"/>
    <col min="10255" max="10256" width="10.44140625" style="2836" bestFit="1" customWidth="1"/>
    <col min="10257" max="10257" width="10" style="2836" customWidth="1"/>
    <col min="10258" max="10258" width="10.109375" style="2836" customWidth="1"/>
    <col min="10259" max="10259" width="10" style="2836" customWidth="1"/>
    <col min="10260" max="10260" width="26.109375" style="2836" customWidth="1"/>
    <col min="10261" max="10496" width="8.88671875" style="2836"/>
    <col min="10497" max="10497" width="9.44140625" style="2836" customWidth="1"/>
    <col min="10498" max="10498" width="8.88671875" style="2836"/>
    <col min="10499" max="10501" width="12.88671875" style="2836" customWidth="1"/>
    <col min="10502" max="10502" width="47.44140625" style="2836" customWidth="1"/>
    <col min="10503" max="10503" width="13" style="2836" customWidth="1"/>
    <col min="10504" max="10505" width="8.88671875" style="2836"/>
    <col min="10506" max="10506" width="5.77734375" style="2836" customWidth="1"/>
    <col min="10507" max="10507" width="11.77734375" style="2836" customWidth="1"/>
    <col min="10508" max="10509" width="10.77734375" style="2836" customWidth="1"/>
    <col min="10510" max="10510" width="10" style="2836" customWidth="1"/>
    <col min="10511" max="10512" width="10.44140625" style="2836" bestFit="1" customWidth="1"/>
    <col min="10513" max="10513" width="10" style="2836" customWidth="1"/>
    <col min="10514" max="10514" width="10.109375" style="2836" customWidth="1"/>
    <col min="10515" max="10515" width="10" style="2836" customWidth="1"/>
    <col min="10516" max="10516" width="26.109375" style="2836" customWidth="1"/>
    <col min="10517" max="10752" width="8.88671875" style="2836"/>
    <col min="10753" max="10753" width="9.44140625" style="2836" customWidth="1"/>
    <col min="10754" max="10754" width="8.88671875" style="2836"/>
    <col min="10755" max="10757" width="12.88671875" style="2836" customWidth="1"/>
    <col min="10758" max="10758" width="47.44140625" style="2836" customWidth="1"/>
    <col min="10759" max="10759" width="13" style="2836" customWidth="1"/>
    <col min="10760" max="10761" width="8.88671875" style="2836"/>
    <col min="10762" max="10762" width="5.77734375" style="2836" customWidth="1"/>
    <col min="10763" max="10763" width="11.77734375" style="2836" customWidth="1"/>
    <col min="10764" max="10765" width="10.77734375" style="2836" customWidth="1"/>
    <col min="10766" max="10766" width="10" style="2836" customWidth="1"/>
    <col min="10767" max="10768" width="10.44140625" style="2836" bestFit="1" customWidth="1"/>
    <col min="10769" max="10769" width="10" style="2836" customWidth="1"/>
    <col min="10770" max="10770" width="10.109375" style="2836" customWidth="1"/>
    <col min="10771" max="10771" width="10" style="2836" customWidth="1"/>
    <col min="10772" max="10772" width="26.109375" style="2836" customWidth="1"/>
    <col min="10773" max="11008" width="8.88671875" style="2836"/>
    <col min="11009" max="11009" width="9.44140625" style="2836" customWidth="1"/>
    <col min="11010" max="11010" width="8.88671875" style="2836"/>
    <col min="11011" max="11013" width="12.88671875" style="2836" customWidth="1"/>
    <col min="11014" max="11014" width="47.44140625" style="2836" customWidth="1"/>
    <col min="11015" max="11015" width="13" style="2836" customWidth="1"/>
    <col min="11016" max="11017" width="8.88671875" style="2836"/>
    <col min="11018" max="11018" width="5.77734375" style="2836" customWidth="1"/>
    <col min="11019" max="11019" width="11.77734375" style="2836" customWidth="1"/>
    <col min="11020" max="11021" width="10.77734375" style="2836" customWidth="1"/>
    <col min="11022" max="11022" width="10" style="2836" customWidth="1"/>
    <col min="11023" max="11024" width="10.44140625" style="2836" bestFit="1" customWidth="1"/>
    <col min="11025" max="11025" width="10" style="2836" customWidth="1"/>
    <col min="11026" max="11026" width="10.109375" style="2836" customWidth="1"/>
    <col min="11027" max="11027" width="10" style="2836" customWidth="1"/>
    <col min="11028" max="11028" width="26.109375" style="2836" customWidth="1"/>
    <col min="11029" max="11264" width="8.88671875" style="2836"/>
    <col min="11265" max="11265" width="9.44140625" style="2836" customWidth="1"/>
    <col min="11266" max="11266" width="8.88671875" style="2836"/>
    <col min="11267" max="11269" width="12.88671875" style="2836" customWidth="1"/>
    <col min="11270" max="11270" width="47.44140625" style="2836" customWidth="1"/>
    <col min="11271" max="11271" width="13" style="2836" customWidth="1"/>
    <col min="11272" max="11273" width="8.88671875" style="2836"/>
    <col min="11274" max="11274" width="5.77734375" style="2836" customWidth="1"/>
    <col min="11275" max="11275" width="11.77734375" style="2836" customWidth="1"/>
    <col min="11276" max="11277" width="10.77734375" style="2836" customWidth="1"/>
    <col min="11278" max="11278" width="10" style="2836" customWidth="1"/>
    <col min="11279" max="11280" width="10.44140625" style="2836" bestFit="1" customWidth="1"/>
    <col min="11281" max="11281" width="10" style="2836" customWidth="1"/>
    <col min="11282" max="11282" width="10.109375" style="2836" customWidth="1"/>
    <col min="11283" max="11283" width="10" style="2836" customWidth="1"/>
    <col min="11284" max="11284" width="26.109375" style="2836" customWidth="1"/>
    <col min="11285" max="11520" width="8.88671875" style="2836"/>
    <col min="11521" max="11521" width="9.44140625" style="2836" customWidth="1"/>
    <col min="11522" max="11522" width="8.88671875" style="2836"/>
    <col min="11523" max="11525" width="12.88671875" style="2836" customWidth="1"/>
    <col min="11526" max="11526" width="47.44140625" style="2836" customWidth="1"/>
    <col min="11527" max="11527" width="13" style="2836" customWidth="1"/>
    <col min="11528" max="11529" width="8.88671875" style="2836"/>
    <col min="11530" max="11530" width="5.77734375" style="2836" customWidth="1"/>
    <col min="11531" max="11531" width="11.77734375" style="2836" customWidth="1"/>
    <col min="11532" max="11533" width="10.77734375" style="2836" customWidth="1"/>
    <col min="11534" max="11534" width="10" style="2836" customWidth="1"/>
    <col min="11535" max="11536" width="10.44140625" style="2836" bestFit="1" customWidth="1"/>
    <col min="11537" max="11537" width="10" style="2836" customWidth="1"/>
    <col min="11538" max="11538" width="10.109375" style="2836" customWidth="1"/>
    <col min="11539" max="11539" width="10" style="2836" customWidth="1"/>
    <col min="11540" max="11540" width="26.109375" style="2836" customWidth="1"/>
    <col min="11541" max="11776" width="8.88671875" style="2836"/>
    <col min="11777" max="11777" width="9.44140625" style="2836" customWidth="1"/>
    <col min="11778" max="11778" width="8.88671875" style="2836"/>
    <col min="11779" max="11781" width="12.88671875" style="2836" customWidth="1"/>
    <col min="11782" max="11782" width="47.44140625" style="2836" customWidth="1"/>
    <col min="11783" max="11783" width="13" style="2836" customWidth="1"/>
    <col min="11784" max="11785" width="8.88671875" style="2836"/>
    <col min="11786" max="11786" width="5.77734375" style="2836" customWidth="1"/>
    <col min="11787" max="11787" width="11.77734375" style="2836" customWidth="1"/>
    <col min="11788" max="11789" width="10.77734375" style="2836" customWidth="1"/>
    <col min="11790" max="11790" width="10" style="2836" customWidth="1"/>
    <col min="11791" max="11792" width="10.44140625" style="2836" bestFit="1" customWidth="1"/>
    <col min="11793" max="11793" width="10" style="2836" customWidth="1"/>
    <col min="11794" max="11794" width="10.109375" style="2836" customWidth="1"/>
    <col min="11795" max="11795" width="10" style="2836" customWidth="1"/>
    <col min="11796" max="11796" width="26.109375" style="2836" customWidth="1"/>
    <col min="11797" max="12032" width="8.88671875" style="2836"/>
    <col min="12033" max="12033" width="9.44140625" style="2836" customWidth="1"/>
    <col min="12034" max="12034" width="8.88671875" style="2836"/>
    <col min="12035" max="12037" width="12.88671875" style="2836" customWidth="1"/>
    <col min="12038" max="12038" width="47.44140625" style="2836" customWidth="1"/>
    <col min="12039" max="12039" width="13" style="2836" customWidth="1"/>
    <col min="12040" max="12041" width="8.88671875" style="2836"/>
    <col min="12042" max="12042" width="5.77734375" style="2836" customWidth="1"/>
    <col min="12043" max="12043" width="11.77734375" style="2836" customWidth="1"/>
    <col min="12044" max="12045" width="10.77734375" style="2836" customWidth="1"/>
    <col min="12046" max="12046" width="10" style="2836" customWidth="1"/>
    <col min="12047" max="12048" width="10.44140625" style="2836" bestFit="1" customWidth="1"/>
    <col min="12049" max="12049" width="10" style="2836" customWidth="1"/>
    <col min="12050" max="12050" width="10.109375" style="2836" customWidth="1"/>
    <col min="12051" max="12051" width="10" style="2836" customWidth="1"/>
    <col min="12052" max="12052" width="26.109375" style="2836" customWidth="1"/>
    <col min="12053" max="12288" width="8.88671875" style="2836"/>
    <col min="12289" max="12289" width="9.44140625" style="2836" customWidth="1"/>
    <col min="12290" max="12290" width="8.88671875" style="2836"/>
    <col min="12291" max="12293" width="12.88671875" style="2836" customWidth="1"/>
    <col min="12294" max="12294" width="47.44140625" style="2836" customWidth="1"/>
    <col min="12295" max="12295" width="13" style="2836" customWidth="1"/>
    <col min="12296" max="12297" width="8.88671875" style="2836"/>
    <col min="12298" max="12298" width="5.77734375" style="2836" customWidth="1"/>
    <col min="12299" max="12299" width="11.77734375" style="2836" customWidth="1"/>
    <col min="12300" max="12301" width="10.77734375" style="2836" customWidth="1"/>
    <col min="12302" max="12302" width="10" style="2836" customWidth="1"/>
    <col min="12303" max="12304" width="10.44140625" style="2836" bestFit="1" customWidth="1"/>
    <col min="12305" max="12305" width="10" style="2836" customWidth="1"/>
    <col min="12306" max="12306" width="10.109375" style="2836" customWidth="1"/>
    <col min="12307" max="12307" width="10" style="2836" customWidth="1"/>
    <col min="12308" max="12308" width="26.109375" style="2836" customWidth="1"/>
    <col min="12309" max="12544" width="8.88671875" style="2836"/>
    <col min="12545" max="12545" width="9.44140625" style="2836" customWidth="1"/>
    <col min="12546" max="12546" width="8.88671875" style="2836"/>
    <col min="12547" max="12549" width="12.88671875" style="2836" customWidth="1"/>
    <col min="12550" max="12550" width="47.44140625" style="2836" customWidth="1"/>
    <col min="12551" max="12551" width="13" style="2836" customWidth="1"/>
    <col min="12552" max="12553" width="8.88671875" style="2836"/>
    <col min="12554" max="12554" width="5.77734375" style="2836" customWidth="1"/>
    <col min="12555" max="12555" width="11.77734375" style="2836" customWidth="1"/>
    <col min="12556" max="12557" width="10.77734375" style="2836" customWidth="1"/>
    <col min="12558" max="12558" width="10" style="2836" customWidth="1"/>
    <col min="12559" max="12560" width="10.44140625" style="2836" bestFit="1" customWidth="1"/>
    <col min="12561" max="12561" width="10" style="2836" customWidth="1"/>
    <col min="12562" max="12562" width="10.109375" style="2836" customWidth="1"/>
    <col min="12563" max="12563" width="10" style="2836" customWidth="1"/>
    <col min="12564" max="12564" width="26.109375" style="2836" customWidth="1"/>
    <col min="12565" max="12800" width="8.88671875" style="2836"/>
    <col min="12801" max="12801" width="9.44140625" style="2836" customWidth="1"/>
    <col min="12802" max="12802" width="8.88671875" style="2836"/>
    <col min="12803" max="12805" width="12.88671875" style="2836" customWidth="1"/>
    <col min="12806" max="12806" width="47.44140625" style="2836" customWidth="1"/>
    <col min="12807" max="12807" width="13" style="2836" customWidth="1"/>
    <col min="12808" max="12809" width="8.88671875" style="2836"/>
    <col min="12810" max="12810" width="5.77734375" style="2836" customWidth="1"/>
    <col min="12811" max="12811" width="11.77734375" style="2836" customWidth="1"/>
    <col min="12812" max="12813" width="10.77734375" style="2836" customWidth="1"/>
    <col min="12814" max="12814" width="10" style="2836" customWidth="1"/>
    <col min="12815" max="12816" width="10.44140625" style="2836" bestFit="1" customWidth="1"/>
    <col min="12817" max="12817" width="10" style="2836" customWidth="1"/>
    <col min="12818" max="12818" width="10.109375" style="2836" customWidth="1"/>
    <col min="12819" max="12819" width="10" style="2836" customWidth="1"/>
    <col min="12820" max="12820" width="26.109375" style="2836" customWidth="1"/>
    <col min="12821" max="13056" width="8.88671875" style="2836"/>
    <col min="13057" max="13057" width="9.44140625" style="2836" customWidth="1"/>
    <col min="13058" max="13058" width="8.88671875" style="2836"/>
    <col min="13059" max="13061" width="12.88671875" style="2836" customWidth="1"/>
    <col min="13062" max="13062" width="47.44140625" style="2836" customWidth="1"/>
    <col min="13063" max="13063" width="13" style="2836" customWidth="1"/>
    <col min="13064" max="13065" width="8.88671875" style="2836"/>
    <col min="13066" max="13066" width="5.77734375" style="2836" customWidth="1"/>
    <col min="13067" max="13067" width="11.77734375" style="2836" customWidth="1"/>
    <col min="13068" max="13069" width="10.77734375" style="2836" customWidth="1"/>
    <col min="13070" max="13070" width="10" style="2836" customWidth="1"/>
    <col min="13071" max="13072" width="10.44140625" style="2836" bestFit="1" customWidth="1"/>
    <col min="13073" max="13073" width="10" style="2836" customWidth="1"/>
    <col min="13074" max="13074" width="10.109375" style="2836" customWidth="1"/>
    <col min="13075" max="13075" width="10" style="2836" customWidth="1"/>
    <col min="13076" max="13076" width="26.109375" style="2836" customWidth="1"/>
    <col min="13077" max="13312" width="8.88671875" style="2836"/>
    <col min="13313" max="13313" width="9.44140625" style="2836" customWidth="1"/>
    <col min="13314" max="13314" width="8.88671875" style="2836"/>
    <col min="13315" max="13317" width="12.88671875" style="2836" customWidth="1"/>
    <col min="13318" max="13318" width="47.44140625" style="2836" customWidth="1"/>
    <col min="13319" max="13319" width="13" style="2836" customWidth="1"/>
    <col min="13320" max="13321" width="8.88671875" style="2836"/>
    <col min="13322" max="13322" width="5.77734375" style="2836" customWidth="1"/>
    <col min="13323" max="13323" width="11.77734375" style="2836" customWidth="1"/>
    <col min="13324" max="13325" width="10.77734375" style="2836" customWidth="1"/>
    <col min="13326" max="13326" width="10" style="2836" customWidth="1"/>
    <col min="13327" max="13328" width="10.44140625" style="2836" bestFit="1" customWidth="1"/>
    <col min="13329" max="13329" width="10" style="2836" customWidth="1"/>
    <col min="13330" max="13330" width="10.109375" style="2836" customWidth="1"/>
    <col min="13331" max="13331" width="10" style="2836" customWidth="1"/>
    <col min="13332" max="13332" width="26.109375" style="2836" customWidth="1"/>
    <col min="13333" max="13568" width="8.88671875" style="2836"/>
    <col min="13569" max="13569" width="9.44140625" style="2836" customWidth="1"/>
    <col min="13570" max="13570" width="8.88671875" style="2836"/>
    <col min="13571" max="13573" width="12.88671875" style="2836" customWidth="1"/>
    <col min="13574" max="13574" width="47.44140625" style="2836" customWidth="1"/>
    <col min="13575" max="13575" width="13" style="2836" customWidth="1"/>
    <col min="13576" max="13577" width="8.88671875" style="2836"/>
    <col min="13578" max="13578" width="5.77734375" style="2836" customWidth="1"/>
    <col min="13579" max="13579" width="11.77734375" style="2836" customWidth="1"/>
    <col min="13580" max="13581" width="10.77734375" style="2836" customWidth="1"/>
    <col min="13582" max="13582" width="10" style="2836" customWidth="1"/>
    <col min="13583" max="13584" width="10.44140625" style="2836" bestFit="1" customWidth="1"/>
    <col min="13585" max="13585" width="10" style="2836" customWidth="1"/>
    <col min="13586" max="13586" width="10.109375" style="2836" customWidth="1"/>
    <col min="13587" max="13587" width="10" style="2836" customWidth="1"/>
    <col min="13588" max="13588" width="26.109375" style="2836" customWidth="1"/>
    <col min="13589" max="13824" width="8.88671875" style="2836"/>
    <col min="13825" max="13825" width="9.44140625" style="2836" customWidth="1"/>
    <col min="13826" max="13826" width="8.88671875" style="2836"/>
    <col min="13827" max="13829" width="12.88671875" style="2836" customWidth="1"/>
    <col min="13830" max="13830" width="47.44140625" style="2836" customWidth="1"/>
    <col min="13831" max="13831" width="13" style="2836" customWidth="1"/>
    <col min="13832" max="13833" width="8.88671875" style="2836"/>
    <col min="13834" max="13834" width="5.77734375" style="2836" customWidth="1"/>
    <col min="13835" max="13835" width="11.77734375" style="2836" customWidth="1"/>
    <col min="13836" max="13837" width="10.77734375" style="2836" customWidth="1"/>
    <col min="13838" max="13838" width="10" style="2836" customWidth="1"/>
    <col min="13839" max="13840" width="10.44140625" style="2836" bestFit="1" customWidth="1"/>
    <col min="13841" max="13841" width="10" style="2836" customWidth="1"/>
    <col min="13842" max="13842" width="10.109375" style="2836" customWidth="1"/>
    <col min="13843" max="13843" width="10" style="2836" customWidth="1"/>
    <col min="13844" max="13844" width="26.109375" style="2836" customWidth="1"/>
    <col min="13845" max="14080" width="8.88671875" style="2836"/>
    <col min="14081" max="14081" width="9.44140625" style="2836" customWidth="1"/>
    <col min="14082" max="14082" width="8.88671875" style="2836"/>
    <col min="14083" max="14085" width="12.88671875" style="2836" customWidth="1"/>
    <col min="14086" max="14086" width="47.44140625" style="2836" customWidth="1"/>
    <col min="14087" max="14087" width="13" style="2836" customWidth="1"/>
    <col min="14088" max="14089" width="8.88671875" style="2836"/>
    <col min="14090" max="14090" width="5.77734375" style="2836" customWidth="1"/>
    <col min="14091" max="14091" width="11.77734375" style="2836" customWidth="1"/>
    <col min="14092" max="14093" width="10.77734375" style="2836" customWidth="1"/>
    <col min="14094" max="14094" width="10" style="2836" customWidth="1"/>
    <col min="14095" max="14096" width="10.44140625" style="2836" bestFit="1" customWidth="1"/>
    <col min="14097" max="14097" width="10" style="2836" customWidth="1"/>
    <col min="14098" max="14098" width="10.109375" style="2836" customWidth="1"/>
    <col min="14099" max="14099" width="10" style="2836" customWidth="1"/>
    <col min="14100" max="14100" width="26.109375" style="2836" customWidth="1"/>
    <col min="14101" max="14336" width="8.88671875" style="2836"/>
    <col min="14337" max="14337" width="9.44140625" style="2836" customWidth="1"/>
    <col min="14338" max="14338" width="8.88671875" style="2836"/>
    <col min="14339" max="14341" width="12.88671875" style="2836" customWidth="1"/>
    <col min="14342" max="14342" width="47.44140625" style="2836" customWidth="1"/>
    <col min="14343" max="14343" width="13" style="2836" customWidth="1"/>
    <col min="14344" max="14345" width="8.88671875" style="2836"/>
    <col min="14346" max="14346" width="5.77734375" style="2836" customWidth="1"/>
    <col min="14347" max="14347" width="11.77734375" style="2836" customWidth="1"/>
    <col min="14348" max="14349" width="10.77734375" style="2836" customWidth="1"/>
    <col min="14350" max="14350" width="10" style="2836" customWidth="1"/>
    <col min="14351" max="14352" width="10.44140625" style="2836" bestFit="1" customWidth="1"/>
    <col min="14353" max="14353" width="10" style="2836" customWidth="1"/>
    <col min="14354" max="14354" width="10.109375" style="2836" customWidth="1"/>
    <col min="14355" max="14355" width="10" style="2836" customWidth="1"/>
    <col min="14356" max="14356" width="26.109375" style="2836" customWidth="1"/>
    <col min="14357" max="14592" width="8.88671875" style="2836"/>
    <col min="14593" max="14593" width="9.44140625" style="2836" customWidth="1"/>
    <col min="14594" max="14594" width="8.88671875" style="2836"/>
    <col min="14595" max="14597" width="12.88671875" style="2836" customWidth="1"/>
    <col min="14598" max="14598" width="47.44140625" style="2836" customWidth="1"/>
    <col min="14599" max="14599" width="13" style="2836" customWidth="1"/>
    <col min="14600" max="14601" width="8.88671875" style="2836"/>
    <col min="14602" max="14602" width="5.77734375" style="2836" customWidth="1"/>
    <col min="14603" max="14603" width="11.77734375" style="2836" customWidth="1"/>
    <col min="14604" max="14605" width="10.77734375" style="2836" customWidth="1"/>
    <col min="14606" max="14606" width="10" style="2836" customWidth="1"/>
    <col min="14607" max="14608" width="10.44140625" style="2836" bestFit="1" customWidth="1"/>
    <col min="14609" max="14609" width="10" style="2836" customWidth="1"/>
    <col min="14610" max="14610" width="10.109375" style="2836" customWidth="1"/>
    <col min="14611" max="14611" width="10" style="2836" customWidth="1"/>
    <col min="14612" max="14612" width="26.109375" style="2836" customWidth="1"/>
    <col min="14613" max="14848" width="8.88671875" style="2836"/>
    <col min="14849" max="14849" width="9.44140625" style="2836" customWidth="1"/>
    <col min="14850" max="14850" width="8.88671875" style="2836"/>
    <col min="14851" max="14853" width="12.88671875" style="2836" customWidth="1"/>
    <col min="14854" max="14854" width="47.44140625" style="2836" customWidth="1"/>
    <col min="14855" max="14855" width="13" style="2836" customWidth="1"/>
    <col min="14856" max="14857" width="8.88671875" style="2836"/>
    <col min="14858" max="14858" width="5.77734375" style="2836" customWidth="1"/>
    <col min="14859" max="14859" width="11.77734375" style="2836" customWidth="1"/>
    <col min="14860" max="14861" width="10.77734375" style="2836" customWidth="1"/>
    <col min="14862" max="14862" width="10" style="2836" customWidth="1"/>
    <col min="14863" max="14864" width="10.44140625" style="2836" bestFit="1" customWidth="1"/>
    <col min="14865" max="14865" width="10" style="2836" customWidth="1"/>
    <col min="14866" max="14866" width="10.109375" style="2836" customWidth="1"/>
    <col min="14867" max="14867" width="10" style="2836" customWidth="1"/>
    <col min="14868" max="14868" width="26.109375" style="2836" customWidth="1"/>
    <col min="14869" max="15104" width="8.88671875" style="2836"/>
    <col min="15105" max="15105" width="9.44140625" style="2836" customWidth="1"/>
    <col min="15106" max="15106" width="8.88671875" style="2836"/>
    <col min="15107" max="15109" width="12.88671875" style="2836" customWidth="1"/>
    <col min="15110" max="15110" width="47.44140625" style="2836" customWidth="1"/>
    <col min="15111" max="15111" width="13" style="2836" customWidth="1"/>
    <col min="15112" max="15113" width="8.88671875" style="2836"/>
    <col min="15114" max="15114" width="5.77734375" style="2836" customWidth="1"/>
    <col min="15115" max="15115" width="11.77734375" style="2836" customWidth="1"/>
    <col min="15116" max="15117" width="10.77734375" style="2836" customWidth="1"/>
    <col min="15118" max="15118" width="10" style="2836" customWidth="1"/>
    <col min="15119" max="15120" width="10.44140625" style="2836" bestFit="1" customWidth="1"/>
    <col min="15121" max="15121" width="10" style="2836" customWidth="1"/>
    <col min="15122" max="15122" width="10.109375" style="2836" customWidth="1"/>
    <col min="15123" max="15123" width="10" style="2836" customWidth="1"/>
    <col min="15124" max="15124" width="26.109375" style="2836" customWidth="1"/>
    <col min="15125" max="15360" width="8.88671875" style="2836"/>
    <col min="15361" max="15361" width="9.44140625" style="2836" customWidth="1"/>
    <col min="15362" max="15362" width="8.88671875" style="2836"/>
    <col min="15363" max="15365" width="12.88671875" style="2836" customWidth="1"/>
    <col min="15366" max="15366" width="47.44140625" style="2836" customWidth="1"/>
    <col min="15367" max="15367" width="13" style="2836" customWidth="1"/>
    <col min="15368" max="15369" width="8.88671875" style="2836"/>
    <col min="15370" max="15370" width="5.77734375" style="2836" customWidth="1"/>
    <col min="15371" max="15371" width="11.77734375" style="2836" customWidth="1"/>
    <col min="15372" max="15373" width="10.77734375" style="2836" customWidth="1"/>
    <col min="15374" max="15374" width="10" style="2836" customWidth="1"/>
    <col min="15375" max="15376" width="10.44140625" style="2836" bestFit="1" customWidth="1"/>
    <col min="15377" max="15377" width="10" style="2836" customWidth="1"/>
    <col min="15378" max="15378" width="10.109375" style="2836" customWidth="1"/>
    <col min="15379" max="15379" width="10" style="2836" customWidth="1"/>
    <col min="15380" max="15380" width="26.109375" style="2836" customWidth="1"/>
    <col min="15381" max="15616" width="8.88671875" style="2836"/>
    <col min="15617" max="15617" width="9.44140625" style="2836" customWidth="1"/>
    <col min="15618" max="15618" width="8.88671875" style="2836"/>
    <col min="15619" max="15621" width="12.88671875" style="2836" customWidth="1"/>
    <col min="15622" max="15622" width="47.44140625" style="2836" customWidth="1"/>
    <col min="15623" max="15623" width="13" style="2836" customWidth="1"/>
    <col min="15624" max="15625" width="8.88671875" style="2836"/>
    <col min="15626" max="15626" width="5.77734375" style="2836" customWidth="1"/>
    <col min="15627" max="15627" width="11.77734375" style="2836" customWidth="1"/>
    <col min="15628" max="15629" width="10.77734375" style="2836" customWidth="1"/>
    <col min="15630" max="15630" width="10" style="2836" customWidth="1"/>
    <col min="15631" max="15632" width="10.44140625" style="2836" bestFit="1" customWidth="1"/>
    <col min="15633" max="15633" width="10" style="2836" customWidth="1"/>
    <col min="15634" max="15634" width="10.109375" style="2836" customWidth="1"/>
    <col min="15635" max="15635" width="10" style="2836" customWidth="1"/>
    <col min="15636" max="15636" width="26.109375" style="2836" customWidth="1"/>
    <col min="15637" max="15872" width="8.88671875" style="2836"/>
    <col min="15873" max="15873" width="9.44140625" style="2836" customWidth="1"/>
    <col min="15874" max="15874" width="8.88671875" style="2836"/>
    <col min="15875" max="15877" width="12.88671875" style="2836" customWidth="1"/>
    <col min="15878" max="15878" width="47.44140625" style="2836" customWidth="1"/>
    <col min="15879" max="15879" width="13" style="2836" customWidth="1"/>
    <col min="15880" max="15881" width="8.88671875" style="2836"/>
    <col min="15882" max="15882" width="5.77734375" style="2836" customWidth="1"/>
    <col min="15883" max="15883" width="11.77734375" style="2836" customWidth="1"/>
    <col min="15884" max="15885" width="10.77734375" style="2836" customWidth="1"/>
    <col min="15886" max="15886" width="10" style="2836" customWidth="1"/>
    <col min="15887" max="15888" width="10.44140625" style="2836" bestFit="1" customWidth="1"/>
    <col min="15889" max="15889" width="10" style="2836" customWidth="1"/>
    <col min="15890" max="15890" width="10.109375" style="2836" customWidth="1"/>
    <col min="15891" max="15891" width="10" style="2836" customWidth="1"/>
    <col min="15892" max="15892" width="26.109375" style="2836" customWidth="1"/>
    <col min="15893" max="16128" width="8.88671875" style="2836"/>
    <col min="16129" max="16129" width="9.44140625" style="2836" customWidth="1"/>
    <col min="16130" max="16130" width="8.88671875" style="2836"/>
    <col min="16131" max="16133" width="12.88671875" style="2836" customWidth="1"/>
    <col min="16134" max="16134" width="47.44140625" style="2836" customWidth="1"/>
    <col min="16135" max="16135" width="13" style="2836" customWidth="1"/>
    <col min="16136" max="16137" width="8.88671875" style="2836"/>
    <col min="16138" max="16138" width="5.77734375" style="2836" customWidth="1"/>
    <col min="16139" max="16139" width="11.77734375" style="2836" customWidth="1"/>
    <col min="16140" max="16141" width="10.77734375" style="2836" customWidth="1"/>
    <col min="16142" max="16142" width="10" style="2836" customWidth="1"/>
    <col min="16143" max="16144" width="10.44140625" style="2836" bestFit="1" customWidth="1"/>
    <col min="16145" max="16145" width="10" style="2836" customWidth="1"/>
    <col min="16146" max="16146" width="10.109375" style="2836" customWidth="1"/>
    <col min="16147" max="16147" width="10" style="2836" customWidth="1"/>
    <col min="16148" max="16148" width="26.109375" style="2836" customWidth="1"/>
    <col min="16149" max="16384" width="8.88671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2" customHeight="1">
      <c r="A2" s="1381" t="s">
        <v>2319</v>
      </c>
      <c r="B2" s="2837" t="e">
        <f>IF(D2="——",C40,C40+E2)</f>
        <v>#DIV/0!</v>
      </c>
      <c r="C2" s="2838" t="s">
        <v>2320</v>
      </c>
      <c r="D2" s="3437" t="s">
        <v>3363</v>
      </c>
      <c r="E2" s="3438"/>
      <c r="F2" s="2840"/>
      <c r="G2" s="2841"/>
      <c r="H2" s="2842"/>
      <c r="I2" s="2843"/>
      <c r="J2" s="3719" t="s">
        <v>2321</v>
      </c>
      <c r="K2" s="3720"/>
      <c r="L2" s="2844" t="s">
        <v>2322</v>
      </c>
      <c r="M2" s="2844" t="s">
        <v>2323</v>
      </c>
      <c r="N2" s="2844" t="s">
        <v>2324</v>
      </c>
      <c r="O2" s="2844" t="s">
        <v>2325</v>
      </c>
      <c r="P2" s="2844" t="s">
        <v>2326</v>
      </c>
      <c r="Q2" s="2845" t="s">
        <v>2327</v>
      </c>
      <c r="R2" s="2846" t="s">
        <v>2328</v>
      </c>
      <c r="S2" s="2835"/>
      <c r="T2" s="2835"/>
      <c r="U2" s="2835"/>
      <c r="V2" s="2843"/>
    </row>
    <row r="3" spans="1:22" s="2847" customFormat="1" ht="13.2" customHeight="1">
      <c r="A3" s="2848" t="s">
        <v>2329</v>
      </c>
      <c r="B3" s="2849" t="e">
        <f>ROUND(B2*10000/B4,0)</f>
        <v>#DIV/0!</v>
      </c>
      <c r="C3" s="2838" t="s">
        <v>2330</v>
      </c>
      <c r="D3" s="2838"/>
      <c r="E3" s="2839"/>
      <c r="F3" s="2840"/>
      <c r="G3" s="2841"/>
      <c r="H3" s="2842"/>
      <c r="I3" s="2843"/>
      <c r="J3" s="3721" t="s">
        <v>2331</v>
      </c>
      <c r="K3" s="3722"/>
      <c r="L3" s="2850"/>
      <c r="M3" s="2850"/>
      <c r="N3" s="2850"/>
      <c r="O3" s="2850"/>
      <c r="P3" s="2850"/>
      <c r="Q3" s="2851"/>
      <c r="R3" s="2852">
        <f>SUM(L3:Q3)</f>
        <v>0</v>
      </c>
      <c r="S3" s="2835"/>
      <c r="T3" s="2835"/>
      <c r="U3" s="2835"/>
      <c r="V3" s="2843"/>
    </row>
    <row r="4" spans="1:22" s="2847" customFormat="1" ht="13.2" customHeight="1">
      <c r="A4" s="2853" t="s">
        <v>2332</v>
      </c>
      <c r="B4" s="2854"/>
      <c r="C4" s="2838"/>
      <c r="D4" s="2838"/>
      <c r="E4" s="2839"/>
      <c r="F4" s="2840"/>
      <c r="G4" s="2841"/>
      <c r="H4" s="2842"/>
      <c r="I4" s="2843"/>
      <c r="J4" s="3721" t="s">
        <v>2333</v>
      </c>
      <c r="K4" s="3722"/>
      <c r="L4" s="2855"/>
      <c r="M4" s="2855"/>
      <c r="N4" s="2855"/>
      <c r="O4" s="2855"/>
      <c r="P4" s="2855"/>
      <c r="Q4" s="2856"/>
      <c r="R4" s="2857">
        <f>SUM(L4:Q4)</f>
        <v>0</v>
      </c>
      <c r="S4" s="2835"/>
      <c r="T4" s="2835"/>
      <c r="U4" s="2835"/>
      <c r="V4" s="2843"/>
    </row>
    <row r="5" spans="1:22" s="2847" customFormat="1" ht="13.2"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2" customHeight="1" thickBot="1">
      <c r="A6" s="3723" t="s">
        <v>2337</v>
      </c>
      <c r="B6" s="3724"/>
      <c r="C6" s="3725"/>
      <c r="D6" s="2864"/>
      <c r="E6" s="2865"/>
      <c r="F6" s="2866"/>
      <c r="G6" s="2867"/>
      <c r="H6" s="2842"/>
      <c r="I6" s="2843"/>
      <c r="J6" s="3726">
        <v>1</v>
      </c>
      <c r="K6" s="3727"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2" customHeight="1">
      <c r="A7" s="2870" t="s">
        <v>2347</v>
      </c>
      <c r="B7" s="2871"/>
      <c r="C7" s="2872"/>
      <c r="D7" s="2873">
        <f>SUM(D9,D10,D11,D17,0)</f>
        <v>0</v>
      </c>
      <c r="E7" s="2874" t="e">
        <f>E9+E10+E11+E17</f>
        <v>#DIV/0!</v>
      </c>
      <c r="F7" s="2875"/>
      <c r="G7" s="2876"/>
      <c r="H7" s="2842"/>
      <c r="I7" s="2843"/>
      <c r="J7" s="3726"/>
      <c r="K7" s="3728"/>
      <c r="L7" s="2877" t="s">
        <v>2348</v>
      </c>
      <c r="M7" s="2878"/>
      <c r="N7" s="2854"/>
      <c r="O7" s="2879"/>
      <c r="P7" s="2879"/>
      <c r="Q7" s="2880">
        <v>365</v>
      </c>
      <c r="R7" s="2881">
        <f>ROUND(M7*N7*O7*P7*Q7/10000,0)</f>
        <v>0</v>
      </c>
      <c r="S7" s="2835"/>
      <c r="T7" s="2835" t="s">
        <v>2349</v>
      </c>
      <c r="U7" s="2835"/>
      <c r="V7" s="2843"/>
    </row>
    <row r="8" spans="1:22" s="2847" customFormat="1" ht="13.2" customHeight="1">
      <c r="A8" s="2882" t="s">
        <v>2350</v>
      </c>
      <c r="B8" s="3730" t="s">
        <v>2351</v>
      </c>
      <c r="C8" s="3731"/>
      <c r="D8" s="2883" t="s">
        <v>2352</v>
      </c>
      <c r="E8" s="2884" t="s">
        <v>2353</v>
      </c>
      <c r="F8" s="2885" t="s">
        <v>2354</v>
      </c>
      <c r="G8" s="2886"/>
      <c r="H8" s="2842"/>
      <c r="I8" s="2843"/>
      <c r="J8" s="3726"/>
      <c r="K8" s="3728"/>
      <c r="L8" s="2877" t="s">
        <v>2355</v>
      </c>
      <c r="M8" s="2878"/>
      <c r="N8" s="2854"/>
      <c r="O8" s="2879"/>
      <c r="P8" s="2879"/>
      <c r="Q8" s="2880">
        <v>365</v>
      </c>
      <c r="R8" s="2881">
        <f t="shared" ref="R8:R13" si="0">ROUND(M8*N8*O8*P8*Q8/10000,0)</f>
        <v>0</v>
      </c>
      <c r="S8" s="2835"/>
      <c r="T8" s="2835" t="s">
        <v>2356</v>
      </c>
      <c r="U8" s="2835"/>
      <c r="V8" s="2843"/>
    </row>
    <row r="9" spans="1:22" s="2847" customFormat="1" ht="13.2" customHeight="1">
      <c r="A9" s="2882">
        <v>1</v>
      </c>
      <c r="B9" s="3730" t="s">
        <v>2357</v>
      </c>
      <c r="C9" s="3731"/>
      <c r="D9" s="2883">
        <f>ROUND(D6*E9,0)</f>
        <v>0</v>
      </c>
      <c r="E9" s="2887"/>
      <c r="F9" s="2888" t="s">
        <v>2358</v>
      </c>
      <c r="G9" s="2867"/>
      <c r="H9" s="2842"/>
      <c r="I9" s="2843"/>
      <c r="J9" s="3726"/>
      <c r="K9" s="3728"/>
      <c r="L9" s="2877" t="s">
        <v>2359</v>
      </c>
      <c r="M9" s="2878"/>
      <c r="N9" s="2854"/>
      <c r="O9" s="2879"/>
      <c r="P9" s="2879"/>
      <c r="Q9" s="2880">
        <v>365</v>
      </c>
      <c r="R9" s="2881">
        <f t="shared" si="0"/>
        <v>0</v>
      </c>
      <c r="S9" s="2835"/>
      <c r="T9" s="2835"/>
      <c r="U9" s="2835"/>
      <c r="V9" s="2843"/>
    </row>
    <row r="10" spans="1:22" s="2847" customFormat="1" ht="13.2" customHeight="1">
      <c r="A10" s="2882">
        <v>2</v>
      </c>
      <c r="B10" s="3730" t="s">
        <v>2360</v>
      </c>
      <c r="C10" s="3731"/>
      <c r="D10" s="2883">
        <f>ROUND(D6*E10,0)</f>
        <v>0</v>
      </c>
      <c r="E10" s="2887"/>
      <c r="F10" s="2888" t="s">
        <v>2361</v>
      </c>
      <c r="G10" s="2867"/>
      <c r="H10" s="2842"/>
      <c r="I10" s="2843"/>
      <c r="J10" s="3726"/>
      <c r="K10" s="3728"/>
      <c r="L10" s="2877" t="s">
        <v>2362</v>
      </c>
      <c r="M10" s="2878"/>
      <c r="N10" s="2854"/>
      <c r="O10" s="2879"/>
      <c r="P10" s="2879"/>
      <c r="Q10" s="2880">
        <v>365</v>
      </c>
      <c r="R10" s="2881">
        <f t="shared" si="0"/>
        <v>0</v>
      </c>
      <c r="S10" s="2835"/>
      <c r="T10" s="2835"/>
      <c r="U10" s="2835"/>
      <c r="V10" s="2843"/>
    </row>
    <row r="11" spans="1:22" s="2847" customFormat="1" ht="13.2" customHeight="1">
      <c r="A11" s="2882">
        <v>3</v>
      </c>
      <c r="B11" s="3730" t="s">
        <v>2363</v>
      </c>
      <c r="C11" s="3731"/>
      <c r="D11" s="2883">
        <f>D12+D14+D15+D16</f>
        <v>0</v>
      </c>
      <c r="E11" s="2889" t="e">
        <f>D11/D6</f>
        <v>#DIV/0!</v>
      </c>
      <c r="F11" s="2885"/>
      <c r="G11" s="2886"/>
      <c r="H11" s="2842"/>
      <c r="I11" s="2843"/>
      <c r="J11" s="3726"/>
      <c r="K11" s="3728"/>
      <c r="L11" s="2877" t="s">
        <v>2364</v>
      </c>
      <c r="M11" s="2878"/>
      <c r="N11" s="2854"/>
      <c r="O11" s="2879"/>
      <c r="P11" s="2879"/>
      <c r="Q11" s="2880">
        <v>365</v>
      </c>
      <c r="R11" s="2881">
        <f t="shared" si="0"/>
        <v>0</v>
      </c>
      <c r="S11" s="2835"/>
      <c r="T11" s="2835"/>
      <c r="U11" s="2835"/>
      <c r="V11" s="2843"/>
    </row>
    <row r="12" spans="1:22" s="2847" customFormat="1" ht="13.2" customHeight="1">
      <c r="A12" s="2890" t="s">
        <v>2365</v>
      </c>
      <c r="B12" s="3732" t="s">
        <v>2366</v>
      </c>
      <c r="C12" s="3733"/>
      <c r="D12" s="2891">
        <f>ROUND(D13*1.2%*(1-30%),0)</f>
        <v>0</v>
      </c>
      <c r="E12" s="2892">
        <v>1.2E-2</v>
      </c>
      <c r="F12" s="2885" t="s">
        <v>2367</v>
      </c>
      <c r="G12" s="2886"/>
      <c r="H12" s="2842"/>
      <c r="I12" s="2843"/>
      <c r="J12" s="3726"/>
      <c r="K12" s="3728"/>
      <c r="L12" s="2877" t="s">
        <v>2368</v>
      </c>
      <c r="M12" s="2878"/>
      <c r="N12" s="2854"/>
      <c r="O12" s="2879"/>
      <c r="P12" s="2879"/>
      <c r="Q12" s="2880">
        <v>365</v>
      </c>
      <c r="R12" s="2881">
        <f t="shared" si="0"/>
        <v>0</v>
      </c>
      <c r="S12" s="2835"/>
      <c r="T12" s="2835"/>
      <c r="U12" s="2835"/>
      <c r="V12" s="2843"/>
    </row>
    <row r="13" spans="1:22" s="2847" customFormat="1" ht="13.2" customHeight="1">
      <c r="A13" s="2890"/>
      <c r="B13" s="2893"/>
      <c r="C13" s="2894" t="s">
        <v>2369</v>
      </c>
      <c r="D13" s="2895"/>
      <c r="E13" s="2896"/>
      <c r="F13" s="2885"/>
      <c r="G13" s="2886"/>
      <c r="H13" s="2842"/>
      <c r="I13" s="2843"/>
      <c r="J13" s="3726"/>
      <c r="K13" s="3728"/>
      <c r="L13" s="2877" t="s">
        <v>2370</v>
      </c>
      <c r="M13" s="2878"/>
      <c r="N13" s="2854"/>
      <c r="O13" s="2879"/>
      <c r="P13" s="2879"/>
      <c r="Q13" s="2880">
        <v>365</v>
      </c>
      <c r="R13" s="2881">
        <f t="shared" si="0"/>
        <v>0</v>
      </c>
      <c r="S13" s="2835"/>
      <c r="T13" s="2835"/>
      <c r="U13" s="2835"/>
      <c r="V13" s="2843"/>
    </row>
    <row r="14" spans="1:22" s="2847" customFormat="1" ht="13.2" customHeight="1">
      <c r="A14" s="2890" t="s">
        <v>2371</v>
      </c>
      <c r="B14" s="3732" t="s">
        <v>2372</v>
      </c>
      <c r="C14" s="3733"/>
      <c r="D14" s="2891">
        <f>ROUND(E14*B5/10000,0)</f>
        <v>0</v>
      </c>
      <c r="E14" s="2880"/>
      <c r="F14" s="2885" t="s">
        <v>2373</v>
      </c>
      <c r="G14" s="2886"/>
      <c r="H14" s="2842"/>
      <c r="I14" s="2843"/>
      <c r="J14" s="3726"/>
      <c r="K14" s="3729"/>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2" customHeight="1">
      <c r="A15" s="2890" t="s">
        <v>2375</v>
      </c>
      <c r="B15" s="3732" t="s">
        <v>2376</v>
      </c>
      <c r="C15" s="3733"/>
      <c r="D15" s="2891">
        <f>ROUND(D6*E15,0)</f>
        <v>0</v>
      </c>
      <c r="E15" s="2892">
        <v>5.5E-2</v>
      </c>
      <c r="F15" s="2885" t="s">
        <v>2377</v>
      </c>
      <c r="G15" s="2867"/>
      <c r="H15" s="2842"/>
      <c r="I15" s="2843"/>
      <c r="J15" s="3726">
        <v>2</v>
      </c>
      <c r="K15" s="3727"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2" customHeight="1">
      <c r="A16" s="2890" t="s">
        <v>2384</v>
      </c>
      <c r="B16" s="3732" t="s">
        <v>2385</v>
      </c>
      <c r="C16" s="3733"/>
      <c r="D16" s="2902">
        <f>D6*E16</f>
        <v>0</v>
      </c>
      <c r="E16" s="2903"/>
      <c r="F16" s="2888" t="s">
        <v>2386</v>
      </c>
      <c r="G16" s="2867"/>
      <c r="H16" s="2842"/>
      <c r="I16" s="2843"/>
      <c r="J16" s="3726"/>
      <c r="K16" s="3728"/>
      <c r="L16" s="2877" t="s">
        <v>2387</v>
      </c>
      <c r="M16" s="2878"/>
      <c r="N16" s="2878"/>
      <c r="O16" s="2879"/>
      <c r="P16" s="2880">
        <v>365</v>
      </c>
      <c r="Q16" s="2854"/>
      <c r="R16" s="2901">
        <f>ROUND(M16*N16*O16*P16/10000,0)</f>
        <v>0</v>
      </c>
      <c r="S16" s="2835"/>
      <c r="T16" s="2835"/>
      <c r="U16" s="2835"/>
      <c r="V16" s="2843"/>
    </row>
    <row r="17" spans="1:22" s="2847" customFormat="1" ht="13.2" customHeight="1" thickBot="1">
      <c r="A17" s="2904">
        <v>4</v>
      </c>
      <c r="B17" s="3734" t="s">
        <v>2388</v>
      </c>
      <c r="C17" s="3735"/>
      <c r="D17" s="2905">
        <f>ROUND(D6*E17,0)</f>
        <v>0</v>
      </c>
      <c r="E17" s="2906"/>
      <c r="F17" s="2907" t="s">
        <v>2389</v>
      </c>
      <c r="G17" s="2867"/>
      <c r="H17" s="2842"/>
      <c r="I17" s="2843"/>
      <c r="J17" s="3726"/>
      <c r="K17" s="3728"/>
      <c r="L17" s="2877" t="s">
        <v>2390</v>
      </c>
      <c r="M17" s="2878"/>
      <c r="N17" s="2878"/>
      <c r="O17" s="2879"/>
      <c r="P17" s="2880">
        <v>365</v>
      </c>
      <c r="Q17" s="2854"/>
      <c r="R17" s="2901">
        <f>ROUND(M17*N17*O17*P17/10000,0)</f>
        <v>0</v>
      </c>
      <c r="S17" s="2835"/>
      <c r="T17" s="2835"/>
      <c r="U17" s="2835"/>
      <c r="V17" s="2843"/>
    </row>
    <row r="18" spans="1:22" s="2847" customFormat="1" ht="13.2" customHeight="1" thickBot="1">
      <c r="A18" s="2870" t="s">
        <v>2391</v>
      </c>
      <c r="B18" s="2871"/>
      <c r="C18" s="2871"/>
      <c r="D18" s="2908">
        <f>ROUND(D6*E18,0)</f>
        <v>0</v>
      </c>
      <c r="E18" s="2909"/>
      <c r="F18" s="2910" t="s">
        <v>2392</v>
      </c>
      <c r="G18" s="2867"/>
      <c r="H18" s="2842"/>
      <c r="I18" s="2843"/>
      <c r="J18" s="3726"/>
      <c r="K18" s="3728"/>
      <c r="L18" s="2877" t="s">
        <v>2393</v>
      </c>
      <c r="M18" s="2878"/>
      <c r="N18" s="2878"/>
      <c r="O18" s="2879"/>
      <c r="P18" s="2880">
        <v>365</v>
      </c>
      <c r="Q18" s="2854"/>
      <c r="R18" s="2901">
        <f>ROUND(M18*N18*O18*P18/10000,0)</f>
        <v>0</v>
      </c>
      <c r="S18" s="2835"/>
      <c r="T18" s="2835"/>
      <c r="U18" s="2835"/>
      <c r="V18" s="2843"/>
    </row>
    <row r="19" spans="1:22" s="2847" customFormat="1" ht="13.2" customHeight="1" thickBot="1">
      <c r="A19" s="2911" t="s">
        <v>2394</v>
      </c>
      <c r="B19" s="2865"/>
      <c r="C19" s="2865"/>
      <c r="D19" s="2865"/>
      <c r="E19" s="2865"/>
      <c r="F19" s="2866"/>
      <c r="G19" s="2886"/>
      <c r="H19" s="2842"/>
      <c r="I19" s="2843"/>
      <c r="J19" s="3726"/>
      <c r="K19" s="3729"/>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2" customHeight="1">
      <c r="A20" s="2870"/>
      <c r="B20" s="2871"/>
      <c r="C20" s="2871"/>
      <c r="D20" s="2871"/>
      <c r="E20" s="2871"/>
      <c r="F20" s="2914"/>
      <c r="G20" s="2886"/>
      <c r="H20" s="2842"/>
      <c r="I20" s="2843"/>
      <c r="J20" s="3726">
        <v>3</v>
      </c>
      <c r="K20" s="3727"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2" customHeight="1">
      <c r="A21" s="2870"/>
      <c r="B21" s="2871"/>
      <c r="C21" s="2917" t="s">
        <v>2403</v>
      </c>
      <c r="D21" s="2918" t="s">
        <v>2404</v>
      </c>
      <c r="E21" s="2919" t="s">
        <v>2405</v>
      </c>
      <c r="F21" s="2914"/>
      <c r="G21" s="2886"/>
      <c r="H21" s="2842"/>
      <c r="I21" s="2843"/>
      <c r="J21" s="3726"/>
      <c r="K21" s="3728"/>
      <c r="L21" s="2877" t="s">
        <v>2406</v>
      </c>
      <c r="M21" s="2878"/>
      <c r="N21" s="2878"/>
      <c r="O21" s="2879"/>
      <c r="P21" s="2880">
        <v>365</v>
      </c>
      <c r="Q21" s="2854"/>
      <c r="R21" s="2920">
        <f>ROUND(M21*N21*O21*P21/10000,0)</f>
        <v>0</v>
      </c>
      <c r="S21" s="2916"/>
      <c r="T21" s="2916"/>
      <c r="U21" s="2916"/>
      <c r="V21" s="2843"/>
    </row>
    <row r="22" spans="1:22" s="2847" customFormat="1" ht="13.2" customHeight="1">
      <c r="A22" s="2870"/>
      <c r="B22" s="2871"/>
      <c r="C22" s="2921" t="s">
        <v>2407</v>
      </c>
      <c r="D22" s="2922" t="s">
        <v>2408</v>
      </c>
      <c r="E22" s="2923" t="s">
        <v>2409</v>
      </c>
      <c r="F22" s="2914"/>
      <c r="G22" s="2924"/>
      <c r="H22" s="2842"/>
      <c r="I22" s="2843"/>
      <c r="J22" s="3726"/>
      <c r="K22" s="3728"/>
      <c r="L22" s="2877" t="s">
        <v>2410</v>
      </c>
      <c r="M22" s="2878"/>
      <c r="N22" s="2878"/>
      <c r="O22" s="2879"/>
      <c r="P22" s="2880">
        <v>365</v>
      </c>
      <c r="Q22" s="2854"/>
      <c r="R22" s="2920">
        <f>ROUND(M22*N22*O22*P22/10000,0)</f>
        <v>0</v>
      </c>
      <c r="S22" s="2916"/>
      <c r="T22" s="2916"/>
      <c r="U22" s="2916"/>
      <c r="V22" s="2843"/>
    </row>
    <row r="23" spans="1:22" s="2847" customFormat="1" ht="13.2" customHeight="1">
      <c r="A23" s="2925">
        <v>1</v>
      </c>
      <c r="B23" s="2926" t="s">
        <v>2411</v>
      </c>
      <c r="C23" s="2927">
        <f>D6</f>
        <v>0</v>
      </c>
      <c r="D23" s="2928">
        <f>C23*(1+D24)</f>
        <v>0</v>
      </c>
      <c r="E23" s="2929">
        <f>D23*(1+E24)</f>
        <v>0</v>
      </c>
      <c r="F23" s="2930"/>
      <c r="G23" s="2931"/>
      <c r="H23" s="2842"/>
      <c r="I23" s="2843"/>
      <c r="J23" s="3726"/>
      <c r="K23" s="3728"/>
      <c r="L23" s="2877" t="s">
        <v>2412</v>
      </c>
      <c r="M23" s="2878"/>
      <c r="N23" s="2878"/>
      <c r="O23" s="2879"/>
      <c r="P23" s="2880">
        <v>365</v>
      </c>
      <c r="Q23" s="2854"/>
      <c r="R23" s="2920">
        <f>ROUND(M23*N23*O23*P23/10000,0)</f>
        <v>0</v>
      </c>
      <c r="S23" s="2835"/>
      <c r="T23" s="2835"/>
      <c r="U23" s="2835"/>
      <c r="V23" s="2843"/>
    </row>
    <row r="24" spans="1:22" s="2847" customFormat="1" ht="13.2" customHeight="1">
      <c r="A24" s="2932"/>
      <c r="B24" s="2933" t="s">
        <v>2413</v>
      </c>
      <c r="C24" s="2934"/>
      <c r="D24" s="2935"/>
      <c r="E24" s="2936"/>
      <c r="F24" s="2937"/>
      <c r="G24" s="2931"/>
      <c r="H24" s="2842"/>
      <c r="I24" s="2843"/>
      <c r="J24" s="3726"/>
      <c r="K24" s="3729"/>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2"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2" customHeight="1">
      <c r="A26" s="2925">
        <v>2</v>
      </c>
      <c r="B26" s="2926" t="s">
        <v>2415</v>
      </c>
      <c r="C26" s="2927">
        <f>D7</f>
        <v>0</v>
      </c>
      <c r="D26" s="2928">
        <f>D23*D27</f>
        <v>0</v>
      </c>
      <c r="E26" s="2929">
        <f>E23*E27</f>
        <v>0</v>
      </c>
      <c r="F26" s="2930"/>
      <c r="G26" s="2931"/>
      <c r="H26" s="2842"/>
      <c r="I26" s="2843"/>
      <c r="J26" s="3736">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2" customHeight="1">
      <c r="A27" s="2932"/>
      <c r="B27" s="2933" t="s">
        <v>2421</v>
      </c>
      <c r="C27" s="2951" t="e">
        <f>E7</f>
        <v>#DIV/0!</v>
      </c>
      <c r="D27" s="2935"/>
      <c r="E27" s="2936"/>
      <c r="F27" s="2937"/>
      <c r="G27" s="2931"/>
      <c r="H27" s="2952"/>
      <c r="I27" s="2943"/>
      <c r="J27" s="3737"/>
      <c r="K27" s="2953"/>
      <c r="L27" s="2954"/>
      <c r="M27" s="2955"/>
      <c r="N27" s="2956"/>
      <c r="O27" s="2956"/>
      <c r="P27" s="2956"/>
      <c r="Q27" s="2957"/>
      <c r="R27" s="2913">
        <f>ROUND(O27*N27*P27*(1-Q27)/10000,0)</f>
        <v>0</v>
      </c>
      <c r="S27" s="2835"/>
      <c r="T27" s="2835"/>
      <c r="U27" s="2835"/>
      <c r="V27" s="2843"/>
    </row>
    <row r="28" spans="1:22" s="2944" customFormat="1" ht="13.2"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2"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2"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2"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2" customHeight="1">
      <c r="A32" s="2925">
        <v>4</v>
      </c>
      <c r="B32" s="2926" t="s">
        <v>2429</v>
      </c>
      <c r="C32" s="2927">
        <f>C23-C26-C29</f>
        <v>0</v>
      </c>
      <c r="D32" s="2928">
        <f>D23-D26-D29</f>
        <v>0</v>
      </c>
      <c r="E32" s="2929">
        <f>E23-E26-E29</f>
        <v>0</v>
      </c>
      <c r="F32" s="2930"/>
      <c r="G32" s="2924"/>
      <c r="H32" s="2842"/>
      <c r="I32" s="2843"/>
      <c r="J32" s="3719" t="s">
        <v>2321</v>
      </c>
      <c r="K32" s="3720"/>
      <c r="L32" s="2844" t="s">
        <v>2322</v>
      </c>
      <c r="M32" s="2844" t="s">
        <v>2323</v>
      </c>
      <c r="N32" s="2844" t="s">
        <v>2324</v>
      </c>
      <c r="O32" s="2844" t="s">
        <v>2325</v>
      </c>
      <c r="P32" s="2844" t="s">
        <v>2326</v>
      </c>
      <c r="Q32" s="2845" t="s">
        <v>2327</v>
      </c>
      <c r="R32" s="2967" t="s">
        <v>2328</v>
      </c>
      <c r="S32" s="2916"/>
      <c r="T32" s="2835"/>
      <c r="U32" s="2835"/>
      <c r="V32" s="2943"/>
    </row>
    <row r="33" spans="1:23" s="2847" customFormat="1" ht="13.2" customHeight="1">
      <c r="A33" s="2925"/>
      <c r="B33" s="2926"/>
      <c r="C33" s="2927"/>
      <c r="D33" s="2968"/>
      <c r="E33" s="2969"/>
      <c r="F33" s="2930"/>
      <c r="G33" s="2924"/>
      <c r="H33" s="2952"/>
      <c r="I33" s="2943"/>
      <c r="J33" s="3721" t="s">
        <v>2331</v>
      </c>
      <c r="K33" s="3722"/>
      <c r="L33" s="2850"/>
      <c r="M33" s="2850"/>
      <c r="N33" s="2850"/>
      <c r="O33" s="2850"/>
      <c r="P33" s="2850"/>
      <c r="Q33" s="2851"/>
      <c r="R33" s="2970">
        <f>SUM(L33:Q33)</f>
        <v>0</v>
      </c>
      <c r="S33" s="2916"/>
      <c r="T33" s="2835"/>
      <c r="U33" s="2835"/>
      <c r="V33" s="2843"/>
    </row>
    <row r="34" spans="1:23" s="2847" customFormat="1" ht="13.2" customHeight="1">
      <c r="A34" s="2925">
        <v>5</v>
      </c>
      <c r="B34" s="2926" t="s">
        <v>2430</v>
      </c>
      <c r="C34" s="2971"/>
      <c r="D34" s="2972"/>
      <c r="E34" s="2973"/>
      <c r="F34" s="2930"/>
      <c r="G34" s="2924"/>
      <c r="H34" s="2952"/>
      <c r="I34" s="2943"/>
      <c r="J34" s="3721" t="s">
        <v>2333</v>
      </c>
      <c r="K34" s="3722"/>
      <c r="L34" s="2855"/>
      <c r="M34" s="2855"/>
      <c r="N34" s="2855"/>
      <c r="O34" s="2855"/>
      <c r="P34" s="2855"/>
      <c r="Q34" s="2856"/>
      <c r="R34" s="2974">
        <f>SUM(L34:Q34)</f>
        <v>0</v>
      </c>
      <c r="S34" s="2916"/>
      <c r="T34" s="2835"/>
      <c r="U34" s="2835" t="e">
        <f>ROUND(R35*10000/365/R33,1)</f>
        <v>#DIV/0!</v>
      </c>
      <c r="V34" s="2843"/>
    </row>
    <row r="35" spans="1:23" s="2847" customFormat="1" ht="13.2"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2" customHeight="1" thickBot="1">
      <c r="A36" s="2925">
        <v>7</v>
      </c>
      <c r="B36" s="2980" t="s">
        <v>2432</v>
      </c>
      <c r="C36" s="2981"/>
      <c r="D36" s="2982"/>
      <c r="E36" s="2983"/>
      <c r="F36" s="2984">
        <f>C36+D36+E36</f>
        <v>0</v>
      </c>
      <c r="G36" s="2924"/>
      <c r="H36" s="2842"/>
      <c r="I36" s="2843"/>
      <c r="J36" s="3726">
        <v>1</v>
      </c>
      <c r="K36" s="3727" t="s">
        <v>2433</v>
      </c>
      <c r="L36" s="2868"/>
      <c r="M36" s="2869"/>
      <c r="N36" s="2869"/>
      <c r="O36" s="2869"/>
      <c r="P36" s="2869"/>
      <c r="Q36" s="2869"/>
      <c r="R36" s="2852" t="s">
        <v>2345</v>
      </c>
      <c r="S36" s="2916"/>
      <c r="T36" s="2835" t="s">
        <v>2346</v>
      </c>
      <c r="U36" s="2835"/>
      <c r="V36" s="2843"/>
    </row>
    <row r="37" spans="1:23" s="2847" customFormat="1" ht="13.2" customHeight="1">
      <c r="A37" s="2925"/>
      <c r="B37" s="2926"/>
      <c r="C37" s="2926"/>
      <c r="D37" s="2926"/>
      <c r="E37" s="2926"/>
      <c r="F37" s="2930"/>
      <c r="G37" s="2924"/>
      <c r="H37" s="2842"/>
      <c r="I37" s="2843"/>
      <c r="J37" s="3726"/>
      <c r="K37" s="3728"/>
      <c r="L37" s="2877"/>
      <c r="M37" s="2878"/>
      <c r="N37" s="2854"/>
      <c r="O37" s="2879"/>
      <c r="P37" s="2879"/>
      <c r="Q37" s="2880"/>
      <c r="R37" s="2881"/>
      <c r="S37" s="2916"/>
      <c r="T37" s="2835" t="s">
        <v>2349</v>
      </c>
      <c r="U37" s="2835"/>
      <c r="V37" s="2843"/>
    </row>
    <row r="38" spans="1:23" s="2847" customFormat="1" ht="13.2" customHeight="1">
      <c r="A38" s="2925">
        <v>8</v>
      </c>
      <c r="B38" s="2926"/>
      <c r="C38" s="2883" t="e">
        <f>ROUND(C32*(1-((1+C35)/(1+C34))^C36)/(C34-C35),0)</f>
        <v>#DIV/0!</v>
      </c>
      <c r="D38" s="2883">
        <f>IF(D23=0,0,ROUND(D32*(1-((1+D35)/(1+D34))^D36)/(D34-D35),0))</f>
        <v>0</v>
      </c>
      <c r="E38" s="2883">
        <f>IF(E23=0,0,ROUND(E32*(1-((1+E35)/(1+E34))^E36)/(E34-E35),0))</f>
        <v>0</v>
      </c>
      <c r="F38" s="2930"/>
      <c r="G38" s="2924"/>
      <c r="H38" s="2842"/>
      <c r="I38" s="2843"/>
      <c r="J38" s="3726"/>
      <c r="K38" s="3728"/>
      <c r="L38" s="2877"/>
      <c r="M38" s="2878"/>
      <c r="N38" s="2854"/>
      <c r="O38" s="2879"/>
      <c r="P38" s="2879"/>
      <c r="Q38" s="2880"/>
      <c r="R38" s="2881"/>
      <c r="S38" s="2916"/>
      <c r="T38" s="2835" t="s">
        <v>2356</v>
      </c>
      <c r="U38" s="2835"/>
      <c r="V38" s="2843"/>
    </row>
    <row r="39" spans="1:23" s="2847" customFormat="1" ht="13.2" customHeight="1">
      <c r="A39" s="2925">
        <v>9</v>
      </c>
      <c r="B39" s="2926" t="s">
        <v>2434</v>
      </c>
      <c r="C39" s="2891" t="e">
        <f>C38</f>
        <v>#DIV/0!</v>
      </c>
      <c r="D39" s="2926">
        <f>D38/(1+D34)^C36</f>
        <v>0</v>
      </c>
      <c r="E39" s="2926">
        <f>E38/(1+E34)^(C36+D36)</f>
        <v>0</v>
      </c>
      <c r="F39" s="2930"/>
      <c r="G39" s="2985"/>
      <c r="H39" s="2842"/>
      <c r="I39" s="2843"/>
      <c r="J39" s="3726"/>
      <c r="K39" s="3728"/>
      <c r="L39" s="2877"/>
      <c r="M39" s="2878"/>
      <c r="N39" s="2854"/>
      <c r="O39" s="2879"/>
      <c r="P39" s="2879"/>
      <c r="Q39" s="2880"/>
      <c r="R39" s="2881"/>
      <c r="S39" s="2916"/>
      <c r="T39" s="2835"/>
      <c r="U39" s="2835"/>
      <c r="V39" s="2843"/>
    </row>
    <row r="40" spans="1:23" s="2847" customFormat="1" ht="13.2" customHeight="1">
      <c r="A40" s="2986">
        <v>10</v>
      </c>
      <c r="B40" s="2926" t="s">
        <v>2435</v>
      </c>
      <c r="C40" s="2987" t="e">
        <f>C39+D39+E39</f>
        <v>#DIV/0!</v>
      </c>
      <c r="D40" s="2988"/>
      <c r="E40" s="2988"/>
      <c r="F40" s="2989"/>
      <c r="G40" s="2924"/>
      <c r="H40" s="2842"/>
      <c r="I40" s="2843"/>
      <c r="J40" s="3726"/>
      <c r="K40" s="3729"/>
      <c r="L40" s="2897" t="s">
        <v>2374</v>
      </c>
      <c r="M40" s="2898"/>
      <c r="N40" s="2898"/>
      <c r="O40" s="2899"/>
      <c r="P40" s="2899"/>
      <c r="Q40" s="2900"/>
      <c r="R40" s="2846">
        <f>SUM(R37:R39)</f>
        <v>0</v>
      </c>
      <c r="S40" s="2916"/>
      <c r="T40" s="2835"/>
      <c r="U40" s="2835"/>
      <c r="V40" s="2843"/>
    </row>
    <row r="41" spans="1:23" s="2847" customFormat="1" ht="13.2"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2" customHeight="1">
      <c r="G42" s="2994"/>
      <c r="H42" s="2842"/>
      <c r="I42" s="2843"/>
      <c r="J42" s="3736">
        <v>3</v>
      </c>
      <c r="K42" s="2945" t="s">
        <v>2416</v>
      </c>
      <c r="L42" s="2946"/>
      <c r="M42" s="2947"/>
      <c r="N42" s="2948" t="s">
        <v>2417</v>
      </c>
      <c r="O42" s="2948" t="s">
        <v>2418</v>
      </c>
      <c r="P42" s="2949" t="s">
        <v>2419</v>
      </c>
      <c r="Q42" s="2949" t="s">
        <v>2420</v>
      </c>
      <c r="R42" s="2852" t="s">
        <v>2345</v>
      </c>
      <c r="S42" s="2950"/>
      <c r="T42" s="2950"/>
      <c r="U42" s="2835"/>
      <c r="V42" s="2843"/>
    </row>
    <row r="43" spans="1:23" ht="13.2" customHeight="1">
      <c r="A43" s="2847"/>
      <c r="B43" s="2847"/>
      <c r="C43" s="2847"/>
      <c r="D43" s="2847"/>
      <c r="E43" s="2847"/>
      <c r="F43" s="2847"/>
      <c r="I43" s="2830"/>
      <c r="J43" s="3737"/>
      <c r="K43" s="2953"/>
      <c r="L43" s="2954"/>
      <c r="M43" s="2955"/>
      <c r="N43" s="2878"/>
      <c r="O43" s="2878"/>
      <c r="P43" s="2878"/>
      <c r="Q43" s="2942"/>
      <c r="R43" s="2913">
        <f>ROUND(O43*N43*P43*(1-Q43)/10000,0)</f>
        <v>0</v>
      </c>
      <c r="S43" s="2916"/>
      <c r="T43" s="2835"/>
      <c r="V43" s="2996"/>
      <c r="W43" s="2997"/>
    </row>
    <row r="44" spans="1:23" ht="13.2"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1"/>
      <c r="G1" s="1485"/>
      <c r="H1" s="1485"/>
      <c r="I1" s="1485"/>
      <c r="J1" s="1485"/>
      <c r="K1" s="1485"/>
      <c r="L1" s="1485"/>
      <c r="M1" s="1485"/>
      <c r="N1" s="1485"/>
      <c r="O1" s="1485"/>
      <c r="P1" s="1485"/>
      <c r="Q1" s="1485"/>
      <c r="R1" s="1485"/>
      <c r="S1" s="1485"/>
    </row>
    <row r="2" spans="1:22" ht="15.6">
      <c r="A2" s="1866" t="s">
        <v>1462</v>
      </c>
      <c r="B2" s="1867">
        <f ca="1">SUMIF(B6:B13,"&lt;&gt;#ref!",B6:B13)</f>
        <v>174.0284</v>
      </c>
      <c r="C2" s="1868" t="s">
        <v>1651</v>
      </c>
      <c r="D2" s="1869" t="s">
        <v>1652</v>
      </c>
      <c r="E2" s="2601">
        <f>SUM(E6:E13)</f>
        <v>111.43</v>
      </c>
      <c r="F2" s="2701"/>
      <c r="G2" s="1485"/>
      <c r="H2" s="1485"/>
      <c r="I2" s="1485"/>
      <c r="J2" s="1485"/>
      <c r="K2" s="1485"/>
      <c r="L2" s="1485"/>
      <c r="M2" s="1485"/>
      <c r="N2" s="1485"/>
      <c r="O2" s="1485"/>
      <c r="P2" s="1485"/>
      <c r="Q2" s="1485"/>
      <c r="R2" s="1485"/>
      <c r="S2" s="1485"/>
    </row>
    <row r="3" spans="1:22" ht="15.6">
      <c r="A3" s="1866" t="s">
        <v>686</v>
      </c>
      <c r="B3" s="2595">
        <f ca="1">ROUND(B2*10000/E2,0)</f>
        <v>15618</v>
      </c>
      <c r="C3" s="1868" t="s">
        <v>1659</v>
      </c>
      <c r="D3" s="2703"/>
      <c r="E3" s="2705"/>
      <c r="F3" s="2701"/>
      <c r="G3" s="1485"/>
      <c r="H3" s="1485"/>
      <c r="I3" s="1485"/>
      <c r="J3" s="1485"/>
      <c r="K3" s="1485"/>
      <c r="L3" s="1485"/>
      <c r="M3" s="1485"/>
      <c r="N3" s="1485"/>
      <c r="O3" s="1485"/>
      <c r="P3" s="1485"/>
      <c r="Q3" s="1485"/>
      <c r="R3" s="1485"/>
      <c r="S3" s="1485"/>
    </row>
    <row r="4" spans="1:22" ht="15.6">
      <c r="A4" s="2706"/>
      <c r="B4" s="2703"/>
      <c r="C4" s="2703"/>
      <c r="D4" s="2703"/>
      <c r="E4" s="2705"/>
      <c r="F4" s="2701"/>
      <c r="G4" s="1485"/>
      <c r="H4" s="1485"/>
      <c r="I4" s="1485"/>
      <c r="J4" s="1485"/>
      <c r="K4" s="1485"/>
      <c r="L4" s="1485"/>
      <c r="M4" s="1485"/>
      <c r="N4" s="1485"/>
      <c r="O4" s="1485"/>
      <c r="P4" s="1485"/>
      <c r="Q4" s="1485"/>
      <c r="R4" s="1485"/>
      <c r="S4" s="1485"/>
    </row>
    <row r="5" spans="1:22" ht="14.4">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ht="14.4">
      <c r="A6" s="2598" t="str">
        <f>'数据-取费表'!AN6</f>
        <v>收益法 (元)</v>
      </c>
      <c r="B6" s="2596">
        <f ca="1">IF(F6="是",'数据-取费表'!AO6,0)</f>
        <v>174.0284</v>
      </c>
      <c r="C6" s="1868" t="s">
        <v>1651</v>
      </c>
      <c r="D6" s="2703"/>
      <c r="E6" s="2600">
        <f>IF(OR(A6=0,F6="否"),0,'数据-取费表'!K6+'数据-取费表'!S6)</f>
        <v>111.43</v>
      </c>
      <c r="F6" s="1872" t="s">
        <v>1657</v>
      </c>
      <c r="G6" s="1485"/>
      <c r="H6" s="1485"/>
      <c r="I6" s="1485"/>
      <c r="J6" s="1485"/>
      <c r="K6" s="1485"/>
      <c r="L6" s="1485"/>
      <c r="M6" s="1485"/>
      <c r="N6" s="1485"/>
      <c r="O6" s="1485"/>
      <c r="P6" s="1485"/>
      <c r="Q6" s="1485"/>
      <c r="R6" s="1485"/>
      <c r="S6" s="1485"/>
    </row>
    <row r="7" spans="1:22" ht="14.4">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ht="14.4">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ht="14.4">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ht="14.4">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受贵公司委托，我公司对北京市大兴区芳源里1号楼7层713房地产抵押价值进行了预评估。</v>
      </c>
    </row>
    <row r="5" spans="1:1" ht="17.399999999999999">
      <c r="A5" s="1477" t="s">
        <v>899</v>
      </c>
    </row>
    <row r="6" spans="1:1" ht="17.399999999999999">
      <c r="A6" s="1478" t="s">
        <v>900</v>
      </c>
    </row>
    <row r="7" spans="1:1" ht="52.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估价对象为北京市大兴区芳源里1号楼7层713房地产，为鲍建军所有。根据《国有土地使用证》[]，估价对象（分摊）出让国有建设用地使用权面积为0平方米，建筑面积为111.43平方米。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7层713房地产,属鲍建军开发建设的办公项目，该项目尚在开发建设中。根据《国有土地使用证》[]，估价对象（分摊）出让国有建设用地使用权面积为0平方米，规划建筑面积为111.43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大兴区芳源里1号楼7层713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2024年5月23日（评估专业人员实地查勘之日）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1" t="s">
        <v>896</v>
      </c>
    </row>
    <row r="24" spans="1:1" ht="17.399999999999999">
      <c r="A24" s="1483" t="str">
        <f>"本次评估采用的主估价方法为"&amp;结果表!K4&amp;"和"&amp;结果表!L4&amp;"。"</f>
        <v>本次评估采用的主估价方法为比较法和收益法。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111.43</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4.4">
      <c r="A4" s="355" t="s">
        <v>1666</v>
      </c>
      <c r="B4" s="356"/>
      <c r="C4" s="3663" t="s">
        <v>1667</v>
      </c>
      <c r="D4" s="3664"/>
      <c r="E4" s="3665" t="s">
        <v>1668</v>
      </c>
      <c r="F4" s="3666"/>
      <c r="G4" s="3663" t="s">
        <v>1669</v>
      </c>
      <c r="H4" s="3664"/>
      <c r="I4" s="3663" t="s">
        <v>1670</v>
      </c>
      <c r="J4" s="3664"/>
      <c r="K4" s="1885" t="s">
        <v>1671</v>
      </c>
      <c r="L4" s="2709"/>
      <c r="M4" s="2710"/>
      <c r="N4" s="2710"/>
      <c r="O4" s="2710"/>
      <c r="P4" s="3745" t="s">
        <v>1672</v>
      </c>
      <c r="Q4" s="3746"/>
      <c r="R4" s="3741" t="s">
        <v>1668</v>
      </c>
      <c r="S4" s="3742"/>
      <c r="T4" s="3741" t="s">
        <v>1669</v>
      </c>
      <c r="U4" s="3742"/>
      <c r="V4" s="3688" t="s">
        <v>1670</v>
      </c>
      <c r="W4" s="3688"/>
      <c r="X4" s="1351"/>
      <c r="Y4" s="3741" t="s">
        <v>1672</v>
      </c>
      <c r="Z4" s="3742"/>
      <c r="AA4" s="3740" t="s">
        <v>1668</v>
      </c>
      <c r="AB4" s="3740" t="s">
        <v>1669</v>
      </c>
      <c r="AC4" s="3740" t="s">
        <v>1670</v>
      </c>
    </row>
    <row r="5" spans="1:29">
      <c r="A5" s="358"/>
      <c r="B5" s="359"/>
      <c r="C5" s="3744" t="s">
        <v>1673</v>
      </c>
      <c r="D5" s="3678"/>
      <c r="E5" s="3743" t="s">
        <v>1674</v>
      </c>
      <c r="F5" s="3680"/>
      <c r="G5" s="3744" t="s">
        <v>1675</v>
      </c>
      <c r="H5" s="3678"/>
      <c r="I5" s="3744" t="s">
        <v>1676</v>
      </c>
      <c r="J5" s="3678"/>
      <c r="K5" s="1886"/>
      <c r="L5" s="2709"/>
      <c r="M5" s="2710"/>
      <c r="N5" s="2710"/>
      <c r="O5" s="2710"/>
      <c r="P5" s="3747"/>
      <c r="Q5" s="3670"/>
      <c r="R5" s="3675"/>
      <c r="S5" s="3676"/>
      <c r="T5" s="3675"/>
      <c r="U5" s="3676"/>
      <c r="V5" s="3688"/>
      <c r="W5" s="3688"/>
      <c r="X5" s="1351"/>
      <c r="Y5" s="3675"/>
      <c r="Z5" s="3676"/>
      <c r="AA5" s="3690"/>
      <c r="AB5" s="3690"/>
      <c r="AC5" s="3690"/>
    </row>
    <row r="6" spans="1:29" ht="15" thickBot="1">
      <c r="A6" s="360"/>
      <c r="B6" s="361"/>
      <c r="C6" s="3681" t="s">
        <v>1677</v>
      </c>
      <c r="D6" s="3682"/>
      <c r="E6" s="3683" t="s">
        <v>1677</v>
      </c>
      <c r="F6" s="3684"/>
      <c r="G6" s="3681" t="s">
        <v>1677</v>
      </c>
      <c r="H6" s="3682"/>
      <c r="I6" s="3681" t="s">
        <v>1677</v>
      </c>
      <c r="J6" s="3682"/>
      <c r="K6" s="1886" t="s">
        <v>1678</v>
      </c>
      <c r="L6" s="2709"/>
      <c r="M6" s="2710"/>
      <c r="N6" s="2710"/>
      <c r="O6" s="27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95" t="s">
        <v>1680</v>
      </c>
      <c r="Q7" s="3693"/>
      <c r="R7" s="699" t="s">
        <v>20</v>
      </c>
      <c r="S7" s="700">
        <f t="shared" ref="S7:S15" si="0">F7</f>
        <v>0</v>
      </c>
      <c r="T7" s="699" t="s">
        <v>20</v>
      </c>
      <c r="U7" s="700">
        <f t="shared" ref="U7:U15" si="1">H7</f>
        <v>0</v>
      </c>
      <c r="V7" s="699" t="s">
        <v>20</v>
      </c>
      <c r="W7" s="700">
        <f t="shared" ref="W7:W15" si="2">J7</f>
        <v>0</v>
      </c>
      <c r="X7" s="701"/>
      <c r="Y7" s="3695" t="s">
        <v>1680</v>
      </c>
      <c r="Z7" s="3694"/>
      <c r="AA7" s="702" t="e">
        <f>D7/F7</f>
        <v>#DIV/0!</v>
      </c>
      <c r="AB7" s="702" t="e">
        <f>D7/H7</f>
        <v>#DIV/0!</v>
      </c>
      <c r="AC7" s="702"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95" t="s">
        <v>1683</v>
      </c>
      <c r="Q8" s="3694"/>
      <c r="R8" s="699" t="s">
        <v>20</v>
      </c>
      <c r="S8" s="700">
        <f t="shared" si="0"/>
        <v>100</v>
      </c>
      <c r="T8" s="699" t="s">
        <v>20</v>
      </c>
      <c r="U8" s="700">
        <f t="shared" si="1"/>
        <v>100</v>
      </c>
      <c r="V8" s="699" t="s">
        <v>20</v>
      </c>
      <c r="W8" s="700">
        <f t="shared" si="2"/>
        <v>100</v>
      </c>
      <c r="X8" s="701"/>
      <c r="Y8" s="3695" t="s">
        <v>1683</v>
      </c>
      <c r="Z8" s="3694"/>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6"/>
      <c r="Q11" s="1339" t="str">
        <f t="shared" si="6"/>
        <v>容积率</v>
      </c>
      <c r="R11" s="699" t="s">
        <v>18</v>
      </c>
      <c r="S11" s="700" t="e">
        <f t="shared" si="0"/>
        <v>#N/A</v>
      </c>
      <c r="T11" s="699" t="s">
        <v>18</v>
      </c>
      <c r="U11" s="700" t="e">
        <f t="shared" si="1"/>
        <v>#N/A</v>
      </c>
      <c r="V11" s="699" t="s">
        <v>18</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96"/>
      <c r="Q12" s="1339">
        <f t="shared" si="6"/>
        <v>111</v>
      </c>
      <c r="R12" s="699" t="s">
        <v>18</v>
      </c>
      <c r="S12" s="700">
        <f t="shared" si="0"/>
        <v>100</v>
      </c>
      <c r="T12" s="699" t="s">
        <v>18</v>
      </c>
      <c r="U12" s="700">
        <f t="shared" si="1"/>
        <v>100</v>
      </c>
      <c r="V12" s="699" t="s">
        <v>18</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96"/>
      <c r="Q13" s="1339">
        <f t="shared" si="6"/>
        <v>111</v>
      </c>
      <c r="R13" s="699" t="s">
        <v>18</v>
      </c>
      <c r="S13" s="700">
        <f t="shared" si="0"/>
        <v>100</v>
      </c>
      <c r="T13" s="699" t="s">
        <v>18</v>
      </c>
      <c r="U13" s="700">
        <f t="shared" si="1"/>
        <v>100</v>
      </c>
      <c r="V13" s="699" t="s">
        <v>18</v>
      </c>
      <c r="W13" s="700">
        <f t="shared" si="2"/>
        <v>100</v>
      </c>
      <c r="X13" s="701"/>
      <c r="Y13" s="3636"/>
      <c r="Z13" s="52">
        <f t="shared" si="7"/>
        <v>111</v>
      </c>
      <c r="AA13" s="702">
        <f t="shared" si="3"/>
        <v>1</v>
      </c>
      <c r="AB13" s="702">
        <f t="shared" si="4"/>
        <v>1</v>
      </c>
      <c r="AC13" s="702">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96"/>
      <c r="Q14" s="1339">
        <f t="shared" si="6"/>
        <v>111</v>
      </c>
      <c r="R14" s="699" t="s">
        <v>18</v>
      </c>
      <c r="S14" s="700">
        <f t="shared" si="0"/>
        <v>100</v>
      </c>
      <c r="T14" s="699" t="s">
        <v>18</v>
      </c>
      <c r="U14" s="700">
        <f t="shared" si="1"/>
        <v>100</v>
      </c>
      <c r="V14" s="699" t="s">
        <v>18</v>
      </c>
      <c r="W14" s="700">
        <f t="shared" si="2"/>
        <v>100</v>
      </c>
      <c r="X14" s="701"/>
      <c r="Y14" s="3636"/>
      <c r="Z14" s="52">
        <f t="shared" si="7"/>
        <v>111</v>
      </c>
      <c r="AA14" s="702">
        <f t="shared" si="3"/>
        <v>1</v>
      </c>
      <c r="AB14" s="702">
        <f t="shared" si="4"/>
        <v>1</v>
      </c>
      <c r="AC14" s="702">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7" t="s">
        <v>1691</v>
      </c>
      <c r="Q15" s="1348" t="str">
        <f t="shared" si="6"/>
        <v>居住社区成熟度</v>
      </c>
      <c r="R15" s="703" t="s">
        <v>18</v>
      </c>
      <c r="S15" s="704">
        <f t="shared" si="0"/>
        <v>100</v>
      </c>
      <c r="T15" s="703" t="s">
        <v>18</v>
      </c>
      <c r="U15" s="704">
        <f t="shared" si="1"/>
        <v>100</v>
      </c>
      <c r="V15" s="703" t="s">
        <v>18</v>
      </c>
      <c r="W15" s="704">
        <f t="shared" si="2"/>
        <v>100</v>
      </c>
      <c r="X15" s="1351"/>
      <c r="Y15" s="3699"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98"/>
      <c r="Q16" s="1348"/>
      <c r="R16" s="703"/>
      <c r="S16" s="704"/>
      <c r="T16" s="703"/>
      <c r="U16" s="704"/>
      <c r="V16" s="703"/>
      <c r="W16" s="704"/>
      <c r="X16" s="1351"/>
      <c r="Y16" s="3700"/>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8"/>
      <c r="Q17" s="1348" t="str">
        <f>B17</f>
        <v>交通便捷度</v>
      </c>
      <c r="R17" s="703" t="s">
        <v>18</v>
      </c>
      <c r="S17" s="704">
        <f>F17</f>
        <v>100</v>
      </c>
      <c r="T17" s="703" t="s">
        <v>18</v>
      </c>
      <c r="U17" s="704">
        <f>H17</f>
        <v>100</v>
      </c>
      <c r="V17" s="703" t="s">
        <v>18</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98"/>
      <c r="Q18" s="1348"/>
      <c r="R18" s="703"/>
      <c r="S18" s="704"/>
      <c r="T18" s="703"/>
      <c r="U18" s="704"/>
      <c r="V18" s="703"/>
      <c r="W18" s="704"/>
      <c r="X18" s="1351"/>
      <c r="Y18" s="3700"/>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8"/>
      <c r="Q19" s="1348" t="str">
        <f>B19</f>
        <v>公共配套设施</v>
      </c>
      <c r="R19" s="703" t="s">
        <v>18</v>
      </c>
      <c r="S19" s="704">
        <f>F19</f>
        <v>100</v>
      </c>
      <c r="T19" s="703" t="s">
        <v>18</v>
      </c>
      <c r="U19" s="704">
        <f>H19</f>
        <v>100</v>
      </c>
      <c r="V19" s="703" t="s">
        <v>18</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98"/>
      <c r="Q20" s="1348"/>
      <c r="R20" s="703"/>
      <c r="S20" s="704"/>
      <c r="T20" s="703"/>
      <c r="U20" s="704"/>
      <c r="V20" s="703"/>
      <c r="W20" s="704"/>
      <c r="X20" s="1351"/>
      <c r="Y20" s="3700"/>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98"/>
      <c r="Q22" s="1348"/>
      <c r="R22" s="703"/>
      <c r="S22" s="704"/>
      <c r="T22" s="703"/>
      <c r="U22" s="704"/>
      <c r="V22" s="703"/>
      <c r="W22" s="704"/>
      <c r="X22" s="1351"/>
      <c r="Y22" s="3700"/>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8"/>
      <c r="Q23" s="1348" t="str">
        <f>B23</f>
        <v>自然及人文环境</v>
      </c>
      <c r="R23" s="703" t="s">
        <v>18</v>
      </c>
      <c r="S23" s="704">
        <f>F23</f>
        <v>100</v>
      </c>
      <c r="T23" s="703" t="s">
        <v>18</v>
      </c>
      <c r="U23" s="704">
        <f>H23</f>
        <v>100</v>
      </c>
      <c r="V23" s="703" t="s">
        <v>18</v>
      </c>
      <c r="W23" s="704">
        <f>J23</f>
        <v>100</v>
      </c>
      <c r="X23" s="1351"/>
      <c r="Y23" s="370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98"/>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00"/>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98"/>
      <c r="Q26" s="1348" t="str">
        <f t="shared" si="11"/>
        <v>朝向</v>
      </c>
      <c r="R26" s="703" t="s">
        <v>18</v>
      </c>
      <c r="S26" s="704">
        <f t="shared" si="12"/>
        <v>100</v>
      </c>
      <c r="T26" s="703" t="s">
        <v>18</v>
      </c>
      <c r="U26" s="704">
        <f t="shared" si="13"/>
        <v>100</v>
      </c>
      <c r="V26" s="703" t="s">
        <v>18</v>
      </c>
      <c r="W26" s="704">
        <f t="shared" si="14"/>
        <v>100</v>
      </c>
      <c r="X26" s="1351"/>
      <c r="Y26" s="370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98"/>
      <c r="Q27" s="1339">
        <f t="shared" si="11"/>
        <v>111</v>
      </c>
      <c r="R27" s="699" t="s">
        <v>18</v>
      </c>
      <c r="S27" s="700">
        <f t="shared" si="12"/>
        <v>100</v>
      </c>
      <c r="T27" s="699" t="s">
        <v>18</v>
      </c>
      <c r="U27" s="700">
        <f t="shared" si="13"/>
        <v>100</v>
      </c>
      <c r="V27" s="699" t="s">
        <v>18</v>
      </c>
      <c r="W27" s="700">
        <f t="shared" si="14"/>
        <v>100</v>
      </c>
      <c r="X27" s="701"/>
      <c r="Y27" s="370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98"/>
      <c r="Q28" s="1348">
        <f t="shared" si="11"/>
        <v>111</v>
      </c>
      <c r="R28" s="703" t="s">
        <v>18</v>
      </c>
      <c r="S28" s="704">
        <f t="shared" si="12"/>
        <v>100</v>
      </c>
      <c r="T28" s="703" t="s">
        <v>18</v>
      </c>
      <c r="U28" s="704">
        <f t="shared" si="13"/>
        <v>100</v>
      </c>
      <c r="V28" s="703" t="s">
        <v>18</v>
      </c>
      <c r="W28" s="704">
        <f t="shared" si="14"/>
        <v>100</v>
      </c>
      <c r="X28" s="1351"/>
      <c r="Y28" s="370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98"/>
      <c r="Q29" s="1348">
        <f t="shared" si="11"/>
        <v>111</v>
      </c>
      <c r="R29" s="703" t="s">
        <v>18</v>
      </c>
      <c r="S29" s="704">
        <f t="shared" si="12"/>
        <v>100</v>
      </c>
      <c r="T29" s="703" t="s">
        <v>18</v>
      </c>
      <c r="U29" s="704">
        <f t="shared" si="13"/>
        <v>100</v>
      </c>
      <c r="V29" s="703" t="s">
        <v>18</v>
      </c>
      <c r="W29" s="704">
        <f t="shared" si="14"/>
        <v>100</v>
      </c>
      <c r="X29" s="1351"/>
      <c r="Y29" s="370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98"/>
      <c r="Q30" s="1348">
        <f t="shared" si="11"/>
        <v>111</v>
      </c>
      <c r="R30" s="703" t="s">
        <v>18</v>
      </c>
      <c r="S30" s="704">
        <f t="shared" si="12"/>
        <v>100</v>
      </c>
      <c r="T30" s="703" t="s">
        <v>18</v>
      </c>
      <c r="U30" s="704">
        <f t="shared" si="13"/>
        <v>100</v>
      </c>
      <c r="V30" s="703" t="s">
        <v>18</v>
      </c>
      <c r="W30" s="704">
        <f t="shared" si="14"/>
        <v>100</v>
      </c>
      <c r="X30" s="1351"/>
      <c r="Y30" s="3700"/>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98"/>
      <c r="Q31" s="1348">
        <f t="shared" si="11"/>
        <v>111</v>
      </c>
      <c r="R31" s="703" t="s">
        <v>18</v>
      </c>
      <c r="S31" s="704">
        <f t="shared" si="12"/>
        <v>100</v>
      </c>
      <c r="T31" s="703" t="s">
        <v>18</v>
      </c>
      <c r="U31" s="704">
        <f t="shared" si="13"/>
        <v>100</v>
      </c>
      <c r="V31" s="703" t="s">
        <v>18</v>
      </c>
      <c r="W31" s="704">
        <f t="shared" si="14"/>
        <v>100</v>
      </c>
      <c r="X31" s="1351"/>
      <c r="Y31" s="3700"/>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701" t="s">
        <v>1696</v>
      </c>
      <c r="Q32" s="1348" t="str">
        <f t="shared" si="11"/>
        <v>建筑类型</v>
      </c>
      <c r="R32" s="703" t="s">
        <v>18</v>
      </c>
      <c r="S32" s="704">
        <f t="shared" si="12"/>
        <v>100</v>
      </c>
      <c r="T32" s="703" t="s">
        <v>18</v>
      </c>
      <c r="U32" s="704">
        <f t="shared" si="13"/>
        <v>100</v>
      </c>
      <c r="V32" s="703" t="s">
        <v>18</v>
      </c>
      <c r="W32" s="704">
        <f t="shared" si="14"/>
        <v>100</v>
      </c>
      <c r="X32" s="1351"/>
      <c r="Y32" s="3704"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702"/>
      <c r="Q33" s="705" t="str">
        <f t="shared" si="11"/>
        <v>项目建筑规模</v>
      </c>
      <c r="R33" s="706" t="s">
        <v>18</v>
      </c>
      <c r="S33" s="707" t="e">
        <f t="shared" si="12"/>
        <v>#N/A</v>
      </c>
      <c r="T33" s="706" t="s">
        <v>18</v>
      </c>
      <c r="U33" s="707" t="e">
        <f t="shared" si="13"/>
        <v>#N/A</v>
      </c>
      <c r="V33" s="706" t="s">
        <v>18</v>
      </c>
      <c r="W33" s="707" t="e">
        <f t="shared" si="14"/>
        <v>#N/A</v>
      </c>
      <c r="X33" s="708"/>
      <c r="Y33" s="3704"/>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702"/>
      <c r="Q34" s="1348" t="str">
        <f t="shared" si="11"/>
        <v>建筑结构</v>
      </c>
      <c r="R34" s="703" t="s">
        <v>18</v>
      </c>
      <c r="S34" s="704">
        <f t="shared" si="12"/>
        <v>100</v>
      </c>
      <c r="T34" s="703" t="s">
        <v>18</v>
      </c>
      <c r="U34" s="704">
        <f t="shared" si="13"/>
        <v>100</v>
      </c>
      <c r="V34" s="703" t="s">
        <v>18</v>
      </c>
      <c r="W34" s="704">
        <f t="shared" si="14"/>
        <v>100</v>
      </c>
      <c r="X34" s="1351"/>
      <c r="Y34" s="3704"/>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702"/>
      <c r="Q35" s="1348" t="str">
        <f t="shared" si="11"/>
        <v>建筑品质</v>
      </c>
      <c r="R35" s="703" t="s">
        <v>18</v>
      </c>
      <c r="S35" s="704">
        <f t="shared" si="12"/>
        <v>100</v>
      </c>
      <c r="T35" s="703" t="s">
        <v>18</v>
      </c>
      <c r="U35" s="704">
        <f t="shared" si="13"/>
        <v>100</v>
      </c>
      <c r="V35" s="703" t="s">
        <v>18</v>
      </c>
      <c r="W35" s="704">
        <f t="shared" si="14"/>
        <v>100</v>
      </c>
      <c r="X35" s="1351"/>
      <c r="Y35" s="3704"/>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702"/>
      <c r="Q36" s="1348" t="str">
        <f t="shared" si="11"/>
        <v>公共部分装修</v>
      </c>
      <c r="R36" s="703" t="s">
        <v>18</v>
      </c>
      <c r="S36" s="704">
        <f t="shared" si="12"/>
        <v>100</v>
      </c>
      <c r="T36" s="703" t="s">
        <v>18</v>
      </c>
      <c r="U36" s="704">
        <f t="shared" si="13"/>
        <v>100</v>
      </c>
      <c r="V36" s="703" t="s">
        <v>18</v>
      </c>
      <c r="W36" s="704">
        <f t="shared" si="14"/>
        <v>100</v>
      </c>
      <c r="X36" s="1351"/>
      <c r="Y36" s="3704"/>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2"/>
      <c r="Q37" s="1339" t="str">
        <f t="shared" si="11"/>
        <v>成新度</v>
      </c>
      <c r="R37" s="699" t="s">
        <v>18</v>
      </c>
      <c r="S37" s="700" t="e">
        <f t="shared" si="12"/>
        <v>#N/A</v>
      </c>
      <c r="T37" s="699" t="s">
        <v>18</v>
      </c>
      <c r="U37" s="700" t="e">
        <f t="shared" si="13"/>
        <v>#N/A</v>
      </c>
      <c r="V37" s="699" t="s">
        <v>18</v>
      </c>
      <c r="W37" s="700" t="e">
        <f t="shared" si="14"/>
        <v>#N/A</v>
      </c>
      <c r="X37" s="701"/>
      <c r="Y37" s="3704"/>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702" t="s">
        <v>1696</v>
      </c>
      <c r="Q38" s="1348" t="str">
        <f t="shared" si="11"/>
        <v>物业管理</v>
      </c>
      <c r="R38" s="703" t="s">
        <v>18</v>
      </c>
      <c r="S38" s="704">
        <f t="shared" si="12"/>
        <v>100</v>
      </c>
      <c r="T38" s="703" t="s">
        <v>18</v>
      </c>
      <c r="U38" s="704">
        <f t="shared" si="13"/>
        <v>100</v>
      </c>
      <c r="V38" s="703" t="s">
        <v>18</v>
      </c>
      <c r="W38" s="704">
        <f t="shared" si="14"/>
        <v>100</v>
      </c>
      <c r="X38" s="1351"/>
      <c r="Y38" s="3704"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702"/>
      <c r="Q39" s="1348" t="str">
        <f t="shared" si="11"/>
        <v>市政基础设施</v>
      </c>
      <c r="R39" s="703" t="s">
        <v>18</v>
      </c>
      <c r="S39" s="704">
        <f t="shared" si="12"/>
        <v>100</v>
      </c>
      <c r="T39" s="703" t="s">
        <v>18</v>
      </c>
      <c r="U39" s="704">
        <f t="shared" si="13"/>
        <v>100</v>
      </c>
      <c r="V39" s="703" t="s">
        <v>18</v>
      </c>
      <c r="W39" s="704">
        <f t="shared" si="14"/>
        <v>100</v>
      </c>
      <c r="X39" s="1351"/>
      <c r="Y39" s="3704"/>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702"/>
      <c r="Q40" s="1348" t="str">
        <f t="shared" si="11"/>
        <v>房型</v>
      </c>
      <c r="R40" s="703" t="s">
        <v>18</v>
      </c>
      <c r="S40" s="704">
        <f t="shared" si="12"/>
        <v>100</v>
      </c>
      <c r="T40" s="703" t="s">
        <v>18</v>
      </c>
      <c r="U40" s="704">
        <f t="shared" si="13"/>
        <v>100</v>
      </c>
      <c r="V40" s="703" t="s">
        <v>18</v>
      </c>
      <c r="W40" s="704">
        <f t="shared" si="14"/>
        <v>100</v>
      </c>
      <c r="X40" s="1351"/>
      <c r="Y40" s="3704"/>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702"/>
      <c r="Q41" s="705" t="str">
        <f t="shared" si="11"/>
        <v>单套/主力户型建筑面积</v>
      </c>
      <c r="R41" s="706" t="s">
        <v>18</v>
      </c>
      <c r="S41" s="707">
        <f t="shared" si="12"/>
        <v>100</v>
      </c>
      <c r="T41" s="706" t="s">
        <v>18</v>
      </c>
      <c r="U41" s="707">
        <f t="shared" si="13"/>
        <v>100</v>
      </c>
      <c r="V41" s="706" t="s">
        <v>18</v>
      </c>
      <c r="W41" s="707">
        <f t="shared" si="14"/>
        <v>100</v>
      </c>
      <c r="X41" s="708"/>
      <c r="Y41" s="3704"/>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702"/>
      <c r="Q42" s="1348" t="str">
        <f t="shared" si="11"/>
        <v>内部装修</v>
      </c>
      <c r="R42" s="703" t="s">
        <v>18</v>
      </c>
      <c r="S42" s="704">
        <f t="shared" si="12"/>
        <v>100</v>
      </c>
      <c r="T42" s="703" t="s">
        <v>18</v>
      </c>
      <c r="U42" s="704">
        <f t="shared" si="13"/>
        <v>100</v>
      </c>
      <c r="V42" s="703" t="s">
        <v>18</v>
      </c>
      <c r="W42" s="704">
        <f t="shared" si="14"/>
        <v>100</v>
      </c>
      <c r="X42" s="1351"/>
      <c r="Y42" s="3704"/>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702"/>
      <c r="Q43" s="1348" t="str">
        <f t="shared" si="11"/>
        <v>内部装修维护情况</v>
      </c>
      <c r="R43" s="703" t="s">
        <v>18</v>
      </c>
      <c r="S43" s="704">
        <f t="shared" si="12"/>
        <v>100</v>
      </c>
      <c r="T43" s="703" t="s">
        <v>18</v>
      </c>
      <c r="U43" s="704">
        <f t="shared" si="13"/>
        <v>100</v>
      </c>
      <c r="V43" s="703" t="s">
        <v>18</v>
      </c>
      <c r="W43" s="704">
        <f t="shared" si="14"/>
        <v>100</v>
      </c>
      <c r="X43" s="1351"/>
      <c r="Y43" s="370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702"/>
      <c r="Q44" s="1339">
        <f t="shared" si="11"/>
        <v>111</v>
      </c>
      <c r="R44" s="699" t="s">
        <v>18</v>
      </c>
      <c r="S44" s="700">
        <f t="shared" si="12"/>
        <v>100</v>
      </c>
      <c r="T44" s="699" t="s">
        <v>18</v>
      </c>
      <c r="U44" s="700">
        <f t="shared" si="13"/>
        <v>100</v>
      </c>
      <c r="V44" s="699" t="s">
        <v>18</v>
      </c>
      <c r="W44" s="700">
        <f t="shared" si="14"/>
        <v>100</v>
      </c>
      <c r="X44" s="701"/>
      <c r="Y44" s="3704"/>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702"/>
      <c r="Q45" s="1348">
        <f t="shared" si="11"/>
        <v>111</v>
      </c>
      <c r="R45" s="703" t="s">
        <v>18</v>
      </c>
      <c r="S45" s="704">
        <f t="shared" si="12"/>
        <v>100</v>
      </c>
      <c r="T45" s="703" t="s">
        <v>18</v>
      </c>
      <c r="U45" s="704">
        <f t="shared" si="13"/>
        <v>100</v>
      </c>
      <c r="V45" s="703" t="s">
        <v>18</v>
      </c>
      <c r="W45" s="704">
        <f t="shared" si="14"/>
        <v>100</v>
      </c>
      <c r="X45" s="1351"/>
      <c r="Y45" s="3704"/>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703"/>
      <c r="Q46" s="1348">
        <f t="shared" si="11"/>
        <v>111</v>
      </c>
      <c r="R46" s="703" t="s">
        <v>17</v>
      </c>
      <c r="S46" s="704">
        <f t="shared" si="12"/>
        <v>100</v>
      </c>
      <c r="T46" s="703" t="s">
        <v>17</v>
      </c>
      <c r="U46" s="704">
        <f t="shared" si="13"/>
        <v>100</v>
      </c>
      <c r="V46" s="703" t="s">
        <v>17</v>
      </c>
      <c r="W46" s="704">
        <f t="shared" si="14"/>
        <v>100</v>
      </c>
      <c r="X46" s="1351"/>
      <c r="Y46" s="3705"/>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18"/>
      <c r="M47" s="2719"/>
      <c r="N47" s="2710"/>
      <c r="O47" s="2719"/>
      <c r="P47" s="3706" t="str">
        <f>A47</f>
        <v>成交单价（元/平方米）</v>
      </c>
      <c r="Q47" s="3706"/>
      <c r="R47" s="3707">
        <f>E47</f>
        <v>0</v>
      </c>
      <c r="S47" s="3707"/>
      <c r="T47" s="3707">
        <f>G47</f>
        <v>0</v>
      </c>
      <c r="U47" s="3707"/>
      <c r="V47" s="3707">
        <f>I47</f>
        <v>0</v>
      </c>
      <c r="W47" s="3707"/>
      <c r="X47" s="688"/>
      <c r="Y47" s="710"/>
      <c r="Z47" s="688"/>
      <c r="AA47" s="688"/>
      <c r="AB47" s="688"/>
      <c r="AC47" s="688"/>
    </row>
    <row r="48" spans="1:29" ht="1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 thickBot="1">
      <c r="A49" s="441" t="s">
        <v>1710</v>
      </c>
      <c r="B49" s="442"/>
      <c r="C49" s="1158" t="e">
        <f>R49</f>
        <v>#DIV/0!</v>
      </c>
      <c r="D49" s="1159"/>
      <c r="E49" s="1159"/>
      <c r="F49" s="1159"/>
      <c r="G49" s="1159"/>
      <c r="H49" s="1159"/>
      <c r="I49" s="1159"/>
      <c r="J49" s="1159"/>
      <c r="K49" s="1911"/>
      <c r="L49" s="2718"/>
      <c r="M49" s="2719"/>
      <c r="N49" s="2719"/>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2.2" thickBot="1">
      <c r="A57" s="692" t="s">
        <v>1714</v>
      </c>
      <c r="B57" s="688"/>
      <c r="C57" s="693"/>
      <c r="D57" s="693"/>
      <c r="E57" s="693"/>
      <c r="F57" s="694"/>
      <c r="G57" s="694"/>
      <c r="H57" s="693"/>
      <c r="I57" s="693"/>
      <c r="J57" s="693"/>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6.2"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111.43</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88" t="s">
        <v>1772</v>
      </c>
      <c r="AC4" s="3740" t="s">
        <v>1773</v>
      </c>
    </row>
    <row r="5" spans="1:29">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88"/>
      <c r="AC5" s="3690"/>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88"/>
      <c r="AC6" s="3691"/>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46" si="3">D8/F8</f>
        <v>1</v>
      </c>
      <c r="AB8" s="702">
        <f t="shared" ref="AB8:AB46" si="4">D8/H8</f>
        <v>1</v>
      </c>
      <c r="AC8" s="702">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97" t="s">
        <v>1691</v>
      </c>
      <c r="Q15" s="1348" t="str">
        <f t="shared" si="6"/>
        <v>商业繁华度</v>
      </c>
      <c r="R15" s="703" t="s">
        <v>14</v>
      </c>
      <c r="S15" s="704">
        <f t="shared" si="0"/>
        <v>100</v>
      </c>
      <c r="T15" s="703" t="s">
        <v>14</v>
      </c>
      <c r="U15" s="704">
        <f t="shared" si="1"/>
        <v>100</v>
      </c>
      <c r="V15" s="703" t="s">
        <v>14</v>
      </c>
      <c r="W15" s="704">
        <f t="shared" si="2"/>
        <v>100</v>
      </c>
      <c r="X15" s="1351"/>
      <c r="Y15" s="3699"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98"/>
      <c r="Q16" s="1348"/>
      <c r="R16" s="703"/>
      <c r="S16" s="704"/>
      <c r="T16" s="703"/>
      <c r="U16" s="704"/>
      <c r="V16" s="703"/>
      <c r="W16" s="704"/>
      <c r="X16" s="1351"/>
      <c r="Y16" s="3700"/>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98"/>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98"/>
      <c r="Q18" s="1348"/>
      <c r="R18" s="703"/>
      <c r="S18" s="704"/>
      <c r="T18" s="703"/>
      <c r="U18" s="704"/>
      <c r="V18" s="703"/>
      <c r="W18" s="704"/>
      <c r="X18" s="1351"/>
      <c r="Y18" s="3700"/>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98"/>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98"/>
      <c r="Q20" s="1348"/>
      <c r="R20" s="703"/>
      <c r="S20" s="704"/>
      <c r="T20" s="703"/>
      <c r="U20" s="704"/>
      <c r="V20" s="703"/>
      <c r="W20" s="704"/>
      <c r="X20" s="1351"/>
      <c r="Y20" s="3700"/>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98"/>
      <c r="Q22" s="1348"/>
      <c r="R22" s="703"/>
      <c r="S22" s="704"/>
      <c r="T22" s="703"/>
      <c r="U22" s="704"/>
      <c r="V22" s="703"/>
      <c r="W22" s="704"/>
      <c r="X22" s="1351"/>
      <c r="Y22" s="3700"/>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98"/>
      <c r="Q23" s="1348" t="str">
        <f>B23</f>
        <v>自然及人文环境</v>
      </c>
      <c r="R23" s="703" t="s">
        <v>14</v>
      </c>
      <c r="S23" s="704">
        <f>F23</f>
        <v>100</v>
      </c>
      <c r="T23" s="703" t="s">
        <v>14</v>
      </c>
      <c r="U23" s="704">
        <f>H23</f>
        <v>100</v>
      </c>
      <c r="V23" s="703" t="s">
        <v>14</v>
      </c>
      <c r="W23" s="704">
        <f>J23</f>
        <v>100</v>
      </c>
      <c r="X23" s="1351"/>
      <c r="Y23" s="370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98"/>
      <c r="Q25" s="1348" t="str">
        <f t="shared" ref="Q25:Q46" si="11">B25</f>
        <v>临街状况</v>
      </c>
      <c r="R25" s="703" t="s">
        <v>14</v>
      </c>
      <c r="S25" s="704">
        <f>F25</f>
        <v>100</v>
      </c>
      <c r="T25" s="703" t="s">
        <v>14</v>
      </c>
      <c r="U25" s="704">
        <f>H25</f>
        <v>100</v>
      </c>
      <c r="V25" s="703" t="s">
        <v>14</v>
      </c>
      <c r="W25" s="704">
        <f>J25</f>
        <v>100</v>
      </c>
      <c r="X25" s="1351"/>
      <c r="Y25" s="3700"/>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98"/>
      <c r="Q26" s="1348" t="str">
        <f t="shared" si="11"/>
        <v>平面位置/可视性</v>
      </c>
      <c r="R26" s="703" t="s">
        <v>14</v>
      </c>
      <c r="S26" s="704">
        <f>F26</f>
        <v>100</v>
      </c>
      <c r="T26" s="703" t="s">
        <v>14</v>
      </c>
      <c r="U26" s="704">
        <f>H26</f>
        <v>100</v>
      </c>
      <c r="V26" s="703" t="s">
        <v>14</v>
      </c>
      <c r="W26" s="704">
        <f>J26</f>
        <v>100</v>
      </c>
      <c r="X26" s="1351"/>
      <c r="Y26" s="3700"/>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98"/>
      <c r="Q27" s="1339" t="str">
        <f t="shared" si="11"/>
        <v>人流量</v>
      </c>
      <c r="R27" s="699" t="s">
        <v>14</v>
      </c>
      <c r="S27" s="700">
        <f>F27</f>
        <v>100</v>
      </c>
      <c r="T27" s="699" t="s">
        <v>14</v>
      </c>
      <c r="U27" s="700">
        <f>H27</f>
        <v>100</v>
      </c>
      <c r="V27" s="699" t="s">
        <v>14</v>
      </c>
      <c r="W27" s="700">
        <f>J27</f>
        <v>100</v>
      </c>
      <c r="X27" s="701"/>
      <c r="Y27" s="3700"/>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98"/>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0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8"/>
      <c r="Q29" s="1348">
        <f t="shared" si="11"/>
        <v>111</v>
      </c>
      <c r="R29" s="703" t="s">
        <v>14</v>
      </c>
      <c r="S29" s="704">
        <f t="shared" si="12"/>
        <v>100</v>
      </c>
      <c r="T29" s="703" t="s">
        <v>14</v>
      </c>
      <c r="U29" s="704">
        <f t="shared" si="13"/>
        <v>100</v>
      </c>
      <c r="V29" s="703" t="s">
        <v>14</v>
      </c>
      <c r="W29" s="704">
        <f t="shared" si="14"/>
        <v>100</v>
      </c>
      <c r="X29" s="1351"/>
      <c r="Y29" s="370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8"/>
      <c r="Q30" s="1348">
        <f t="shared" si="11"/>
        <v>111</v>
      </c>
      <c r="R30" s="703" t="s">
        <v>14</v>
      </c>
      <c r="S30" s="704">
        <f t="shared" si="12"/>
        <v>100</v>
      </c>
      <c r="T30" s="703" t="s">
        <v>14</v>
      </c>
      <c r="U30" s="704">
        <f t="shared" si="13"/>
        <v>100</v>
      </c>
      <c r="V30" s="703" t="s">
        <v>14</v>
      </c>
      <c r="W30" s="704">
        <f t="shared" si="14"/>
        <v>100</v>
      </c>
      <c r="X30" s="1351"/>
      <c r="Y30" s="3700"/>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8"/>
      <c r="Q31" s="1348">
        <f t="shared" si="11"/>
        <v>111</v>
      </c>
      <c r="R31" s="703" t="s">
        <v>14</v>
      </c>
      <c r="S31" s="704">
        <f t="shared" si="12"/>
        <v>100</v>
      </c>
      <c r="T31" s="703" t="s">
        <v>14</v>
      </c>
      <c r="U31" s="704">
        <f t="shared" si="13"/>
        <v>100</v>
      </c>
      <c r="V31" s="703" t="s">
        <v>14</v>
      </c>
      <c r="W31" s="704">
        <f t="shared" si="14"/>
        <v>100</v>
      </c>
      <c r="X31" s="1351"/>
      <c r="Y31" s="3700"/>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701" t="s">
        <v>1696</v>
      </c>
      <c r="Q32" s="1348" t="str">
        <f t="shared" si="11"/>
        <v>商业类型</v>
      </c>
      <c r="R32" s="703" t="s">
        <v>14</v>
      </c>
      <c r="S32" s="704">
        <f t="shared" si="12"/>
        <v>100</v>
      </c>
      <c r="T32" s="703" t="s">
        <v>14</v>
      </c>
      <c r="U32" s="704">
        <f t="shared" si="13"/>
        <v>100</v>
      </c>
      <c r="V32" s="703" t="s">
        <v>14</v>
      </c>
      <c r="W32" s="704">
        <f t="shared" si="14"/>
        <v>100</v>
      </c>
      <c r="X32" s="1351"/>
      <c r="Y32" s="3704"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02"/>
      <c r="Q33" s="705" t="str">
        <f t="shared" si="11"/>
        <v>项目建筑规模</v>
      </c>
      <c r="R33" s="706" t="s">
        <v>14</v>
      </c>
      <c r="S33" s="707" t="e">
        <f t="shared" si="12"/>
        <v>#N/A</v>
      </c>
      <c r="T33" s="706" t="s">
        <v>14</v>
      </c>
      <c r="U33" s="707" t="e">
        <f t="shared" si="13"/>
        <v>#N/A</v>
      </c>
      <c r="V33" s="706" t="s">
        <v>14</v>
      </c>
      <c r="W33" s="707" t="e">
        <f t="shared" si="14"/>
        <v>#N/A</v>
      </c>
      <c r="X33" s="708"/>
      <c r="Y33" s="3704"/>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702"/>
      <c r="Q34" s="1348" t="str">
        <f t="shared" si="11"/>
        <v>建筑结构</v>
      </c>
      <c r="R34" s="703" t="s">
        <v>14</v>
      </c>
      <c r="S34" s="704">
        <f t="shared" si="12"/>
        <v>100</v>
      </c>
      <c r="T34" s="703" t="s">
        <v>14</v>
      </c>
      <c r="U34" s="704">
        <f t="shared" si="13"/>
        <v>100</v>
      </c>
      <c r="V34" s="703" t="s">
        <v>14</v>
      </c>
      <c r="W34" s="704">
        <f t="shared" si="14"/>
        <v>100</v>
      </c>
      <c r="X34" s="1351"/>
      <c r="Y34" s="3704"/>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702"/>
      <c r="Q35" s="1348" t="str">
        <f t="shared" si="11"/>
        <v>公共部分装修</v>
      </c>
      <c r="R35" s="703" t="s">
        <v>14</v>
      </c>
      <c r="S35" s="704">
        <f t="shared" si="12"/>
        <v>100</v>
      </c>
      <c r="T35" s="703" t="s">
        <v>14</v>
      </c>
      <c r="U35" s="704">
        <f t="shared" si="13"/>
        <v>100</v>
      </c>
      <c r="V35" s="703" t="s">
        <v>14</v>
      </c>
      <c r="W35" s="704">
        <f t="shared" si="14"/>
        <v>100</v>
      </c>
      <c r="X35" s="1351"/>
      <c r="Y35" s="3704"/>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02"/>
      <c r="Q36" s="1348" t="str">
        <f t="shared" si="11"/>
        <v>成新度</v>
      </c>
      <c r="R36" s="703" t="s">
        <v>14</v>
      </c>
      <c r="S36" s="704" t="e">
        <f t="shared" si="12"/>
        <v>#N/A</v>
      </c>
      <c r="T36" s="703" t="s">
        <v>14</v>
      </c>
      <c r="U36" s="704" t="e">
        <f t="shared" si="13"/>
        <v>#N/A</v>
      </c>
      <c r="V36" s="703" t="s">
        <v>14</v>
      </c>
      <c r="W36" s="704" t="e">
        <f t="shared" si="14"/>
        <v>#N/A</v>
      </c>
      <c r="X36" s="1351"/>
      <c r="Y36" s="3704"/>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702"/>
      <c r="Q37" s="1339" t="str">
        <f t="shared" si="11"/>
        <v>市政基础设施</v>
      </c>
      <c r="R37" s="699" t="s">
        <v>14</v>
      </c>
      <c r="S37" s="700">
        <f t="shared" si="12"/>
        <v>100</v>
      </c>
      <c r="T37" s="699" t="s">
        <v>14</v>
      </c>
      <c r="U37" s="700">
        <f t="shared" si="13"/>
        <v>100</v>
      </c>
      <c r="V37" s="699" t="s">
        <v>14</v>
      </c>
      <c r="W37" s="700">
        <f t="shared" si="14"/>
        <v>100</v>
      </c>
      <c r="X37" s="701"/>
      <c r="Y37" s="3704"/>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702" t="s">
        <v>1696</v>
      </c>
      <c r="Q38" s="1348" t="str">
        <f t="shared" si="11"/>
        <v>业态</v>
      </c>
      <c r="R38" s="703" t="s">
        <v>14</v>
      </c>
      <c r="S38" s="704">
        <f t="shared" si="12"/>
        <v>100</v>
      </c>
      <c r="T38" s="703" t="s">
        <v>14</v>
      </c>
      <c r="U38" s="704">
        <f t="shared" si="13"/>
        <v>100</v>
      </c>
      <c r="V38" s="703" t="s">
        <v>14</v>
      </c>
      <c r="W38" s="704">
        <f t="shared" si="14"/>
        <v>100</v>
      </c>
      <c r="X38" s="1351"/>
      <c r="Y38" s="3704"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702"/>
      <c r="Q39" s="1348" t="str">
        <f t="shared" si="11"/>
        <v>层高</v>
      </c>
      <c r="R39" s="703" t="s">
        <v>14</v>
      </c>
      <c r="S39" s="704">
        <f t="shared" si="12"/>
        <v>100</v>
      </c>
      <c r="T39" s="703" t="s">
        <v>14</v>
      </c>
      <c r="U39" s="704">
        <f t="shared" si="13"/>
        <v>100</v>
      </c>
      <c r="V39" s="703" t="s">
        <v>14</v>
      </c>
      <c r="W39" s="704">
        <f t="shared" si="14"/>
        <v>100</v>
      </c>
      <c r="X39" s="1351"/>
      <c r="Y39" s="3704"/>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02"/>
      <c r="Q40" s="1348" t="str">
        <f t="shared" si="11"/>
        <v>单套建筑面积</v>
      </c>
      <c r="R40" s="703" t="s">
        <v>14</v>
      </c>
      <c r="S40" s="704">
        <f t="shared" si="12"/>
        <v>100</v>
      </c>
      <c r="T40" s="703" t="s">
        <v>14</v>
      </c>
      <c r="U40" s="704">
        <f t="shared" si="13"/>
        <v>100</v>
      </c>
      <c r="V40" s="703" t="s">
        <v>14</v>
      </c>
      <c r="W40" s="704">
        <f t="shared" si="14"/>
        <v>100</v>
      </c>
      <c r="X40" s="1351"/>
      <c r="Y40" s="3704"/>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2"/>
      <c r="Q41" s="705" t="str">
        <f t="shared" si="11"/>
        <v>进深比</v>
      </c>
      <c r="R41" s="706" t="s">
        <v>14</v>
      </c>
      <c r="S41" s="707">
        <f t="shared" si="12"/>
        <v>100</v>
      </c>
      <c r="T41" s="706" t="s">
        <v>14</v>
      </c>
      <c r="U41" s="707">
        <f t="shared" si="13"/>
        <v>100</v>
      </c>
      <c r="V41" s="706" t="s">
        <v>14</v>
      </c>
      <c r="W41" s="707">
        <f t="shared" si="14"/>
        <v>100</v>
      </c>
      <c r="X41" s="708"/>
      <c r="Y41" s="3704"/>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702"/>
      <c r="Q42" s="1348" t="str">
        <f t="shared" si="11"/>
        <v>内部装修</v>
      </c>
      <c r="R42" s="703" t="s">
        <v>14</v>
      </c>
      <c r="S42" s="704">
        <f t="shared" si="12"/>
        <v>100</v>
      </c>
      <c r="T42" s="703" t="s">
        <v>14</v>
      </c>
      <c r="U42" s="704">
        <f t="shared" si="13"/>
        <v>100</v>
      </c>
      <c r="V42" s="703" t="s">
        <v>14</v>
      </c>
      <c r="W42" s="704">
        <f t="shared" si="14"/>
        <v>100</v>
      </c>
      <c r="X42" s="1351"/>
      <c r="Y42" s="3704"/>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702"/>
      <c r="Q43" s="1348" t="str">
        <f t="shared" si="11"/>
        <v>内部装修维护情况</v>
      </c>
      <c r="R43" s="703" t="s">
        <v>14</v>
      </c>
      <c r="S43" s="704">
        <f t="shared" si="12"/>
        <v>100</v>
      </c>
      <c r="T43" s="703" t="s">
        <v>14</v>
      </c>
      <c r="U43" s="704">
        <f t="shared" si="13"/>
        <v>100</v>
      </c>
      <c r="V43" s="703" t="s">
        <v>14</v>
      </c>
      <c r="W43" s="704">
        <f t="shared" si="14"/>
        <v>100</v>
      </c>
      <c r="X43" s="1351"/>
      <c r="Y43" s="370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2"/>
      <c r="Q44" s="1339">
        <f t="shared" si="11"/>
        <v>111</v>
      </c>
      <c r="R44" s="699" t="s">
        <v>14</v>
      </c>
      <c r="S44" s="700">
        <f t="shared" si="12"/>
        <v>100</v>
      </c>
      <c r="T44" s="699" t="s">
        <v>14</v>
      </c>
      <c r="U44" s="700">
        <f t="shared" si="13"/>
        <v>100</v>
      </c>
      <c r="V44" s="699" t="s">
        <v>14</v>
      </c>
      <c r="W44" s="700">
        <f t="shared" si="14"/>
        <v>100</v>
      </c>
      <c r="X44" s="701"/>
      <c r="Y44" s="3704"/>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2"/>
      <c r="Q45" s="1348">
        <f t="shared" si="11"/>
        <v>111</v>
      </c>
      <c r="R45" s="703" t="s">
        <v>14</v>
      </c>
      <c r="S45" s="704">
        <f t="shared" si="12"/>
        <v>100</v>
      </c>
      <c r="T45" s="703" t="s">
        <v>14</v>
      </c>
      <c r="U45" s="704">
        <f t="shared" si="13"/>
        <v>100</v>
      </c>
      <c r="V45" s="703" t="s">
        <v>14</v>
      </c>
      <c r="W45" s="704">
        <f t="shared" si="14"/>
        <v>100</v>
      </c>
      <c r="X45" s="1351"/>
      <c r="Y45" s="3704"/>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3"/>
      <c r="Q46" s="1348">
        <f t="shared" si="11"/>
        <v>111</v>
      </c>
      <c r="R46" s="703" t="s">
        <v>14</v>
      </c>
      <c r="S46" s="704">
        <f t="shared" si="12"/>
        <v>100</v>
      </c>
      <c r="T46" s="703" t="s">
        <v>14</v>
      </c>
      <c r="U46" s="704">
        <f t="shared" si="13"/>
        <v>100</v>
      </c>
      <c r="V46" s="703" t="s">
        <v>14</v>
      </c>
      <c r="W46" s="704">
        <f t="shared" si="14"/>
        <v>100</v>
      </c>
      <c r="X46" s="1351"/>
      <c r="Y46" s="3705"/>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2"/>
      <c r="L47" s="2718"/>
      <c r="M47" s="2719"/>
      <c r="N47" s="2710"/>
      <c r="O47" s="2719"/>
      <c r="P47" s="3706" t="str">
        <f>A47</f>
        <v>成交单价（元/平方米）</v>
      </c>
      <c r="Q47" s="3706"/>
      <c r="R47" s="3688">
        <f>E47</f>
        <v>0</v>
      </c>
      <c r="S47" s="3688"/>
      <c r="T47" s="3688">
        <f>G47</f>
        <v>0</v>
      </c>
      <c r="U47" s="3688"/>
      <c r="V47" s="3688">
        <f>I47</f>
        <v>0</v>
      </c>
      <c r="W47" s="3688"/>
      <c r="X47" s="688"/>
      <c r="Y47" s="710"/>
      <c r="Z47" s="688"/>
      <c r="AA47" s="688"/>
      <c r="AB47" s="688"/>
      <c r="AC47" s="688"/>
    </row>
    <row r="48" spans="1:29" ht="1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 thickBot="1">
      <c r="A49" s="441" t="s">
        <v>1794</v>
      </c>
      <c r="B49" s="442"/>
      <c r="C49" s="1159" t="e">
        <f>R49</f>
        <v>#DIV/0!</v>
      </c>
      <c r="D49" s="1159"/>
      <c r="E49" s="1159"/>
      <c r="F49" s="1159"/>
      <c r="G49" s="1159"/>
      <c r="H49" s="1159"/>
      <c r="I49" s="1159"/>
      <c r="J49" s="1159"/>
      <c r="K49" s="713"/>
      <c r="L49" s="2718"/>
      <c r="M49" s="2719"/>
      <c r="N49" s="2710"/>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2.2"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4.4">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4.4"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ht="14.4">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4.4"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9.4"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4.4"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4.4"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4.4"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4.4"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4.4"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4.4"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4.4"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ht="14.4">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4.4"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4.4"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4.4"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4.4"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4.4"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4.4"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4.4"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4.4"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4.4"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4.4"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4.4"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ht="14.4">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4.4"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4.4"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4.4"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4.4"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4.4"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4.4"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4.4"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4.4"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111.43</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4.4">
      <c r="A4" s="355" t="s">
        <v>1769</v>
      </c>
      <c r="B4" s="356"/>
      <c r="C4" s="3663" t="s">
        <v>1770</v>
      </c>
      <c r="D4" s="3664"/>
      <c r="E4" s="3665" t="s">
        <v>1771</v>
      </c>
      <c r="F4" s="3666"/>
      <c r="G4" s="3663" t="s">
        <v>1772</v>
      </c>
      <c r="H4" s="3664"/>
      <c r="I4" s="3663" t="s">
        <v>1773</v>
      </c>
      <c r="J4" s="3664"/>
      <c r="K4" s="559" t="s">
        <v>1774</v>
      </c>
      <c r="L4" s="909"/>
      <c r="M4" s="910"/>
      <c r="N4" s="910"/>
      <c r="O4" s="9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c r="A5" s="358"/>
      <c r="B5" s="359"/>
      <c r="C5" s="3744" t="s">
        <v>1673</v>
      </c>
      <c r="D5" s="3678"/>
      <c r="E5" s="3743" t="s">
        <v>1674</v>
      </c>
      <c r="F5" s="3680"/>
      <c r="G5" s="3744" t="s">
        <v>1675</v>
      </c>
      <c r="H5" s="3678"/>
      <c r="I5" s="3744" t="s">
        <v>1676</v>
      </c>
      <c r="J5" s="3678"/>
      <c r="K5" s="559"/>
      <c r="L5" s="909"/>
      <c r="M5" s="910"/>
      <c r="N5" s="910"/>
      <c r="O5" s="910"/>
      <c r="P5" s="3747"/>
      <c r="Q5" s="3670"/>
      <c r="R5" s="3675"/>
      <c r="S5" s="3676"/>
      <c r="T5" s="3675"/>
      <c r="U5" s="3676"/>
      <c r="V5" s="3688"/>
      <c r="W5" s="3688"/>
      <c r="X5" s="1351"/>
      <c r="Y5" s="3675"/>
      <c r="Z5" s="3676"/>
      <c r="AA5" s="3690"/>
      <c r="AB5" s="3690"/>
      <c r="AC5" s="3690"/>
    </row>
    <row r="6" spans="1:29" ht="15" thickBot="1">
      <c r="A6" s="360"/>
      <c r="B6" s="361"/>
      <c r="C6" s="3681" t="s">
        <v>1677</v>
      </c>
      <c r="D6" s="3682"/>
      <c r="E6" s="3683" t="s">
        <v>1677</v>
      </c>
      <c r="F6" s="3684"/>
      <c r="G6" s="3681" t="s">
        <v>1677</v>
      </c>
      <c r="H6" s="3682"/>
      <c r="I6" s="3681" t="s">
        <v>1677</v>
      </c>
      <c r="J6" s="3682"/>
      <c r="K6" s="559" t="s">
        <v>1678</v>
      </c>
      <c r="L6" s="909"/>
      <c r="M6" s="910"/>
      <c r="N6" s="910"/>
      <c r="O6" s="9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95" t="s">
        <v>1683</v>
      </c>
      <c r="Q8" s="3694"/>
      <c r="R8" s="699" t="s">
        <v>14</v>
      </c>
      <c r="S8" s="700">
        <f t="shared" si="0"/>
        <v>100</v>
      </c>
      <c r="T8" s="699" t="s">
        <v>14</v>
      </c>
      <c r="U8" s="700">
        <f t="shared" si="1"/>
        <v>100</v>
      </c>
      <c r="V8" s="699" t="s">
        <v>14</v>
      </c>
      <c r="W8" s="700">
        <f t="shared" si="2"/>
        <v>100</v>
      </c>
      <c r="X8" s="701"/>
      <c r="Y8" s="3695" t="s">
        <v>1683</v>
      </c>
      <c r="Z8" s="3694"/>
      <c r="AA8" s="702">
        <f t="shared" ref="AA8:AA40" si="3">D8/F8</f>
        <v>1</v>
      </c>
      <c r="AB8" s="702">
        <f t="shared" ref="AB8:AB40" si="4">D8/H8</f>
        <v>1</v>
      </c>
      <c r="AC8" s="702">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06"/>
      <c r="Q11" s="1339" t="str">
        <f t="shared" si="6"/>
        <v>容积率</v>
      </c>
      <c r="R11" s="699" t="s">
        <v>14</v>
      </c>
      <c r="S11" s="700">
        <f t="shared" si="0"/>
        <v>100</v>
      </c>
      <c r="T11" s="699" t="s">
        <v>14</v>
      </c>
      <c r="U11" s="700">
        <f t="shared" si="1"/>
        <v>100</v>
      </c>
      <c r="V11" s="699" t="s">
        <v>14</v>
      </c>
      <c r="W11" s="700">
        <f t="shared" si="2"/>
        <v>100</v>
      </c>
      <c r="X11" s="701"/>
      <c r="Y11" s="3636"/>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6"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69">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00"/>
      <c r="Q16" s="1348"/>
      <c r="R16" s="703"/>
      <c r="S16" s="704"/>
      <c r="T16" s="703"/>
      <c r="U16" s="704"/>
      <c r="V16" s="703"/>
      <c r="W16" s="704"/>
      <c r="X16" s="1351"/>
      <c r="Y16" s="3700"/>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00"/>
      <c r="Q18" s="1348"/>
      <c r="R18" s="703"/>
      <c r="S18" s="704"/>
      <c r="T18" s="703"/>
      <c r="U18" s="704"/>
      <c r="V18" s="703"/>
      <c r="W18" s="704"/>
      <c r="X18" s="1351"/>
      <c r="Y18" s="3700"/>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00"/>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00"/>
      <c r="Q20" s="1348"/>
      <c r="R20" s="703"/>
      <c r="S20" s="704"/>
      <c r="T20" s="703"/>
      <c r="U20" s="704"/>
      <c r="V20" s="703"/>
      <c r="W20" s="704"/>
      <c r="X20" s="1351"/>
      <c r="Y20" s="3700"/>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00"/>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00"/>
      <c r="Q22" s="1348"/>
      <c r="R22" s="703"/>
      <c r="S22" s="704"/>
      <c r="T22" s="703"/>
      <c r="U22" s="704"/>
      <c r="V22" s="703"/>
      <c r="W22" s="704"/>
      <c r="X22" s="1351"/>
      <c r="Y22" s="3700"/>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00"/>
      <c r="Q23" s="1348" t="str">
        <f>B23</f>
        <v>环境质量</v>
      </c>
      <c r="R23" s="703" t="s">
        <v>14</v>
      </c>
      <c r="S23" s="704">
        <f>F23</f>
        <v>100</v>
      </c>
      <c r="T23" s="703" t="s">
        <v>14</v>
      </c>
      <c r="U23" s="704">
        <f>H23</f>
        <v>100</v>
      </c>
      <c r="V23" s="703" t="s">
        <v>14</v>
      </c>
      <c r="W23" s="704">
        <f>J23</f>
        <v>100</v>
      </c>
      <c r="X23" s="1351"/>
      <c r="Y23" s="370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00"/>
      <c r="Q24" s="1348"/>
      <c r="R24" s="703"/>
      <c r="S24" s="704"/>
      <c r="T24" s="703"/>
      <c r="U24" s="704"/>
      <c r="V24" s="703"/>
      <c r="W24" s="704"/>
      <c r="X24" s="1351"/>
      <c r="Y24" s="370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00"/>
      <c r="Q25" s="1348">
        <f>B25</f>
        <v>111</v>
      </c>
      <c r="R25" s="703" t="s">
        <v>14</v>
      </c>
      <c r="S25" s="704">
        <f>F25</f>
        <v>100</v>
      </c>
      <c r="T25" s="703" t="s">
        <v>14</v>
      </c>
      <c r="U25" s="704">
        <f>H25</f>
        <v>100</v>
      </c>
      <c r="V25" s="703" t="s">
        <v>14</v>
      </c>
      <c r="W25" s="704">
        <f>J25</f>
        <v>100</v>
      </c>
      <c r="X25" s="1351"/>
      <c r="Y25" s="370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00"/>
      <c r="Q26" s="1348">
        <f t="shared" ref="Q26:Q40" si="11">B26</f>
        <v>111</v>
      </c>
      <c r="R26" s="703" t="s">
        <v>14</v>
      </c>
      <c r="S26" s="704">
        <f>F26</f>
        <v>100</v>
      </c>
      <c r="T26" s="703" t="s">
        <v>14</v>
      </c>
      <c r="U26" s="704">
        <f>H26</f>
        <v>100</v>
      </c>
      <c r="V26" s="703" t="s">
        <v>14</v>
      </c>
      <c r="W26" s="704">
        <f>J26</f>
        <v>100</v>
      </c>
      <c r="X26" s="1351"/>
      <c r="Y26" s="370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00"/>
      <c r="Q27" s="1339">
        <f t="shared" si="11"/>
        <v>111</v>
      </c>
      <c r="R27" s="699" t="s">
        <v>14</v>
      </c>
      <c r="S27" s="700">
        <f>F27</f>
        <v>100</v>
      </c>
      <c r="T27" s="699" t="s">
        <v>14</v>
      </c>
      <c r="U27" s="700">
        <f>H27</f>
        <v>100</v>
      </c>
      <c r="V27" s="699" t="s">
        <v>14</v>
      </c>
      <c r="W27" s="700">
        <f>J27</f>
        <v>100</v>
      </c>
      <c r="X27" s="701"/>
      <c r="Y27" s="3700"/>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00"/>
      <c r="Q28" s="1348">
        <f t="shared" si="11"/>
        <v>111</v>
      </c>
      <c r="R28" s="703" t="s">
        <v>14</v>
      </c>
      <c r="S28" s="704">
        <f t="shared" ref="S28:S40" si="12">F28</f>
        <v>100</v>
      </c>
      <c r="T28" s="703" t="s">
        <v>14</v>
      </c>
      <c r="U28" s="704">
        <f t="shared" ref="U28:U40" si="13">H28</f>
        <v>100</v>
      </c>
      <c r="V28" s="703" t="s">
        <v>14</v>
      </c>
      <c r="W28" s="704">
        <f t="shared" ref="W28:W40" si="14">J28</f>
        <v>100</v>
      </c>
      <c r="X28" s="1351"/>
      <c r="Y28" s="3700"/>
      <c r="Z28" s="1352">
        <f t="shared" ref="Z28:Z40" si="15">Q28</f>
        <v>111</v>
      </c>
      <c r="AA28" s="1349">
        <f t="shared" si="3"/>
        <v>1</v>
      </c>
      <c r="AB28" s="1349">
        <f t="shared" si="4"/>
        <v>1</v>
      </c>
      <c r="AC28" s="1349">
        <f t="shared" si="5"/>
        <v>1</v>
      </c>
    </row>
    <row r="29" spans="1:29" ht="30">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704"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04"/>
      <c r="Q30" s="705" t="str">
        <f t="shared" si="11"/>
        <v>项目建筑规模</v>
      </c>
      <c r="R30" s="706" t="s">
        <v>14</v>
      </c>
      <c r="S30" s="707" t="e">
        <f t="shared" si="12"/>
        <v>#N/A</v>
      </c>
      <c r="T30" s="706" t="s">
        <v>14</v>
      </c>
      <c r="U30" s="707" t="e">
        <f t="shared" si="13"/>
        <v>#N/A</v>
      </c>
      <c r="V30" s="706" t="s">
        <v>14</v>
      </c>
      <c r="W30" s="707" t="e">
        <f t="shared" si="14"/>
        <v>#N/A</v>
      </c>
      <c r="X30" s="708"/>
      <c r="Y30" s="3704"/>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04"/>
      <c r="Q31" s="1348" t="str">
        <f t="shared" si="11"/>
        <v>建筑结构</v>
      </c>
      <c r="R31" s="703" t="s">
        <v>14</v>
      </c>
      <c r="S31" s="704">
        <f t="shared" si="12"/>
        <v>100</v>
      </c>
      <c r="T31" s="703" t="s">
        <v>14</v>
      </c>
      <c r="U31" s="704">
        <f t="shared" si="13"/>
        <v>100</v>
      </c>
      <c r="V31" s="703" t="s">
        <v>14</v>
      </c>
      <c r="W31" s="704">
        <f t="shared" si="14"/>
        <v>100</v>
      </c>
      <c r="X31" s="1351"/>
      <c r="Y31" s="3704"/>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04"/>
      <c r="Q32" s="1348" t="str">
        <f t="shared" si="11"/>
        <v>公共部分装修</v>
      </c>
      <c r="R32" s="703" t="s">
        <v>14</v>
      </c>
      <c r="S32" s="704">
        <f t="shared" si="12"/>
        <v>100</v>
      </c>
      <c r="T32" s="703" t="s">
        <v>14</v>
      </c>
      <c r="U32" s="704">
        <f t="shared" si="13"/>
        <v>100</v>
      </c>
      <c r="V32" s="703" t="s">
        <v>14</v>
      </c>
      <c r="W32" s="704">
        <f t="shared" si="14"/>
        <v>100</v>
      </c>
      <c r="X32" s="1351"/>
      <c r="Y32" s="3704"/>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04"/>
      <c r="Q33" s="1348" t="str">
        <f t="shared" si="11"/>
        <v>成新度</v>
      </c>
      <c r="R33" s="703" t="s">
        <v>14</v>
      </c>
      <c r="S33" s="704" t="e">
        <f t="shared" si="12"/>
        <v>#N/A</v>
      </c>
      <c r="T33" s="703" t="s">
        <v>14</v>
      </c>
      <c r="U33" s="704" t="e">
        <f t="shared" si="13"/>
        <v>#N/A</v>
      </c>
      <c r="V33" s="703" t="s">
        <v>14</v>
      </c>
      <c r="W33" s="704" t="e">
        <f t="shared" si="14"/>
        <v>#N/A</v>
      </c>
      <c r="X33" s="1351"/>
      <c r="Y33" s="3704"/>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04"/>
      <c r="Q34" s="1339" t="str">
        <f t="shared" si="11"/>
        <v>物业管理</v>
      </c>
      <c r="R34" s="699" t="s">
        <v>14</v>
      </c>
      <c r="S34" s="700">
        <f t="shared" si="12"/>
        <v>100</v>
      </c>
      <c r="T34" s="699" t="s">
        <v>14</v>
      </c>
      <c r="U34" s="700">
        <f t="shared" si="13"/>
        <v>100</v>
      </c>
      <c r="V34" s="699" t="s">
        <v>14</v>
      </c>
      <c r="W34" s="700">
        <f t="shared" si="14"/>
        <v>100</v>
      </c>
      <c r="X34" s="701"/>
      <c r="Y34" s="370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04" t="s">
        <v>1696</v>
      </c>
      <c r="Q35" s="1348" t="str">
        <f t="shared" si="11"/>
        <v>市政基础设施</v>
      </c>
      <c r="R35" s="703" t="s">
        <v>14</v>
      </c>
      <c r="S35" s="704">
        <f t="shared" si="12"/>
        <v>100</v>
      </c>
      <c r="T35" s="703" t="s">
        <v>14</v>
      </c>
      <c r="U35" s="704">
        <f t="shared" si="13"/>
        <v>100</v>
      </c>
      <c r="V35" s="703" t="s">
        <v>14</v>
      </c>
      <c r="W35" s="704">
        <f t="shared" si="14"/>
        <v>100</v>
      </c>
      <c r="X35" s="1351"/>
      <c r="Y35" s="3704"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04"/>
      <c r="Q36" s="1348" t="str">
        <f t="shared" si="11"/>
        <v>内部装修</v>
      </c>
      <c r="R36" s="703" t="s">
        <v>14</v>
      </c>
      <c r="S36" s="704">
        <f t="shared" si="12"/>
        <v>100</v>
      </c>
      <c r="T36" s="703" t="s">
        <v>14</v>
      </c>
      <c r="U36" s="704">
        <f t="shared" si="13"/>
        <v>100</v>
      </c>
      <c r="V36" s="703" t="s">
        <v>14</v>
      </c>
      <c r="W36" s="704">
        <f t="shared" si="14"/>
        <v>100</v>
      </c>
      <c r="X36" s="1351"/>
      <c r="Y36" s="3704"/>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04"/>
      <c r="Q37" s="1348" t="str">
        <f t="shared" si="11"/>
        <v>内部装修状况</v>
      </c>
      <c r="R37" s="703" t="s">
        <v>14</v>
      </c>
      <c r="S37" s="704">
        <f t="shared" si="12"/>
        <v>100</v>
      </c>
      <c r="T37" s="703" t="s">
        <v>14</v>
      </c>
      <c r="U37" s="704">
        <f t="shared" si="13"/>
        <v>100</v>
      </c>
      <c r="V37" s="703" t="s">
        <v>14</v>
      </c>
      <c r="W37" s="704">
        <f t="shared" si="14"/>
        <v>100</v>
      </c>
      <c r="X37" s="1351"/>
      <c r="Y37" s="370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04"/>
      <c r="Q38" s="705">
        <f t="shared" si="11"/>
        <v>111</v>
      </c>
      <c r="R38" s="706" t="s">
        <v>14</v>
      </c>
      <c r="S38" s="707">
        <f t="shared" si="12"/>
        <v>100</v>
      </c>
      <c r="T38" s="706" t="s">
        <v>14</v>
      </c>
      <c r="U38" s="707">
        <f t="shared" si="13"/>
        <v>100</v>
      </c>
      <c r="V38" s="706" t="s">
        <v>14</v>
      </c>
      <c r="W38" s="707">
        <f t="shared" si="14"/>
        <v>100</v>
      </c>
      <c r="X38" s="708"/>
      <c r="Y38" s="3704"/>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04"/>
      <c r="Q39" s="1348">
        <f t="shared" si="11"/>
        <v>111</v>
      </c>
      <c r="R39" s="703" t="s">
        <v>14</v>
      </c>
      <c r="S39" s="704">
        <f t="shared" si="12"/>
        <v>100</v>
      </c>
      <c r="T39" s="703" t="s">
        <v>14</v>
      </c>
      <c r="U39" s="704">
        <f t="shared" si="13"/>
        <v>100</v>
      </c>
      <c r="V39" s="703" t="s">
        <v>14</v>
      </c>
      <c r="W39" s="704">
        <f t="shared" si="14"/>
        <v>100</v>
      </c>
      <c r="X39" s="1351"/>
      <c r="Y39" s="3704"/>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05"/>
      <c r="Q40" s="1348">
        <f t="shared" si="11"/>
        <v>111</v>
      </c>
      <c r="R40" s="703" t="s">
        <v>14</v>
      </c>
      <c r="S40" s="704">
        <f t="shared" si="12"/>
        <v>100</v>
      </c>
      <c r="T40" s="703" t="s">
        <v>14</v>
      </c>
      <c r="U40" s="704">
        <f t="shared" si="13"/>
        <v>100</v>
      </c>
      <c r="V40" s="703" t="s">
        <v>14</v>
      </c>
      <c r="W40" s="704">
        <f t="shared" si="14"/>
        <v>100</v>
      </c>
      <c r="X40" s="1351"/>
      <c r="Y40" s="3705"/>
      <c r="Z40" s="1352">
        <f t="shared" si="15"/>
        <v>111</v>
      </c>
      <c r="AA40" s="1349">
        <f t="shared" si="3"/>
        <v>1</v>
      </c>
      <c r="AB40" s="1349">
        <f t="shared" si="4"/>
        <v>1</v>
      </c>
      <c r="AC40" s="1349">
        <f t="shared" si="5"/>
        <v>1</v>
      </c>
    </row>
    <row r="41" spans="1:29" ht="14.4">
      <c r="A41" s="430" t="s">
        <v>1708</v>
      </c>
      <c r="B41" s="431"/>
      <c r="C41" s="1150" t="s">
        <v>0</v>
      </c>
      <c r="D41" s="1151"/>
      <c r="E41" s="1152"/>
      <c r="F41" s="1153"/>
      <c r="G41" s="1154"/>
      <c r="H41" s="1155"/>
      <c r="I41" s="1152"/>
      <c r="J41" s="1155"/>
      <c r="K41" s="712"/>
      <c r="L41" s="922"/>
      <c r="M41" s="923"/>
      <c r="N41" s="910"/>
      <c r="O41" s="923"/>
      <c r="P41" s="3706" t="str">
        <f>A41</f>
        <v>成交单价（元/平方米）</v>
      </c>
      <c r="Q41" s="3706"/>
      <c r="R41" s="3707">
        <f>E41</f>
        <v>0</v>
      </c>
      <c r="S41" s="3707"/>
      <c r="T41" s="3707">
        <f>G41</f>
        <v>0</v>
      </c>
      <c r="U41" s="3707"/>
      <c r="V41" s="3707">
        <f>I41</f>
        <v>0</v>
      </c>
      <c r="W41" s="3707"/>
      <c r="X41" s="688"/>
      <c r="Y41" s="710"/>
      <c r="Z41" s="688"/>
      <c r="AA41" s="688"/>
      <c r="AB41" s="688"/>
      <c r="AC41" s="688"/>
    </row>
    <row r="42" spans="1:29" ht="1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8"/>
      <c r="Y42" s="688"/>
      <c r="Z42" s="688"/>
      <c r="AA42" s="688"/>
      <c r="AB42" s="688"/>
      <c r="AC42" s="688"/>
    </row>
    <row r="43" spans="1:29" ht="15" thickBot="1">
      <c r="A43" s="441" t="s">
        <v>1794</v>
      </c>
      <c r="B43" s="442"/>
      <c r="C43" s="1159" t="e">
        <f>R43</f>
        <v>#DIV/0!</v>
      </c>
      <c r="D43" s="1159"/>
      <c r="E43" s="1159"/>
      <c r="F43" s="1159"/>
      <c r="G43" s="1159"/>
      <c r="H43" s="1159"/>
      <c r="I43" s="1159"/>
      <c r="J43" s="1159"/>
      <c r="K43" s="713"/>
      <c r="L43" s="922"/>
      <c r="M43" s="923"/>
      <c r="N43" s="923"/>
      <c r="O43" s="923"/>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2.2" thickBot="1">
      <c r="A51" s="692" t="s">
        <v>1798</v>
      </c>
      <c r="B51" s="688"/>
      <c r="C51" s="693"/>
      <c r="D51" s="693"/>
      <c r="E51" s="693"/>
      <c r="F51" s="694"/>
      <c r="G51" s="694"/>
      <c r="H51" s="693"/>
      <c r="I51" s="693"/>
      <c r="J51" s="693"/>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4"/>
      <c r="O54" s="2765"/>
      <c r="P54" s="453"/>
      <c r="Q54" s="453"/>
    </row>
    <row r="55" spans="1:17" s="108" customFormat="1" ht="14.4">
      <c r="A55" s="470" t="s">
        <v>1681</v>
      </c>
      <c r="B55" s="459"/>
      <c r="C55" s="471" t="s">
        <v>1776</v>
      </c>
      <c r="D55" s="472"/>
      <c r="E55" s="472"/>
      <c r="F55" s="472"/>
      <c r="G55" s="472"/>
      <c r="H55" s="472"/>
      <c r="I55" s="472"/>
      <c r="J55" s="472"/>
      <c r="K55" s="472"/>
      <c r="L55" s="473"/>
      <c r="M55" s="474"/>
      <c r="N55" s="928"/>
      <c r="O55" s="928"/>
      <c r="P55" s="475"/>
      <c r="Q55" s="453"/>
    </row>
    <row r="56" spans="1:17" s="108" customFormat="1" ht="14.4" thickBot="1">
      <c r="A56" s="470"/>
      <c r="B56" s="459"/>
      <c r="C56" s="587">
        <v>100</v>
      </c>
      <c r="D56" s="461"/>
      <c r="E56" s="461"/>
      <c r="F56" s="461"/>
      <c r="G56" s="461"/>
      <c r="H56" s="461"/>
      <c r="I56" s="461"/>
      <c r="J56" s="461"/>
      <c r="K56" s="461"/>
      <c r="L56" s="461"/>
      <c r="M56" s="463"/>
      <c r="N56" s="928"/>
      <c r="O56" s="928"/>
      <c r="P56" s="453"/>
      <c r="Q56" s="453"/>
    </row>
    <row r="57" spans="1:17" ht="14.4">
      <c r="A57" s="476" t="s">
        <v>1719</v>
      </c>
      <c r="B57" s="477" t="s">
        <v>1685</v>
      </c>
      <c r="C57" s="478">
        <f>C9</f>
        <v>0</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479"/>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4.4"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4.4"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4.4" thickBot="1">
      <c r="A109" s="502"/>
      <c r="B109" s="484"/>
      <c r="C109" s="509"/>
      <c r="D109" s="485"/>
      <c r="E109" s="485"/>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6" si="3">D8/F8</f>
        <v>1</v>
      </c>
      <c r="AB8" s="702">
        <f t="shared" ref="AB8:AB36" si="4">D8/H8</f>
        <v>1</v>
      </c>
      <c r="AC8" s="702">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8.8">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96.6">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700"/>
      <c r="Q15" s="1348"/>
      <c r="R15" s="703"/>
      <c r="S15" s="704"/>
      <c r="T15" s="703"/>
      <c r="U15" s="704"/>
      <c r="V15" s="703"/>
      <c r="W15" s="704"/>
      <c r="X15" s="1351"/>
      <c r="Y15" s="3700"/>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700"/>
      <c r="Q17" s="1348"/>
      <c r="R17" s="703"/>
      <c r="S17" s="704"/>
      <c r="T17" s="703"/>
      <c r="U17" s="704"/>
      <c r="V17" s="703"/>
      <c r="W17" s="704"/>
      <c r="X17" s="1351"/>
      <c r="Y17" s="3700"/>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700"/>
      <c r="Q19" s="1348"/>
      <c r="R19" s="703"/>
      <c r="S19" s="704"/>
      <c r="T19" s="703"/>
      <c r="U19" s="704"/>
      <c r="V19" s="703"/>
      <c r="W19" s="704"/>
      <c r="X19" s="1351"/>
      <c r="Y19" s="3700"/>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700"/>
      <c r="Q21" s="1348"/>
      <c r="R21" s="703"/>
      <c r="S21" s="704"/>
      <c r="T21" s="703"/>
      <c r="U21" s="704"/>
      <c r="V21" s="703"/>
      <c r="W21" s="704"/>
      <c r="X21" s="1351"/>
      <c r="Y21" s="3700"/>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00"/>
      <c r="Q24" s="1348">
        <f t="shared" ref="Q24:Q36"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30">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04"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04"/>
      <c r="Q27" s="705" t="str">
        <f t="shared" si="11"/>
        <v>项目停车位配比</v>
      </c>
      <c r="R27" s="706" t="s">
        <v>14</v>
      </c>
      <c r="S27" s="707">
        <f t="shared" si="12"/>
        <v>100</v>
      </c>
      <c r="T27" s="706" t="s">
        <v>14</v>
      </c>
      <c r="U27" s="707">
        <f t="shared" si="13"/>
        <v>100</v>
      </c>
      <c r="V27" s="706" t="s">
        <v>14</v>
      </c>
      <c r="W27" s="707">
        <f t="shared" si="14"/>
        <v>100</v>
      </c>
      <c r="X27" s="708"/>
      <c r="Y27" s="3704"/>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4"/>
      <c r="Q28" s="1348" t="str">
        <f t="shared" si="11"/>
        <v>公共部分装修</v>
      </c>
      <c r="R28" s="703" t="s">
        <v>14</v>
      </c>
      <c r="S28" s="704">
        <f t="shared" si="12"/>
        <v>100</v>
      </c>
      <c r="T28" s="703" t="s">
        <v>14</v>
      </c>
      <c r="U28" s="704">
        <f t="shared" si="13"/>
        <v>100</v>
      </c>
      <c r="V28" s="703" t="s">
        <v>14</v>
      </c>
      <c r="W28" s="704">
        <f t="shared" si="14"/>
        <v>100</v>
      </c>
      <c r="X28" s="1351"/>
      <c r="Y28" s="3704"/>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4"/>
      <c r="Q29" s="1348" t="str">
        <f t="shared" si="11"/>
        <v>成新率</v>
      </c>
      <c r="R29" s="703" t="s">
        <v>14</v>
      </c>
      <c r="S29" s="704" t="e">
        <f t="shared" si="12"/>
        <v>#N/A</v>
      </c>
      <c r="T29" s="703" t="s">
        <v>14</v>
      </c>
      <c r="U29" s="704" t="e">
        <f t="shared" si="13"/>
        <v>#N/A</v>
      </c>
      <c r="V29" s="703" t="s">
        <v>14</v>
      </c>
      <c r="W29" s="704" t="e">
        <f t="shared" si="14"/>
        <v>#N/A</v>
      </c>
      <c r="X29" s="1351"/>
      <c r="Y29" s="3704"/>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04"/>
      <c r="Q30" s="1348" t="str">
        <f t="shared" si="11"/>
        <v>物业等级</v>
      </c>
      <c r="R30" s="703" t="s">
        <v>14</v>
      </c>
      <c r="S30" s="704">
        <f t="shared" si="12"/>
        <v>100</v>
      </c>
      <c r="T30" s="703" t="s">
        <v>14</v>
      </c>
      <c r="U30" s="704">
        <f t="shared" si="13"/>
        <v>100</v>
      </c>
      <c r="V30" s="703" t="s">
        <v>14</v>
      </c>
      <c r="W30" s="704">
        <f t="shared" si="14"/>
        <v>100</v>
      </c>
      <c r="X30" s="1351"/>
      <c r="Y30" s="3704"/>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4"/>
      <c r="Q31" s="1339" t="str">
        <f t="shared" si="11"/>
        <v>停车位面积</v>
      </c>
      <c r="R31" s="699" t="s">
        <v>14</v>
      </c>
      <c r="S31" s="700" t="e">
        <f t="shared" si="12"/>
        <v>#N/A</v>
      </c>
      <c r="T31" s="699" t="s">
        <v>14</v>
      </c>
      <c r="U31" s="700" t="e">
        <f t="shared" si="13"/>
        <v>#N/A</v>
      </c>
      <c r="V31" s="699" t="s">
        <v>14</v>
      </c>
      <c r="W31" s="700" t="e">
        <f t="shared" si="14"/>
        <v>#N/A</v>
      </c>
      <c r="X31" s="701"/>
      <c r="Y31" s="370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4" t="s">
        <v>1696</v>
      </c>
      <c r="Q32" s="1348" t="str">
        <f t="shared" si="11"/>
        <v>车位类型</v>
      </c>
      <c r="R32" s="703" t="s">
        <v>14</v>
      </c>
      <c r="S32" s="704">
        <f t="shared" si="12"/>
        <v>100</v>
      </c>
      <c r="T32" s="703" t="s">
        <v>14</v>
      </c>
      <c r="U32" s="704">
        <f t="shared" si="13"/>
        <v>100</v>
      </c>
      <c r="V32" s="703" t="s">
        <v>14</v>
      </c>
      <c r="W32" s="704">
        <f t="shared" si="14"/>
        <v>100</v>
      </c>
      <c r="X32" s="1351"/>
      <c r="Y32" s="3704"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4"/>
      <c r="Q33" s="1348" t="str">
        <f t="shared" si="11"/>
        <v>是否直接入户</v>
      </c>
      <c r="R33" s="703" t="s">
        <v>14</v>
      </c>
      <c r="S33" s="704">
        <f t="shared" si="12"/>
        <v>100</v>
      </c>
      <c r="T33" s="703" t="s">
        <v>14</v>
      </c>
      <c r="U33" s="704">
        <f t="shared" si="13"/>
        <v>100</v>
      </c>
      <c r="V33" s="703" t="s">
        <v>14</v>
      </c>
      <c r="W33" s="704">
        <f t="shared" si="14"/>
        <v>100</v>
      </c>
      <c r="X33" s="1351"/>
      <c r="Y33" s="370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4"/>
      <c r="Q35" s="705">
        <f t="shared" si="11"/>
        <v>111</v>
      </c>
      <c r="R35" s="706" t="s">
        <v>14</v>
      </c>
      <c r="S35" s="707">
        <f t="shared" si="12"/>
        <v>100</v>
      </c>
      <c r="T35" s="706" t="s">
        <v>14</v>
      </c>
      <c r="U35" s="707">
        <f t="shared" si="13"/>
        <v>100</v>
      </c>
      <c r="V35" s="706" t="s">
        <v>14</v>
      </c>
      <c r="W35" s="707">
        <f t="shared" si="14"/>
        <v>100</v>
      </c>
      <c r="X35" s="708"/>
      <c r="Y35" s="3704"/>
      <c r="Z35" s="709">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4"/>
      <c r="Q36" s="1348">
        <f t="shared" si="11"/>
        <v>111</v>
      </c>
      <c r="R36" s="703" t="s">
        <v>14</v>
      </c>
      <c r="S36" s="704">
        <f t="shared" si="12"/>
        <v>100</v>
      </c>
      <c r="T36" s="703" t="s">
        <v>14</v>
      </c>
      <c r="U36" s="704">
        <f t="shared" si="13"/>
        <v>100</v>
      </c>
      <c r="V36" s="703" t="s">
        <v>14</v>
      </c>
      <c r="W36" s="704">
        <f t="shared" si="14"/>
        <v>100</v>
      </c>
      <c r="X36" s="1351"/>
      <c r="Y36" s="3704"/>
      <c r="Z36" s="1352">
        <f t="shared" si="15"/>
        <v>111</v>
      </c>
      <c r="AA36" s="1349">
        <f t="shared" si="3"/>
        <v>1</v>
      </c>
      <c r="AB36" s="1349">
        <f t="shared" si="4"/>
        <v>1</v>
      </c>
      <c r="AC36" s="1349">
        <f t="shared" si="5"/>
        <v>1</v>
      </c>
    </row>
    <row r="37" spans="1:29" ht="14.4">
      <c r="A37" s="430" t="s">
        <v>1844</v>
      </c>
      <c r="B37" s="1968" t="s">
        <v>3358</v>
      </c>
      <c r="C37" s="1150" t="s">
        <v>0</v>
      </c>
      <c r="D37" s="1151"/>
      <c r="E37" s="1152"/>
      <c r="F37" s="1153"/>
      <c r="G37" s="1154"/>
      <c r="H37" s="1155"/>
      <c r="I37" s="1152"/>
      <c r="J37" s="1155"/>
      <c r="K37" s="568"/>
      <c r="L37" s="2718"/>
      <c r="M37" s="2719"/>
      <c r="N37" s="2710"/>
      <c r="O37" s="2719"/>
      <c r="P37" s="3706" t="str">
        <f>A37</f>
        <v>成交单价</v>
      </c>
      <c r="Q37" s="3706"/>
      <c r="R37" s="3707">
        <f>E37</f>
        <v>0</v>
      </c>
      <c r="S37" s="3707"/>
      <c r="T37" s="3707">
        <f>G37</f>
        <v>0</v>
      </c>
      <c r="U37" s="3707"/>
      <c r="V37" s="3707">
        <f>I37</f>
        <v>0</v>
      </c>
      <c r="W37" s="3707"/>
      <c r="X37" s="688"/>
      <c r="Y37" s="710"/>
      <c r="Z37" s="688"/>
      <c r="AA37" s="688"/>
      <c r="AB37" s="688"/>
      <c r="AC37" s="688"/>
    </row>
    <row r="38" spans="1:29" ht="1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8"/>
      <c r="Y38" s="688"/>
      <c r="Z38" s="688"/>
      <c r="AA38" s="688"/>
      <c r="AB38" s="688"/>
      <c r="AC38" s="688"/>
    </row>
    <row r="39" spans="1:29" ht="15" thickBot="1">
      <c r="A39" s="441" t="s">
        <v>1846</v>
      </c>
      <c r="B39" s="442"/>
      <c r="C39" s="1159" t="e">
        <f>R39</f>
        <v>#DIV/0!</v>
      </c>
      <c r="D39" s="1159"/>
      <c r="E39" s="1159"/>
      <c r="F39" s="1159"/>
      <c r="G39" s="1159"/>
      <c r="H39" s="1159"/>
      <c r="I39" s="1159"/>
      <c r="J39" s="1159"/>
      <c r="K39" s="569"/>
      <c r="L39" s="2718"/>
      <c r="M39" s="2719"/>
      <c r="N39" s="2719"/>
      <c r="O39" s="2719"/>
      <c r="P39" s="3749" t="str">
        <f>A39</f>
        <v>估价对象XX用房的比较价值（楼面单价，元/平方米）</v>
      </c>
      <c r="Q39" s="3750"/>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2.2"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4.4">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4.4"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ht="14.4">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4.4"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9.4"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4.4"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4.4"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4.4"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4.4"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4.4"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4.4"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4.4"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4.4"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4.4"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4.4"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4.4"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4.4"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4.4"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9.4"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4.4"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4.4"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4.4"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4.4"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4.4"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4.4"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4.4"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8.8">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6"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96.6">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700"/>
      <c r="Q15" s="1348"/>
      <c r="R15" s="703"/>
      <c r="S15" s="704"/>
      <c r="T15" s="703"/>
      <c r="U15" s="704"/>
      <c r="V15" s="703"/>
      <c r="W15" s="704"/>
      <c r="X15" s="1351"/>
      <c r="Y15" s="3700"/>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700"/>
      <c r="Q17" s="1348"/>
      <c r="R17" s="703"/>
      <c r="S17" s="704"/>
      <c r="T17" s="703"/>
      <c r="U17" s="704"/>
      <c r="V17" s="703"/>
      <c r="W17" s="704"/>
      <c r="X17" s="1351"/>
      <c r="Y17" s="3700"/>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700"/>
      <c r="Q19" s="1348"/>
      <c r="R19" s="703"/>
      <c r="S19" s="704"/>
      <c r="T19" s="703"/>
      <c r="U19" s="704"/>
      <c r="V19" s="703"/>
      <c r="W19" s="704"/>
      <c r="X19" s="1351"/>
      <c r="Y19" s="3700"/>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700"/>
      <c r="Q21" s="1348"/>
      <c r="R21" s="703"/>
      <c r="S21" s="704"/>
      <c r="T21" s="703"/>
      <c r="U21" s="704"/>
      <c r="V21" s="703"/>
      <c r="W21" s="704"/>
      <c r="X21" s="1351"/>
      <c r="Y21" s="3700"/>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00"/>
      <c r="Q24" s="1348">
        <f t="shared" ref="Q24:Q34"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6"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30">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04"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4"/>
      <c r="Q27" s="705" t="str">
        <f t="shared" si="11"/>
        <v>成新率</v>
      </c>
      <c r="R27" s="706" t="s">
        <v>14</v>
      </c>
      <c r="S27" s="707" t="e">
        <f t="shared" si="12"/>
        <v>#N/A</v>
      </c>
      <c r="T27" s="706" t="s">
        <v>14</v>
      </c>
      <c r="U27" s="707" t="e">
        <f t="shared" si="13"/>
        <v>#N/A</v>
      </c>
      <c r="V27" s="706" t="s">
        <v>14</v>
      </c>
      <c r="W27" s="707" t="e">
        <f t="shared" si="14"/>
        <v>#N/A</v>
      </c>
      <c r="X27" s="708"/>
      <c r="Y27" s="3704"/>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4"/>
      <c r="Q28" s="1348" t="str">
        <f t="shared" si="11"/>
        <v>物业等级</v>
      </c>
      <c r="R28" s="703" t="s">
        <v>14</v>
      </c>
      <c r="S28" s="704">
        <f t="shared" si="12"/>
        <v>100</v>
      </c>
      <c r="T28" s="703" t="s">
        <v>14</v>
      </c>
      <c r="U28" s="704">
        <f t="shared" si="13"/>
        <v>100</v>
      </c>
      <c r="V28" s="703" t="s">
        <v>14</v>
      </c>
      <c r="W28" s="704">
        <f t="shared" si="14"/>
        <v>100</v>
      </c>
      <c r="X28" s="1351"/>
      <c r="Y28" s="3704"/>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04"/>
      <c r="Q29" s="1348" t="str">
        <f t="shared" si="11"/>
        <v>有无电梯</v>
      </c>
      <c r="R29" s="703" t="s">
        <v>14</v>
      </c>
      <c r="S29" s="704">
        <f t="shared" si="12"/>
        <v>100</v>
      </c>
      <c r="T29" s="703" t="s">
        <v>14</v>
      </c>
      <c r="U29" s="704">
        <f t="shared" si="13"/>
        <v>100</v>
      </c>
      <c r="V29" s="703" t="s">
        <v>14</v>
      </c>
      <c r="W29" s="704">
        <f t="shared" si="14"/>
        <v>100</v>
      </c>
      <c r="X29" s="1351"/>
      <c r="Y29" s="3704"/>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4"/>
      <c r="Q30" s="1348" t="str">
        <f t="shared" si="11"/>
        <v>建筑面积</v>
      </c>
      <c r="R30" s="703" t="s">
        <v>14</v>
      </c>
      <c r="S30" s="704" t="e">
        <f t="shared" si="12"/>
        <v>#N/A</v>
      </c>
      <c r="T30" s="703" t="s">
        <v>14</v>
      </c>
      <c r="U30" s="704" t="e">
        <f t="shared" si="13"/>
        <v>#N/A</v>
      </c>
      <c r="V30" s="703" t="s">
        <v>14</v>
      </c>
      <c r="W30" s="704" t="e">
        <f t="shared" si="14"/>
        <v>#N/A</v>
      </c>
      <c r="X30" s="1351"/>
      <c r="Y30" s="3704"/>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04"/>
      <c r="Q31" s="1339" t="str">
        <f t="shared" si="11"/>
        <v>是否封闭</v>
      </c>
      <c r="R31" s="699" t="s">
        <v>14</v>
      </c>
      <c r="S31" s="700">
        <f t="shared" si="12"/>
        <v>100</v>
      </c>
      <c r="T31" s="699" t="s">
        <v>14</v>
      </c>
      <c r="U31" s="700">
        <f t="shared" si="13"/>
        <v>100</v>
      </c>
      <c r="V31" s="699" t="s">
        <v>14</v>
      </c>
      <c r="W31" s="700">
        <f t="shared" si="14"/>
        <v>100</v>
      </c>
      <c r="X31" s="701"/>
      <c r="Y31" s="3704"/>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4" t="s">
        <v>1696</v>
      </c>
      <c r="Q32" s="1348">
        <f t="shared" si="11"/>
        <v>111</v>
      </c>
      <c r="R32" s="703" t="s">
        <v>14</v>
      </c>
      <c r="S32" s="704">
        <f t="shared" si="12"/>
        <v>100</v>
      </c>
      <c r="T32" s="703" t="s">
        <v>14</v>
      </c>
      <c r="U32" s="704">
        <f t="shared" si="13"/>
        <v>100</v>
      </c>
      <c r="V32" s="703" t="s">
        <v>14</v>
      </c>
      <c r="W32" s="704">
        <f t="shared" si="14"/>
        <v>100</v>
      </c>
      <c r="X32" s="1351"/>
      <c r="Y32" s="3704"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4"/>
      <c r="Q33" s="1348">
        <f t="shared" si="11"/>
        <v>111</v>
      </c>
      <c r="R33" s="703" t="s">
        <v>14</v>
      </c>
      <c r="S33" s="704">
        <f t="shared" si="12"/>
        <v>100</v>
      </c>
      <c r="T33" s="703" t="s">
        <v>14</v>
      </c>
      <c r="U33" s="704">
        <f t="shared" si="13"/>
        <v>100</v>
      </c>
      <c r="V33" s="703" t="s">
        <v>14</v>
      </c>
      <c r="W33" s="704">
        <f t="shared" si="14"/>
        <v>100</v>
      </c>
      <c r="X33" s="1351"/>
      <c r="Y33" s="3704"/>
      <c r="Z33" s="1352">
        <f t="shared" si="15"/>
        <v>111</v>
      </c>
      <c r="AA33" s="1349">
        <f t="shared" si="3"/>
        <v>1</v>
      </c>
      <c r="AB33" s="1349">
        <f t="shared" si="4"/>
        <v>1</v>
      </c>
      <c r="AC33" s="1349">
        <f t="shared" si="5"/>
        <v>1</v>
      </c>
    </row>
    <row r="34" spans="1:30" ht="15.6"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2"/>
      <c r="L35" s="2718"/>
      <c r="M35" s="2719"/>
      <c r="N35" s="2710"/>
      <c r="O35" s="2719"/>
      <c r="P35" s="3706" t="str">
        <f>A35</f>
        <v>成交单价（元/平方米）</v>
      </c>
      <c r="Q35" s="3706"/>
      <c r="R35" s="3707">
        <f>E35</f>
        <v>0</v>
      </c>
      <c r="S35" s="3707"/>
      <c r="T35" s="3707">
        <f>G35</f>
        <v>0</v>
      </c>
      <c r="U35" s="3707"/>
      <c r="V35" s="3707">
        <f>I35</f>
        <v>0</v>
      </c>
      <c r="W35" s="3707"/>
      <c r="X35" s="688"/>
      <c r="Y35" s="710"/>
      <c r="Z35" s="688"/>
      <c r="AA35" s="688"/>
      <c r="AB35" s="688"/>
      <c r="AC35" s="688"/>
    </row>
    <row r="36" spans="1:30" ht="1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8"/>
      <c r="Y36" s="688"/>
      <c r="Z36" s="688"/>
      <c r="AA36" s="688"/>
      <c r="AB36" s="688"/>
      <c r="AC36" s="688"/>
    </row>
    <row r="37" spans="1:30" ht="15" thickBot="1">
      <c r="A37" s="441" t="s">
        <v>1794</v>
      </c>
      <c r="B37" s="442"/>
      <c r="C37" s="1159" t="e">
        <f>R37</f>
        <v>#DIV/0!</v>
      </c>
      <c r="D37" s="1159"/>
      <c r="E37" s="1159"/>
      <c r="F37" s="1159"/>
      <c r="G37" s="1159"/>
      <c r="H37" s="1159"/>
      <c r="I37" s="1159"/>
      <c r="J37" s="1159"/>
      <c r="K37" s="713"/>
      <c r="L37" s="2718"/>
      <c r="M37" s="2719"/>
      <c r="N37" s="2719"/>
      <c r="O37" s="2719"/>
      <c r="P37" s="3749" t="str">
        <f>A37</f>
        <v>估价对象XX用房的比较价值（楼面单价，元/平方米）</v>
      </c>
      <c r="Q37" s="3750"/>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2.2"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4.4">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4.4"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ht="14.4">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4.4"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9.4"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4.4"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4.4"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4.4"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4.4"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4.4"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4.4"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4.4"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9.4"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4.4"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4.4"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4.4"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4.4"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4.4"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4.4"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4.4"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4.4"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4.4"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4.4"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4.4"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4.4"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4.4"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4.4"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4.4"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4.4"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30">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30" ht="1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30" s="108" customFormat="1" ht="1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5" si="3">D8/F8</f>
        <v>#DIV/0!</v>
      </c>
      <c r="AB8" s="702" t="e">
        <f t="shared" ref="AB8:AB45" si="4">D8/H8</f>
        <v>#DIV/0!</v>
      </c>
      <c r="AC8" s="702" t="e">
        <f t="shared" ref="AC8:AC45" si="5">D8/J8</f>
        <v>#DIV/0!</v>
      </c>
    </row>
    <row r="9" spans="1:30" s="108" customFormat="1" ht="14.4">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6"/>
      <c r="Q12" s="1339" t="str">
        <f t="shared" si="6"/>
        <v>配建</v>
      </c>
      <c r="R12" s="699" t="s">
        <v>14</v>
      </c>
      <c r="S12" s="700">
        <f t="shared" si="0"/>
        <v>100</v>
      </c>
      <c r="T12" s="699" t="s">
        <v>14</v>
      </c>
      <c r="U12" s="700">
        <f t="shared" si="1"/>
        <v>100</v>
      </c>
      <c r="V12" s="699" t="s">
        <v>14</v>
      </c>
      <c r="W12" s="700">
        <f t="shared" si="2"/>
        <v>100</v>
      </c>
      <c r="X12" s="701"/>
      <c r="Y12" s="3636"/>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D13/F13</f>
        <v>1</v>
      </c>
      <c r="AB13" s="702">
        <f>D13/H13</f>
        <v>1</v>
      </c>
      <c r="AC13" s="702">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D14/F14</f>
        <v>1</v>
      </c>
      <c r="AB14" s="702">
        <f>D14/H14</f>
        <v>1</v>
      </c>
      <c r="AC14" s="702">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9" t="s">
        <v>1691</v>
      </c>
      <c r="Q15" s="1348" t="str">
        <f t="shared" si="6"/>
        <v>居住社区成熟度</v>
      </c>
      <c r="R15" s="703" t="s">
        <v>14</v>
      </c>
      <c r="S15" s="704">
        <f t="shared" si="0"/>
        <v>100</v>
      </c>
      <c r="T15" s="703" t="s">
        <v>14</v>
      </c>
      <c r="U15" s="704">
        <f t="shared" si="1"/>
        <v>100</v>
      </c>
      <c r="V15" s="703" t="s">
        <v>14</v>
      </c>
      <c r="W15" s="704">
        <f t="shared" si="2"/>
        <v>100</v>
      </c>
      <c r="X15" s="1351"/>
      <c r="Y15" s="3699"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00"/>
      <c r="Q17" s="1348" t="str">
        <f>B17</f>
        <v>商业繁华度</v>
      </c>
      <c r="R17" s="703" t="s">
        <v>14</v>
      </c>
      <c r="S17" s="704">
        <f>F17</f>
        <v>100</v>
      </c>
      <c r="T17" s="703" t="s">
        <v>14</v>
      </c>
      <c r="U17" s="704">
        <f>H17</f>
        <v>100</v>
      </c>
      <c r="V17" s="703" t="s">
        <v>14</v>
      </c>
      <c r="W17" s="704">
        <f>J17</f>
        <v>100</v>
      </c>
      <c r="X17" s="1351"/>
      <c r="Y17" s="370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00"/>
      <c r="Q19" s="1348" t="str">
        <f>B19</f>
        <v>办公集聚程度</v>
      </c>
      <c r="R19" s="703" t="s">
        <v>14</v>
      </c>
      <c r="S19" s="704">
        <f>F19</f>
        <v>100</v>
      </c>
      <c r="T19" s="703" t="s">
        <v>14</v>
      </c>
      <c r="U19" s="704">
        <f>H19</f>
        <v>100</v>
      </c>
      <c r="V19" s="703" t="s">
        <v>14</v>
      </c>
      <c r="W19" s="704">
        <f>J19</f>
        <v>100</v>
      </c>
      <c r="X19" s="1351"/>
      <c r="Y19" s="370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700"/>
      <c r="Q20" s="1348"/>
      <c r="R20" s="703"/>
      <c r="S20" s="704"/>
      <c r="T20" s="703"/>
      <c r="U20" s="704"/>
      <c r="V20" s="703"/>
      <c r="W20" s="704"/>
      <c r="X20" s="1351"/>
      <c r="Y20" s="3700"/>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00"/>
      <c r="Q21" s="1348" t="str">
        <f>B21</f>
        <v>交通便捷度</v>
      </c>
      <c r="R21" s="703" t="s">
        <v>14</v>
      </c>
      <c r="S21" s="704">
        <f>F21</f>
        <v>100</v>
      </c>
      <c r="T21" s="703" t="s">
        <v>14</v>
      </c>
      <c r="U21" s="704">
        <f>H21</f>
        <v>100</v>
      </c>
      <c r="V21" s="703" t="s">
        <v>14</v>
      </c>
      <c r="W21" s="704">
        <f>J21</f>
        <v>100</v>
      </c>
      <c r="X21" s="1351"/>
      <c r="Y21" s="370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00"/>
      <c r="Q23" s="1348" t="str">
        <f t="shared" ref="Q23:Q37" si="8">B23</f>
        <v>区域土地利用方向</v>
      </c>
      <c r="R23" s="703" t="s">
        <v>14</v>
      </c>
      <c r="S23" s="704">
        <f>F23</f>
        <v>100</v>
      </c>
      <c r="T23" s="703" t="s">
        <v>14</v>
      </c>
      <c r="U23" s="704">
        <f>H23</f>
        <v>100</v>
      </c>
      <c r="V23" s="703" t="s">
        <v>14</v>
      </c>
      <c r="W23" s="704">
        <f>J23</f>
        <v>100</v>
      </c>
      <c r="X23" s="1351"/>
      <c r="Y23" s="370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700"/>
      <c r="Q24" s="1348"/>
      <c r="R24" s="703"/>
      <c r="S24" s="704"/>
      <c r="T24" s="703"/>
      <c r="U24" s="704"/>
      <c r="V24" s="703"/>
      <c r="W24" s="704"/>
      <c r="X24" s="1351"/>
      <c r="Y24" s="3700"/>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00"/>
      <c r="Q25" s="1348" t="str">
        <f t="shared" si="8"/>
        <v>自然及人文环境状况</v>
      </c>
      <c r="R25" s="703" t="s">
        <v>14</v>
      </c>
      <c r="S25" s="704">
        <f>F25</f>
        <v>100</v>
      </c>
      <c r="T25" s="703" t="s">
        <v>14</v>
      </c>
      <c r="U25" s="704">
        <f>H25</f>
        <v>100</v>
      </c>
      <c r="V25" s="703" t="s">
        <v>14</v>
      </c>
      <c r="W25" s="704">
        <f>J25</f>
        <v>100</v>
      </c>
      <c r="X25" s="1351"/>
      <c r="Y25" s="370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700"/>
      <c r="Q26" s="1348"/>
      <c r="R26" s="703"/>
      <c r="S26" s="704"/>
      <c r="T26" s="703"/>
      <c r="U26" s="704"/>
      <c r="V26" s="703"/>
      <c r="W26" s="704"/>
      <c r="X26" s="1351"/>
      <c r="Y26" s="3700"/>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00"/>
      <c r="Q27" s="1339" t="str">
        <f t="shared" si="8"/>
        <v>公共配套设施</v>
      </c>
      <c r="R27" s="699" t="s">
        <v>14</v>
      </c>
      <c r="S27" s="700">
        <f>F27</f>
        <v>100</v>
      </c>
      <c r="T27" s="699" t="s">
        <v>14</v>
      </c>
      <c r="U27" s="700">
        <f>H27</f>
        <v>100</v>
      </c>
      <c r="V27" s="699" t="s">
        <v>14</v>
      </c>
      <c r="W27" s="700">
        <f>J27</f>
        <v>100</v>
      </c>
      <c r="X27" s="701"/>
      <c r="Y27" s="3700"/>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700"/>
      <c r="Q28" s="1339"/>
      <c r="R28" s="699"/>
      <c r="S28" s="700"/>
      <c r="T28" s="699"/>
      <c r="U28" s="700"/>
      <c r="V28" s="699"/>
      <c r="W28" s="700"/>
      <c r="X28" s="701"/>
      <c r="Y28" s="3700"/>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00"/>
      <c r="Q29" s="1339" t="str">
        <f t="shared" ref="Q29" si="9">B29</f>
        <v>基础设施水平</v>
      </c>
      <c r="R29" s="699" t="s">
        <v>14</v>
      </c>
      <c r="S29" s="700">
        <f>F29</f>
        <v>100</v>
      </c>
      <c r="T29" s="699" t="s">
        <v>14</v>
      </c>
      <c r="U29" s="700">
        <f>H29</f>
        <v>100</v>
      </c>
      <c r="V29" s="699" t="s">
        <v>14</v>
      </c>
      <c r="W29" s="700">
        <f>J29</f>
        <v>100</v>
      </c>
      <c r="X29" s="701"/>
      <c r="Y29" s="3700"/>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700"/>
      <c r="Q30" s="1339"/>
      <c r="R30" s="699"/>
      <c r="S30" s="700"/>
      <c r="T30" s="699"/>
      <c r="U30" s="700"/>
      <c r="V30" s="699"/>
      <c r="W30" s="700"/>
      <c r="X30" s="701"/>
      <c r="Y30" s="3700"/>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00"/>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00"/>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00"/>
      <c r="Q32" s="1348" t="str">
        <f t="shared" si="8"/>
        <v>毗邻道路的类型与等级</v>
      </c>
      <c r="R32" s="703" t="s">
        <v>14</v>
      </c>
      <c r="S32" s="704">
        <f t="shared" si="10"/>
        <v>100</v>
      </c>
      <c r="T32" s="703" t="s">
        <v>14</v>
      </c>
      <c r="U32" s="704">
        <f t="shared" si="11"/>
        <v>100</v>
      </c>
      <c r="V32" s="703" t="s">
        <v>14</v>
      </c>
      <c r="W32" s="704">
        <f t="shared" si="12"/>
        <v>100</v>
      </c>
      <c r="X32" s="1351"/>
      <c r="Y32" s="370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700"/>
      <c r="Q33" s="1348"/>
      <c r="R33" s="703"/>
      <c r="S33" s="704"/>
      <c r="T33" s="703"/>
      <c r="U33" s="704"/>
      <c r="V33" s="703"/>
      <c r="W33" s="704"/>
      <c r="X33" s="1351"/>
      <c r="Y33" s="3700"/>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00"/>
      <c r="Q34" s="1348" t="str">
        <f t="shared" si="8"/>
        <v>土地级别</v>
      </c>
      <c r="R34" s="703" t="s">
        <v>14</v>
      </c>
      <c r="S34" s="704">
        <f t="shared" si="10"/>
        <v>100</v>
      </c>
      <c r="T34" s="703" t="s">
        <v>14</v>
      </c>
      <c r="U34" s="704">
        <f t="shared" si="11"/>
        <v>100</v>
      </c>
      <c r="V34" s="703" t="s">
        <v>14</v>
      </c>
      <c r="W34" s="704">
        <f t="shared" si="12"/>
        <v>100</v>
      </c>
      <c r="X34" s="1351"/>
      <c r="Y34" s="370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00"/>
      <c r="Q35" s="1348">
        <f t="shared" si="8"/>
        <v>111</v>
      </c>
      <c r="R35" s="703" t="s">
        <v>14</v>
      </c>
      <c r="S35" s="704">
        <f t="shared" si="10"/>
        <v>100</v>
      </c>
      <c r="T35" s="703" t="s">
        <v>14</v>
      </c>
      <c r="U35" s="704">
        <f t="shared" si="11"/>
        <v>100</v>
      </c>
      <c r="V35" s="703" t="s">
        <v>14</v>
      </c>
      <c r="W35" s="704">
        <f t="shared" si="12"/>
        <v>100</v>
      </c>
      <c r="X35" s="1351"/>
      <c r="Y35" s="370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704"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04"/>
      <c r="Q37" s="1348">
        <f t="shared" si="8"/>
        <v>111</v>
      </c>
      <c r="R37" s="706" t="s">
        <v>14</v>
      </c>
      <c r="S37" s="707">
        <f t="shared" si="10"/>
        <v>100</v>
      </c>
      <c r="T37" s="706" t="s">
        <v>14</v>
      </c>
      <c r="U37" s="707">
        <f t="shared" si="11"/>
        <v>100</v>
      </c>
      <c r="V37" s="706" t="s">
        <v>14</v>
      </c>
      <c r="W37" s="707">
        <f t="shared" si="12"/>
        <v>100</v>
      </c>
      <c r="X37" s="708"/>
      <c r="Y37" s="3704"/>
      <c r="Z37" s="709">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04"/>
      <c r="Q38" s="1348" t="str">
        <f>B38</f>
        <v>宗地面积</v>
      </c>
      <c r="R38" s="703" t="s">
        <v>14</v>
      </c>
      <c r="S38" s="704" t="e">
        <f t="shared" si="10"/>
        <v>#N/A</v>
      </c>
      <c r="T38" s="703" t="s">
        <v>14</v>
      </c>
      <c r="U38" s="704" t="e">
        <f t="shared" si="11"/>
        <v>#N/A</v>
      </c>
      <c r="V38" s="703" t="s">
        <v>14</v>
      </c>
      <c r="W38" s="704" t="e">
        <f t="shared" si="12"/>
        <v>#N/A</v>
      </c>
      <c r="X38" s="1351"/>
      <c r="Y38" s="3704"/>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704"/>
      <c r="Q39" s="1348" t="str">
        <f t="shared" ref="Q39:Q45" si="14">B39</f>
        <v>宗地形状</v>
      </c>
      <c r="R39" s="703" t="s">
        <v>14</v>
      </c>
      <c r="S39" s="704">
        <f t="shared" si="10"/>
        <v>100</v>
      </c>
      <c r="T39" s="703" t="s">
        <v>14</v>
      </c>
      <c r="U39" s="704">
        <f t="shared" si="11"/>
        <v>100</v>
      </c>
      <c r="V39" s="703" t="s">
        <v>14</v>
      </c>
      <c r="W39" s="704">
        <f t="shared" si="12"/>
        <v>100</v>
      </c>
      <c r="X39" s="1351"/>
      <c r="Y39" s="3704"/>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704"/>
      <c r="Q40" s="1348" t="str">
        <f t="shared" si="14"/>
        <v>临街宽度及深度</v>
      </c>
      <c r="R40" s="703" t="s">
        <v>14</v>
      </c>
      <c r="S40" s="704">
        <f t="shared" si="10"/>
        <v>100</v>
      </c>
      <c r="T40" s="703" t="s">
        <v>14</v>
      </c>
      <c r="U40" s="704">
        <f t="shared" si="11"/>
        <v>100</v>
      </c>
      <c r="V40" s="703" t="s">
        <v>14</v>
      </c>
      <c r="W40" s="704">
        <f t="shared" si="12"/>
        <v>100</v>
      </c>
      <c r="X40" s="1351"/>
      <c r="Y40" s="3704"/>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704"/>
      <c r="Q41" s="1348" t="str">
        <f t="shared" si="14"/>
        <v>宗地开发程度</v>
      </c>
      <c r="R41" s="699" t="s">
        <v>14</v>
      </c>
      <c r="S41" s="700">
        <f t="shared" si="10"/>
        <v>100</v>
      </c>
      <c r="T41" s="699" t="s">
        <v>14</v>
      </c>
      <c r="U41" s="700">
        <f t="shared" si="11"/>
        <v>100</v>
      </c>
      <c r="V41" s="699" t="s">
        <v>14</v>
      </c>
      <c r="W41" s="700">
        <f t="shared" si="12"/>
        <v>100</v>
      </c>
      <c r="X41" s="701"/>
      <c r="Y41" s="3704"/>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704" t="s">
        <v>1696</v>
      </c>
      <c r="Q42" s="1348" t="str">
        <f t="shared" si="14"/>
        <v>工程地质条件</v>
      </c>
      <c r="R42" s="703" t="s">
        <v>14</v>
      </c>
      <c r="S42" s="704">
        <f t="shared" si="10"/>
        <v>100</v>
      </c>
      <c r="T42" s="703" t="s">
        <v>14</v>
      </c>
      <c r="U42" s="704">
        <f t="shared" si="11"/>
        <v>100</v>
      </c>
      <c r="V42" s="703" t="s">
        <v>14</v>
      </c>
      <c r="W42" s="704">
        <f t="shared" si="12"/>
        <v>100</v>
      </c>
      <c r="X42" s="1351"/>
      <c r="Y42" s="3704"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04"/>
      <c r="Q43" s="1348">
        <f t="shared" si="14"/>
        <v>111</v>
      </c>
      <c r="R43" s="703" t="s">
        <v>14</v>
      </c>
      <c r="S43" s="704">
        <f t="shared" si="10"/>
        <v>100</v>
      </c>
      <c r="T43" s="703" t="s">
        <v>14</v>
      </c>
      <c r="U43" s="704">
        <f t="shared" si="11"/>
        <v>100</v>
      </c>
      <c r="V43" s="703" t="s">
        <v>14</v>
      </c>
      <c r="W43" s="704">
        <f t="shared" si="12"/>
        <v>100</v>
      </c>
      <c r="X43" s="1351"/>
      <c r="Y43" s="370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04"/>
      <c r="Q44" s="1348">
        <f t="shared" si="14"/>
        <v>111</v>
      </c>
      <c r="R44" s="703" t="s">
        <v>14</v>
      </c>
      <c r="S44" s="704">
        <f t="shared" si="10"/>
        <v>100</v>
      </c>
      <c r="T44" s="703" t="s">
        <v>14</v>
      </c>
      <c r="U44" s="704">
        <f t="shared" si="11"/>
        <v>100</v>
      </c>
      <c r="V44" s="703" t="s">
        <v>14</v>
      </c>
      <c r="W44" s="704">
        <f t="shared" si="12"/>
        <v>100</v>
      </c>
      <c r="X44" s="1351"/>
      <c r="Y44" s="3704"/>
      <c r="Z44" s="1352">
        <f t="shared" si="13"/>
        <v>111</v>
      </c>
      <c r="AA44" s="1349">
        <f t="shared" si="3"/>
        <v>1</v>
      </c>
      <c r="AB44" s="1349">
        <f t="shared" si="4"/>
        <v>1</v>
      </c>
      <c r="AC44" s="1349">
        <f t="shared" si="5"/>
        <v>1</v>
      </c>
    </row>
    <row r="45" spans="1:29" s="422" customFormat="1" ht="15.6"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04"/>
      <c r="Q45" s="1348">
        <f t="shared" si="14"/>
        <v>111</v>
      </c>
      <c r="R45" s="706" t="s">
        <v>14</v>
      </c>
      <c r="S45" s="707">
        <f t="shared" si="10"/>
        <v>100</v>
      </c>
      <c r="T45" s="706" t="s">
        <v>14</v>
      </c>
      <c r="U45" s="707">
        <f t="shared" si="11"/>
        <v>100</v>
      </c>
      <c r="V45" s="706" t="s">
        <v>14</v>
      </c>
      <c r="W45" s="707">
        <f t="shared" si="12"/>
        <v>100</v>
      </c>
      <c r="X45" s="708"/>
      <c r="Y45" s="3704"/>
      <c r="Z45" s="709">
        <f t="shared" si="13"/>
        <v>111</v>
      </c>
      <c r="AA45" s="1349">
        <f t="shared" si="3"/>
        <v>1</v>
      </c>
      <c r="AB45" s="1349">
        <f t="shared" si="4"/>
        <v>1</v>
      </c>
      <c r="AC45" s="1349">
        <f t="shared" si="5"/>
        <v>1</v>
      </c>
    </row>
    <row r="46" spans="1:29" ht="14.4">
      <c r="A46" s="430" t="s">
        <v>1844</v>
      </c>
      <c r="B46" s="1977" t="s">
        <v>1879</v>
      </c>
      <c r="C46" s="630" t="s">
        <v>0</v>
      </c>
      <c r="D46" s="432"/>
      <c r="E46" s="433"/>
      <c r="F46" s="434"/>
      <c r="G46" s="435"/>
      <c r="H46" s="436"/>
      <c r="I46" s="433"/>
      <c r="J46" s="436"/>
      <c r="K46" s="712"/>
      <c r="L46" s="2718"/>
      <c r="M46" s="2719"/>
      <c r="N46" s="2710"/>
      <c r="O46" s="2719"/>
      <c r="P46" s="3706" t="str">
        <f>A46</f>
        <v>成交单价</v>
      </c>
      <c r="Q46" s="3706"/>
      <c r="R46" s="3688">
        <f>E46</f>
        <v>0</v>
      </c>
      <c r="S46" s="3688"/>
      <c r="T46" s="3688">
        <f>G46</f>
        <v>0</v>
      </c>
      <c r="U46" s="3688"/>
      <c r="V46" s="3688">
        <f>I46</f>
        <v>0</v>
      </c>
      <c r="W46" s="3688"/>
      <c r="X46" s="688"/>
      <c r="Y46" s="710"/>
      <c r="Z46" s="688"/>
      <c r="AA46" s="688"/>
      <c r="AB46" s="688"/>
      <c r="AC46" s="688"/>
    </row>
    <row r="47" spans="1:29" ht="1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706" t="str">
        <f>A47</f>
        <v>比较价值（元/平方米）</v>
      </c>
      <c r="Q47" s="3706"/>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18"/>
      <c r="M48" s="2719"/>
      <c r="N48" s="2719"/>
      <c r="O48" s="2719"/>
      <c r="P48" s="3749" t="str">
        <f>A48</f>
        <v>估价对象XX用房的比较价值（楼面单价，元/平方米）</v>
      </c>
      <c r="Q48" s="3750"/>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4.4"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6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111.43</v>
      </c>
      <c r="F56" s="884" t="e">
        <f t="shared" ref="F56:F64" si="15">ROUND(B56*E56/10000,0)</f>
        <v>#DIV/0!</v>
      </c>
      <c r="G56" s="3696"/>
      <c r="H56" s="3706"/>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4.4"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thickBot="1">
      <c r="A65" s="643" t="s">
        <v>1903</v>
      </c>
      <c r="B65" s="644" t="s">
        <v>22</v>
      </c>
      <c r="C65" s="644" t="s">
        <v>23</v>
      </c>
      <c r="D65" s="644" t="s">
        <v>392</v>
      </c>
      <c r="E65" s="644">
        <f>IF(B46="楼面地价",SUM(E56:E64),'数据-汇总表'!D3)</f>
        <v>111.43</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2.2"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4.4">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4.4">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4.4"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14.4">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4.4"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9.4"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4.4"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4.4"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4.4"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4.4"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4.4"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4.4"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4.4"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ht="14.4">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9.4"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4.4"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4.4"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4.4"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4.4"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4.4"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4.4"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4.4"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4.4"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4.4"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4.4"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4.4"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4.4"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4.4"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 thickBot="1">
      <c r="A6" s="360"/>
      <c r="B6" s="361"/>
      <c r="C6" s="3757" t="s">
        <v>1919</v>
      </c>
      <c r="D6" s="3758"/>
      <c r="E6" s="3759" t="s">
        <v>1919</v>
      </c>
      <c r="F6" s="3760"/>
      <c r="G6" s="3757" t="s">
        <v>1919</v>
      </c>
      <c r="H6" s="3758"/>
      <c r="I6" s="3757" t="s">
        <v>1919</v>
      </c>
      <c r="J6" s="3758"/>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0" si="3">D8/F8</f>
        <v>#DIV/0!</v>
      </c>
      <c r="AB8" s="702" t="e">
        <f t="shared" ref="AB8:AB40" si="4">D8/H8</f>
        <v>#DIV/0!</v>
      </c>
      <c r="AC8" s="702" t="e">
        <f t="shared" ref="AC8:AC40" si="5">D8/J8</f>
        <v>#DIV/0!</v>
      </c>
    </row>
    <row r="9" spans="1:29" s="108" customFormat="1" ht="14.4">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69">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00"/>
      <c r="Q19" s="1348" t="str">
        <f t="shared" ref="Q19:Q33" si="8">B19</f>
        <v>区域土地利用方向</v>
      </c>
      <c r="R19" s="703" t="s">
        <v>14</v>
      </c>
      <c r="S19" s="704">
        <f>F19</f>
        <v>100</v>
      </c>
      <c r="T19" s="703" t="s">
        <v>14</v>
      </c>
      <c r="U19" s="704">
        <f>H19</f>
        <v>100</v>
      </c>
      <c r="V19" s="703" t="s">
        <v>14</v>
      </c>
      <c r="W19" s="704">
        <f>J19</f>
        <v>100</v>
      </c>
      <c r="X19" s="1351"/>
      <c r="Y19" s="370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700"/>
      <c r="Q20" s="1348"/>
      <c r="R20" s="703"/>
      <c r="S20" s="704"/>
      <c r="T20" s="703"/>
      <c r="U20" s="704"/>
      <c r="V20" s="703"/>
      <c r="W20" s="704"/>
      <c r="X20" s="1351"/>
      <c r="Y20" s="3700"/>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00"/>
      <c r="Q21" s="1348" t="str">
        <f t="shared" si="8"/>
        <v>环境状况</v>
      </c>
      <c r="R21" s="703" t="s">
        <v>14</v>
      </c>
      <c r="S21" s="704">
        <f>F21</f>
        <v>100</v>
      </c>
      <c r="T21" s="703" t="s">
        <v>14</v>
      </c>
      <c r="U21" s="704">
        <f>H21</f>
        <v>100</v>
      </c>
      <c r="V21" s="703" t="s">
        <v>14</v>
      </c>
      <c r="W21" s="704">
        <f>J21</f>
        <v>100</v>
      </c>
      <c r="X21" s="1351"/>
      <c r="Y21" s="370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00"/>
      <c r="Q23" s="1339" t="str">
        <f t="shared" si="8"/>
        <v>公共配套设施</v>
      </c>
      <c r="R23" s="699" t="s">
        <v>14</v>
      </c>
      <c r="S23" s="700">
        <f>F23</f>
        <v>100</v>
      </c>
      <c r="T23" s="699" t="s">
        <v>14</v>
      </c>
      <c r="U23" s="700">
        <f>H23</f>
        <v>100</v>
      </c>
      <c r="V23" s="699" t="s">
        <v>14</v>
      </c>
      <c r="W23" s="700">
        <f>J23</f>
        <v>100</v>
      </c>
      <c r="X23" s="701"/>
      <c r="Y23" s="3700"/>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700"/>
      <c r="Q24" s="1339"/>
      <c r="R24" s="699"/>
      <c r="S24" s="700"/>
      <c r="T24" s="699"/>
      <c r="U24" s="700"/>
      <c r="V24" s="699"/>
      <c r="W24" s="700"/>
      <c r="X24" s="701"/>
      <c r="Y24" s="3700"/>
      <c r="Z24" s="52"/>
      <c r="AA24" s="702">
        <v>1</v>
      </c>
      <c r="AB24" s="702">
        <v>1</v>
      </c>
      <c r="AC24" s="702">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00"/>
      <c r="Q25" s="1339" t="str">
        <f t="shared" ref="Q25" si="9">B25</f>
        <v>基础设施水平</v>
      </c>
      <c r="R25" s="699" t="s">
        <v>14</v>
      </c>
      <c r="S25" s="700">
        <f>F25</f>
        <v>100</v>
      </c>
      <c r="T25" s="699" t="s">
        <v>14</v>
      </c>
      <c r="U25" s="700">
        <f>H25</f>
        <v>100</v>
      </c>
      <c r="V25" s="699" t="s">
        <v>14</v>
      </c>
      <c r="W25" s="700">
        <f>J25</f>
        <v>100</v>
      </c>
      <c r="X25" s="701"/>
      <c r="Y25" s="3700"/>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700"/>
      <c r="Q26" s="1339"/>
      <c r="R26" s="699"/>
      <c r="S26" s="700"/>
      <c r="T26" s="699"/>
      <c r="U26" s="700"/>
      <c r="V26" s="699"/>
      <c r="W26" s="700"/>
      <c r="X26" s="701"/>
      <c r="Y26" s="370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00"/>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00"/>
      <c r="Z27" s="1352" t="str">
        <f t="shared" ref="Z27:Z40" si="13">Q27</f>
        <v>临街状况</v>
      </c>
      <c r="AA27" s="1349">
        <f t="shared" si="3"/>
        <v>1</v>
      </c>
      <c r="AB27" s="1349">
        <f t="shared" si="4"/>
        <v>1</v>
      </c>
      <c r="AC27" s="1349">
        <f t="shared" si="5"/>
        <v>1</v>
      </c>
    </row>
    <row r="28" spans="1:29" ht="28.8">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00"/>
      <c r="Q28" s="1348" t="str">
        <f t="shared" si="8"/>
        <v>毗邻道路的类型与等级</v>
      </c>
      <c r="R28" s="703" t="s">
        <v>14</v>
      </c>
      <c r="S28" s="704">
        <f t="shared" si="10"/>
        <v>100</v>
      </c>
      <c r="T28" s="703" t="s">
        <v>14</v>
      </c>
      <c r="U28" s="704">
        <f t="shared" si="11"/>
        <v>100</v>
      </c>
      <c r="V28" s="703" t="s">
        <v>14</v>
      </c>
      <c r="W28" s="704">
        <f t="shared" si="12"/>
        <v>100</v>
      </c>
      <c r="X28" s="1351"/>
      <c r="Y28" s="370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700"/>
      <c r="Q29" s="1348"/>
      <c r="R29" s="703"/>
      <c r="S29" s="704"/>
      <c r="T29" s="703"/>
      <c r="U29" s="704"/>
      <c r="V29" s="703"/>
      <c r="W29" s="704"/>
      <c r="X29" s="1351"/>
      <c r="Y29" s="3700"/>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00"/>
      <c r="Q30" s="1348" t="str">
        <f t="shared" si="8"/>
        <v>土地级别</v>
      </c>
      <c r="R30" s="703" t="s">
        <v>14</v>
      </c>
      <c r="S30" s="704">
        <f t="shared" si="10"/>
        <v>100</v>
      </c>
      <c r="T30" s="703" t="s">
        <v>14</v>
      </c>
      <c r="U30" s="704">
        <f t="shared" si="11"/>
        <v>100</v>
      </c>
      <c r="V30" s="703" t="s">
        <v>14</v>
      </c>
      <c r="W30" s="704">
        <f t="shared" si="12"/>
        <v>100</v>
      </c>
      <c r="X30" s="1351"/>
      <c r="Y30" s="3700"/>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00"/>
      <c r="Q31" s="1348">
        <f t="shared" si="8"/>
        <v>111</v>
      </c>
      <c r="R31" s="703" t="s">
        <v>14</v>
      </c>
      <c r="S31" s="704">
        <f t="shared" si="10"/>
        <v>100</v>
      </c>
      <c r="T31" s="703" t="s">
        <v>14</v>
      </c>
      <c r="U31" s="704">
        <f t="shared" si="11"/>
        <v>100</v>
      </c>
      <c r="V31" s="703" t="s">
        <v>14</v>
      </c>
      <c r="W31" s="704">
        <f t="shared" si="12"/>
        <v>100</v>
      </c>
      <c r="X31" s="1351"/>
      <c r="Y31" s="3700"/>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704" t="s">
        <v>1696</v>
      </c>
      <c r="Z32" s="1352">
        <f t="shared" si="13"/>
        <v>111</v>
      </c>
      <c r="AA32" s="1349">
        <f t="shared" si="3"/>
        <v>1</v>
      </c>
      <c r="AB32" s="1349">
        <f t="shared" si="4"/>
        <v>1</v>
      </c>
      <c r="AC32" s="1349">
        <f t="shared" si="5"/>
        <v>1</v>
      </c>
    </row>
    <row r="33" spans="1:31" s="422" customFormat="1" ht="15.6"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04"/>
      <c r="Q33" s="1348">
        <f t="shared" si="8"/>
        <v>111</v>
      </c>
      <c r="R33" s="706" t="s">
        <v>14</v>
      </c>
      <c r="S33" s="707">
        <f t="shared" si="10"/>
        <v>100</v>
      </c>
      <c r="T33" s="706" t="s">
        <v>14</v>
      </c>
      <c r="U33" s="707">
        <f t="shared" si="11"/>
        <v>100</v>
      </c>
      <c r="V33" s="706" t="s">
        <v>14</v>
      </c>
      <c r="W33" s="707">
        <f t="shared" si="12"/>
        <v>100</v>
      </c>
      <c r="X33" s="708"/>
      <c r="Y33" s="3704"/>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04"/>
      <c r="Q34" s="1348" t="str">
        <f>B34</f>
        <v>宗地面积</v>
      </c>
      <c r="R34" s="703" t="s">
        <v>14</v>
      </c>
      <c r="S34" s="704" t="e">
        <f t="shared" si="10"/>
        <v>#N/A</v>
      </c>
      <c r="T34" s="703" t="s">
        <v>14</v>
      </c>
      <c r="U34" s="704" t="e">
        <f t="shared" si="11"/>
        <v>#N/A</v>
      </c>
      <c r="V34" s="703" t="s">
        <v>14</v>
      </c>
      <c r="W34" s="704" t="e">
        <f t="shared" si="12"/>
        <v>#N/A</v>
      </c>
      <c r="X34" s="1351"/>
      <c r="Y34" s="3704"/>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704"/>
      <c r="Q35" s="1348" t="str">
        <f t="shared" ref="Q35:Q40" si="14">B35</f>
        <v>宗地形状</v>
      </c>
      <c r="R35" s="703" t="s">
        <v>14</v>
      </c>
      <c r="S35" s="704">
        <f t="shared" si="10"/>
        <v>100</v>
      </c>
      <c r="T35" s="703" t="s">
        <v>14</v>
      </c>
      <c r="U35" s="704">
        <f t="shared" si="11"/>
        <v>100</v>
      </c>
      <c r="V35" s="703" t="s">
        <v>14</v>
      </c>
      <c r="W35" s="704">
        <f t="shared" si="12"/>
        <v>100</v>
      </c>
      <c r="X35" s="1351"/>
      <c r="Y35" s="3704"/>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704"/>
      <c r="Q36" s="1348" t="str">
        <f t="shared" si="14"/>
        <v>宗地开发程度</v>
      </c>
      <c r="R36" s="699" t="s">
        <v>14</v>
      </c>
      <c r="S36" s="700">
        <f t="shared" si="10"/>
        <v>100</v>
      </c>
      <c r="T36" s="699" t="s">
        <v>14</v>
      </c>
      <c r="U36" s="700">
        <f t="shared" si="11"/>
        <v>100</v>
      </c>
      <c r="V36" s="699" t="s">
        <v>14</v>
      </c>
      <c r="W36" s="700">
        <f t="shared" si="12"/>
        <v>100</v>
      </c>
      <c r="X36" s="701"/>
      <c r="Y36" s="3704"/>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704" t="s">
        <v>1696</v>
      </c>
      <c r="Q37" s="1348" t="str">
        <f t="shared" si="14"/>
        <v>工程地质条件</v>
      </c>
      <c r="R37" s="703" t="s">
        <v>14</v>
      </c>
      <c r="S37" s="704">
        <f t="shared" si="10"/>
        <v>100</v>
      </c>
      <c r="T37" s="703" t="s">
        <v>14</v>
      </c>
      <c r="U37" s="704">
        <f t="shared" si="11"/>
        <v>100</v>
      </c>
      <c r="V37" s="703" t="s">
        <v>14</v>
      </c>
      <c r="W37" s="704">
        <f t="shared" si="12"/>
        <v>100</v>
      </c>
      <c r="X37" s="1351"/>
      <c r="Y37" s="3704"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04"/>
      <c r="Q38" s="1348">
        <f t="shared" si="14"/>
        <v>111</v>
      </c>
      <c r="R38" s="703" t="s">
        <v>14</v>
      </c>
      <c r="S38" s="704">
        <f t="shared" si="10"/>
        <v>100</v>
      </c>
      <c r="T38" s="703" t="s">
        <v>14</v>
      </c>
      <c r="U38" s="704">
        <f t="shared" si="11"/>
        <v>100</v>
      </c>
      <c r="V38" s="703" t="s">
        <v>14</v>
      </c>
      <c r="W38" s="704">
        <f t="shared" si="12"/>
        <v>100</v>
      </c>
      <c r="X38" s="1351"/>
      <c r="Y38" s="370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04"/>
      <c r="Q39" s="1348">
        <f t="shared" si="14"/>
        <v>111</v>
      </c>
      <c r="R39" s="703" t="s">
        <v>14</v>
      </c>
      <c r="S39" s="704">
        <f t="shared" si="10"/>
        <v>100</v>
      </c>
      <c r="T39" s="703" t="s">
        <v>14</v>
      </c>
      <c r="U39" s="704">
        <f t="shared" si="11"/>
        <v>100</v>
      </c>
      <c r="V39" s="703" t="s">
        <v>14</v>
      </c>
      <c r="W39" s="704">
        <f t="shared" si="12"/>
        <v>100</v>
      </c>
      <c r="X39" s="1351"/>
      <c r="Y39" s="3704"/>
      <c r="Z39" s="1352">
        <f t="shared" si="13"/>
        <v>111</v>
      </c>
      <c r="AA39" s="1349">
        <f t="shared" si="3"/>
        <v>1</v>
      </c>
      <c r="AB39" s="1349">
        <f t="shared" si="4"/>
        <v>1</v>
      </c>
      <c r="AC39" s="1349">
        <f t="shared" si="5"/>
        <v>1</v>
      </c>
    </row>
    <row r="40" spans="1:31" s="422" customFormat="1" ht="15.6"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04"/>
      <c r="Q40" s="1348">
        <f t="shared" si="14"/>
        <v>111</v>
      </c>
      <c r="R40" s="706" t="s">
        <v>14</v>
      </c>
      <c r="S40" s="707">
        <f t="shared" si="10"/>
        <v>100</v>
      </c>
      <c r="T40" s="706" t="s">
        <v>14</v>
      </c>
      <c r="U40" s="707">
        <f t="shared" si="11"/>
        <v>100</v>
      </c>
      <c r="V40" s="706" t="s">
        <v>14</v>
      </c>
      <c r="W40" s="707">
        <f t="shared" si="12"/>
        <v>100</v>
      </c>
      <c r="X40" s="708"/>
      <c r="Y40" s="3704"/>
      <c r="Z40" s="709">
        <f t="shared" si="13"/>
        <v>111</v>
      </c>
      <c r="AA40" s="1349">
        <f t="shared" si="3"/>
        <v>1</v>
      </c>
      <c r="AB40" s="1349">
        <f t="shared" si="4"/>
        <v>1</v>
      </c>
      <c r="AC40" s="1349">
        <f t="shared" si="5"/>
        <v>1</v>
      </c>
    </row>
    <row r="41" spans="1:31" ht="14.4">
      <c r="A41" s="430" t="s">
        <v>1844</v>
      </c>
      <c r="B41" s="1977" t="s">
        <v>1922</v>
      </c>
      <c r="C41" s="630" t="s">
        <v>0</v>
      </c>
      <c r="D41" s="432"/>
      <c r="E41" s="433"/>
      <c r="F41" s="434"/>
      <c r="G41" s="435"/>
      <c r="H41" s="436"/>
      <c r="I41" s="433"/>
      <c r="J41" s="436"/>
      <c r="K41" s="712"/>
      <c r="L41" s="2718"/>
      <c r="M41" s="2710"/>
      <c r="N41" s="2710"/>
      <c r="O41" s="2719"/>
      <c r="P41" s="3706" t="str">
        <f>A41</f>
        <v>成交单价</v>
      </c>
      <c r="Q41" s="3706"/>
      <c r="R41" s="3688">
        <f>E41</f>
        <v>0</v>
      </c>
      <c r="S41" s="3688"/>
      <c r="T41" s="3688">
        <f>G41</f>
        <v>0</v>
      </c>
      <c r="U41" s="3688"/>
      <c r="V41" s="3688">
        <f>I41</f>
        <v>0</v>
      </c>
      <c r="W41" s="3688"/>
      <c r="X41" s="688"/>
      <c r="Y41" s="710"/>
      <c r="Z41" s="688"/>
      <c r="AA41" s="688"/>
      <c r="AB41" s="688"/>
      <c r="AC41" s="688"/>
    </row>
    <row r="42" spans="1:31" ht="1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706" t="str">
        <f>A42</f>
        <v>比较价值（元/平方米）</v>
      </c>
      <c r="Q42" s="3706"/>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18"/>
      <c r="M43" s="2710"/>
      <c r="N43" s="2710"/>
      <c r="O43" s="2719"/>
      <c r="P43" s="3749" t="str">
        <f>A43</f>
        <v>估价对象XX用房的比较价值（楼面单价，元/平方米）</v>
      </c>
      <c r="Q43" s="3750"/>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4.4"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8.8">
      <c r="A50" s="632" t="s">
        <v>1881</v>
      </c>
      <c r="B50" s="633" t="s">
        <v>1882</v>
      </c>
      <c r="C50" s="1978" t="s">
        <v>1883</v>
      </c>
      <c r="D50" s="1979" t="s">
        <v>1884</v>
      </c>
      <c r="E50" s="634" t="s">
        <v>1885</v>
      </c>
      <c r="F50" s="635" t="s">
        <v>1886</v>
      </c>
      <c r="G50" s="366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111.43</v>
      </c>
      <c r="F51" s="639" t="e">
        <f t="shared" ref="F51:F60" si="15">ROUND(B51*E51/10000,0)</f>
        <v>#DIV/0!</v>
      </c>
      <c r="G51" s="3696"/>
      <c r="H51" s="3706"/>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4.4"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2.2"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4.4">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4.4">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4.4"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ht="14.4">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4.4"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9.4"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4.4"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4.4"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4.4"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4.4"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4.4"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4.4"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4.4"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ht="14.4">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9.4"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4.4"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4.4"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4.4"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4.4"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4.4"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4.4"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4.4"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4.4"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4.4"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4.4"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4.4"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4.4"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4.4"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96" sqref="M96"/>
      <selection pane="bottomLeft" activeCell="M96" sqref="M96"/>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9.6">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49.8"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2"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6">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947.53999999999985</v>
      </c>
      <c r="C22" s="3761" t="s">
        <v>27</v>
      </c>
      <c r="D22" s="3762"/>
      <c r="E22" s="3762"/>
      <c r="F22" s="3762"/>
      <c r="G22" s="3762"/>
      <c r="H22" s="3762"/>
      <c r="I22" s="3762"/>
      <c r="J22" s="3762"/>
      <c r="K22" s="3762"/>
      <c r="L22" s="3762"/>
      <c r="M22" s="3762"/>
      <c r="N22" s="3762"/>
      <c r="O22" s="3762"/>
      <c r="P22" s="3762"/>
      <c r="Q22" s="3763"/>
      <c r="R22" s="661">
        <f ca="1">ROUND(S22*10000/B22,0)</f>
        <v>23302</v>
      </c>
      <c r="S22" s="21">
        <f ca="1">SUM(S24:S10000)</f>
        <v>2208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111.43</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22840</v>
      </c>
      <c r="S24" s="664">
        <f t="shared" ref="S24:S54" ca="1" si="11">ROUND(R24*B24/10000,0)</f>
        <v>255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23982</v>
      </c>
      <c r="S25" s="316">
        <f t="shared" ca="1" si="11"/>
        <v>267</v>
      </c>
    </row>
    <row r="26" spans="1:45">
      <c r="A26" s="150">
        <v>806</v>
      </c>
      <c r="B26" s="54">
        <v>62.05</v>
      </c>
      <c r="C26" s="21">
        <f t="shared" ref="C26:C89" si="12">IF(B26="",1,(LOOKUP(B26,$3:$3,$4:$4)-LOOKUP($B$24,$3:$3,$4:$4)+100)/100)</f>
        <v>0.98</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23502</v>
      </c>
      <c r="S26" s="316">
        <f t="shared" ca="1" si="11"/>
        <v>146</v>
      </c>
    </row>
    <row r="27" spans="1:45">
      <c r="A27" s="150">
        <v>809</v>
      </c>
      <c r="B27" s="54">
        <v>62.05</v>
      </c>
      <c r="C27" s="21">
        <f t="shared" si="12"/>
        <v>0.98</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23502</v>
      </c>
      <c r="S27" s="316">
        <f t="shared" ca="1" si="11"/>
        <v>146</v>
      </c>
    </row>
    <row r="28" spans="1:45">
      <c r="A28" s="150">
        <v>911</v>
      </c>
      <c r="B28" s="54">
        <v>59.54</v>
      </c>
      <c r="C28" s="21">
        <f t="shared" si="12"/>
        <v>0.98</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23032</v>
      </c>
      <c r="S28" s="316">
        <f t="shared" ca="1" si="11"/>
        <v>137</v>
      </c>
    </row>
    <row r="29" spans="1:45">
      <c r="A29" s="150">
        <v>913</v>
      </c>
      <c r="B29" s="54">
        <v>109.12</v>
      </c>
      <c r="C29" s="21">
        <f t="shared" si="12"/>
        <v>1</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22562</v>
      </c>
      <c r="S29" s="316">
        <f t="shared" ca="1" si="11"/>
        <v>246</v>
      </c>
    </row>
    <row r="30" spans="1:45">
      <c r="A30" s="150">
        <v>612</v>
      </c>
      <c r="B30" s="54">
        <v>121.67</v>
      </c>
      <c r="C30" s="21">
        <f t="shared" si="12"/>
        <v>1</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22840</v>
      </c>
      <c r="S30" s="316">
        <f t="shared" ca="1" si="11"/>
        <v>278</v>
      </c>
    </row>
    <row r="31" spans="1:45">
      <c r="A31" s="150">
        <v>704</v>
      </c>
      <c r="B31" s="54">
        <v>62.05</v>
      </c>
      <c r="C31" s="21">
        <f t="shared" si="12"/>
        <v>0.98</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23502</v>
      </c>
      <c r="S31" s="316">
        <f t="shared" ca="1" si="11"/>
        <v>146</v>
      </c>
    </row>
    <row r="32" spans="1:45">
      <c r="A32" s="150">
        <v>706</v>
      </c>
      <c r="B32" s="54">
        <v>62.05</v>
      </c>
      <c r="C32" s="21">
        <f t="shared" si="12"/>
        <v>0.98</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23972</v>
      </c>
      <c r="S32" s="316">
        <f t="shared" ca="1" si="11"/>
        <v>149</v>
      </c>
    </row>
    <row r="33" spans="1:19">
      <c r="A33" s="150">
        <v>707</v>
      </c>
      <c r="B33" s="54">
        <v>62.05</v>
      </c>
      <c r="C33" s="21">
        <f t="shared" si="12"/>
        <v>0.98</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23502</v>
      </c>
      <c r="S33" s="316">
        <f t="shared" ca="1" si="11"/>
        <v>146</v>
      </c>
    </row>
    <row r="34" spans="1:19">
      <c r="A34" s="150">
        <v>710</v>
      </c>
      <c r="B34" s="54">
        <v>62.05</v>
      </c>
      <c r="C34" s="21">
        <f t="shared" si="12"/>
        <v>0.98</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23502</v>
      </c>
      <c r="S34" s="316">
        <f t="shared" ca="1" si="11"/>
        <v>146</v>
      </c>
    </row>
    <row r="35" spans="1:19">
      <c r="A35" s="150">
        <v>805</v>
      </c>
      <c r="B35" s="54">
        <v>62.05</v>
      </c>
      <c r="C35" s="21">
        <f t="shared" si="12"/>
        <v>0.98</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23502</v>
      </c>
      <c r="S35" s="316">
        <f t="shared" ca="1" si="11"/>
        <v>146</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2"/>
      <c r="C1" s="2142"/>
      <c r="D1" s="2142"/>
      <c r="E1" s="2142"/>
      <c r="F1" s="2787"/>
      <c r="G1" s="2787"/>
      <c r="H1" s="2787"/>
      <c r="I1" s="2787"/>
      <c r="J1" s="2787"/>
      <c r="K1" s="2787"/>
      <c r="L1" s="2787"/>
      <c r="M1" s="2787"/>
      <c r="N1" s="2787"/>
      <c r="O1" s="2787"/>
      <c r="P1" s="2787"/>
    </row>
    <row r="2" spans="1:16" ht="15.6">
      <c r="A2" s="2140" t="s">
        <v>2073</v>
      </c>
      <c r="B2" s="2596">
        <f ca="1">SUMIF(B6:B13,"&lt;&gt;#ref!",B6:B13)</f>
        <v>123</v>
      </c>
      <c r="C2" s="2140" t="s">
        <v>2074</v>
      </c>
      <c r="D2" s="2140" t="s">
        <v>2075</v>
      </c>
      <c r="E2" s="2606">
        <f ca="1">SUMIF(E6:E13,"&lt;&gt;#ref!",E6:E13)</f>
        <v>111.43</v>
      </c>
      <c r="F2" s="2787"/>
      <c r="G2" s="2787"/>
      <c r="H2" s="2787"/>
      <c r="I2" s="2787"/>
      <c r="J2" s="2787"/>
      <c r="K2" s="2787"/>
      <c r="L2" s="2787"/>
      <c r="M2" s="2787"/>
      <c r="N2" s="2787"/>
      <c r="O2" s="2787"/>
      <c r="P2" s="2787"/>
    </row>
    <row r="3" spans="1:16" ht="15.6">
      <c r="A3" s="2140" t="s">
        <v>2076</v>
      </c>
      <c r="B3" s="2596">
        <f ca="1">ROUND(B2*10000/E2,0)</f>
        <v>11038</v>
      </c>
      <c r="C3" s="2140" t="s">
        <v>2082</v>
      </c>
      <c r="D3" s="2787"/>
      <c r="E3" s="2787"/>
      <c r="F3" s="2787"/>
      <c r="G3" s="2787"/>
      <c r="H3" s="2787"/>
      <c r="I3" s="2787"/>
      <c r="J3" s="2787"/>
      <c r="K3" s="2787"/>
      <c r="L3" s="2787"/>
      <c r="M3" s="2787"/>
      <c r="N3" s="2787"/>
      <c r="O3" s="2787"/>
      <c r="P3" s="2787"/>
    </row>
    <row r="4" spans="1:16" ht="15.6">
      <c r="A4" s="2788"/>
      <c r="B4" s="2787"/>
      <c r="C4" s="2787"/>
      <c r="D4" s="2787"/>
      <c r="E4" s="2787"/>
      <c r="F4" s="2787"/>
      <c r="G4" s="2787"/>
      <c r="H4" s="2787"/>
      <c r="I4" s="2787"/>
      <c r="J4" s="2787"/>
      <c r="K4" s="2787"/>
      <c r="L4" s="2787"/>
      <c r="M4" s="2787"/>
      <c r="N4" s="2787"/>
      <c r="O4" s="2787"/>
      <c r="P4" s="2787"/>
    </row>
    <row r="5" spans="1:16" ht="31.2">
      <c r="A5" s="2602" t="s">
        <v>2077</v>
      </c>
      <c r="B5" s="2604" t="s">
        <v>2078</v>
      </c>
      <c r="C5" s="2141"/>
      <c r="D5" s="2787"/>
      <c r="E5" s="2605" t="s">
        <v>2079</v>
      </c>
      <c r="F5" s="2787"/>
      <c r="G5" s="2787"/>
      <c r="H5" s="2787"/>
      <c r="I5" s="2787"/>
      <c r="J5" s="2787"/>
      <c r="K5" s="2787"/>
      <c r="L5" s="2787"/>
      <c r="M5" s="2787"/>
      <c r="N5" s="2787"/>
      <c r="O5" s="2787"/>
      <c r="P5" s="2787"/>
    </row>
    <row r="6" spans="1:16" ht="15.6">
      <c r="A6" s="2603" t="s">
        <v>2080</v>
      </c>
      <c r="B6" s="2596">
        <f ca="1">SUMIF(INDIRECT("'"&amp;A6&amp;"'"&amp;"!A:A"),"总价",INDIRECT("'"&amp;A6&amp;"'"&amp;"!B:B"))</f>
        <v>123</v>
      </c>
      <c r="C6" s="2140" t="s">
        <v>2074</v>
      </c>
      <c r="D6" s="2787"/>
      <c r="E6" s="2606">
        <f ca="1">SUMIF(INDIRECT("'"&amp;A6&amp;"'"&amp;"!C:C"),"建筑面积",INDIRECT("'"&amp;A6&amp;"'"&amp;"!D:D"))</f>
        <v>111.43</v>
      </c>
      <c r="F6" s="2787"/>
      <c r="G6" s="2787"/>
      <c r="H6" s="2787"/>
      <c r="I6" s="2787"/>
      <c r="J6" s="2787"/>
      <c r="K6" s="2787"/>
      <c r="L6" s="2787"/>
      <c r="M6" s="2787"/>
      <c r="N6" s="2787"/>
      <c r="O6" s="2787"/>
      <c r="P6" s="2787"/>
    </row>
    <row r="7" spans="1:16" ht="15.6">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6">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6">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6">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6">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6">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6">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M96" sqref="M96"/>
    </sheetView>
  </sheetViews>
  <sheetFormatPr defaultColWidth="12" defaultRowHeight="13.2"/>
  <cols>
    <col min="1" max="1" width="9.77734375" style="2048" customWidth="1"/>
    <col min="2" max="2" width="22.44140625" style="2139" customWidth="1"/>
    <col min="3" max="3" width="12" style="1993"/>
    <col min="4" max="4" width="14.88671875" style="1993" customWidth="1"/>
    <col min="5" max="5" width="14.6640625" style="1993" customWidth="1"/>
    <col min="6" max="8" width="12" style="1993"/>
    <col min="9" max="9" width="12.21875" style="1993" bestFit="1" customWidth="1"/>
    <col min="10" max="10" width="12" style="1993"/>
    <col min="11" max="11" width="8.109375" style="2044" customWidth="1"/>
    <col min="12" max="12" width="19.44140625" style="1993" customWidth="1"/>
    <col min="13" max="13" width="8.44140625" style="1993" customWidth="1"/>
    <col min="14" max="14" width="9.77734375" style="1993" customWidth="1"/>
    <col min="15" max="25" width="12" style="1993"/>
    <col min="26" max="26" width="9.33203125" style="2048" customWidth="1"/>
    <col min="27" max="32" width="9.33203125" style="1117" customWidth="1"/>
    <col min="33" max="36" width="9.33203125" style="2048" customWidth="1"/>
    <col min="37" max="38" width="9.33203125" style="1993" customWidth="1"/>
    <col min="39" max="16384" width="12" style="1993"/>
  </cols>
  <sheetData>
    <row r="1" spans="1:36" ht="31.2">
      <c r="A1" s="196" t="s">
        <v>1926</v>
      </c>
      <c r="B1" s="197"/>
      <c r="C1" s="201" t="s">
        <v>1927</v>
      </c>
      <c r="D1" s="342">
        <f>SUM(D33:D34,D37:D42)</f>
        <v>111.43</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123</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11038</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6">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6"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6"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6"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6.4">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8"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24.6"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24">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6"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ht="24">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3.8">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4.4"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3.8">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7"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7"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6"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4.4">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4">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4.4">
      <c r="A30" s="2077"/>
      <c r="B30" s="2065" t="s">
        <v>2024</v>
      </c>
      <c r="C30" s="2316">
        <f>IF(B25="容积率修正",E33+SUM(E37:E42),SUM(V2:V16)+SUM(E37:E42))</f>
        <v>123</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3.8">
      <c r="A33" s="2091"/>
      <c r="B33" s="2092" t="s">
        <v>2030</v>
      </c>
      <c r="C33" s="175">
        <f>ROUND(C5*C22*C23*C24*C25*C28,0)</f>
        <v>11038</v>
      </c>
      <c r="D33" s="2093">
        <f>'数据-汇总表'!F19</f>
        <v>111.43</v>
      </c>
      <c r="E33" s="771">
        <f>ROUND(C33*D33/10000,0)</f>
        <v>123</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8"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36.6"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6"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8"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8"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52.8">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48">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7.200000000000003">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36">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6.4">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6.4">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40.200000000000003"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4.4">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48">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3.8">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6.4">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6.4">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36">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39.6">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36.6"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4.4">
      <c r="A81" s="2121" t="s">
        <v>2069</v>
      </c>
      <c r="B81" s="2122">
        <f>1+E83</f>
        <v>1</v>
      </c>
      <c r="C81" s="739"/>
      <c r="D81" s="739"/>
      <c r="E81" s="740"/>
      <c r="F81" s="2124"/>
      <c r="G81" s="3"/>
      <c r="H81" s="3"/>
      <c r="I81" s="3"/>
      <c r="J81" s="4"/>
      <c r="K81" s="4"/>
      <c r="L81" s="4"/>
      <c r="M81" s="4"/>
      <c r="N81" s="4"/>
      <c r="Z81" s="1993"/>
      <c r="AA81" s="2048"/>
      <c r="AG81" s="1117"/>
      <c r="AK81" s="2048"/>
    </row>
    <row r="82" spans="1:37" ht="25.2">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9.6">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52.8">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48">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3.8">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6.4">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6.4">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36">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40.200000000000003"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3.8">
      <c r="A91" s="3371" t="s">
        <v>2616</v>
      </c>
      <c r="B91" s="3372">
        <f>1+E93</f>
        <v>1</v>
      </c>
      <c r="C91" s="3365"/>
      <c r="D91" s="3366"/>
      <c r="E91" s="1810"/>
      <c r="F91" s="1810"/>
      <c r="G91" s="3367"/>
      <c r="H91" s="3368"/>
      <c r="I91" s="3369"/>
      <c r="J91" s="3370"/>
      <c r="K91" s="3370"/>
      <c r="L91" s="3370"/>
      <c r="M91" s="3370"/>
      <c r="N91" s="3370"/>
    </row>
    <row r="92" spans="1:37" ht="25.2">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52.8">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48">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7.200000000000003">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36">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6.4">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6.4">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40.200000000000003"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8"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7.399999999999999">
      <c r="A3" s="3481" t="str">
        <f>IF(项目基本情况!B9="房地产市场价值","估价结果一览表（市场价值不需“结果表-1”）","估价结果一览表")</f>
        <v>估价结果一览表</v>
      </c>
      <c r="B3" s="3481"/>
      <c r="C3" s="3481"/>
      <c r="D3" s="3481"/>
      <c r="E3" s="3481"/>
    </row>
    <row r="4" spans="1:5" ht="18" thickBot="1">
      <c r="A4" s="1489"/>
      <c r="B4" s="3479" t="s">
        <v>917</v>
      </c>
      <c r="C4" s="3479"/>
      <c r="D4" s="3479"/>
      <c r="E4" s="1489"/>
    </row>
    <row r="5" spans="1:5" ht="16.2" thickTop="1">
      <c r="A5" s="1487"/>
      <c r="B5" s="3477" t="s">
        <v>909</v>
      </c>
      <c r="C5" s="1490" t="s">
        <v>910</v>
      </c>
      <c r="D5" s="848">
        <f ca="1">结果表!H101</f>
        <v>255</v>
      </c>
      <c r="E5" s="1487"/>
    </row>
    <row r="6" spans="1:5" ht="15.6">
      <c r="A6" s="1487"/>
      <c r="B6" s="3477"/>
      <c r="C6" s="1490" t="s">
        <v>911</v>
      </c>
      <c r="D6" s="848" t="str">
        <f ca="1">NUMBERSTRING(INT(D5*10000),2)&amp;"元整"</f>
        <v>贰佰伍拾伍万元整</v>
      </c>
      <c r="E6" s="1487"/>
    </row>
    <row r="7" spans="1:5" ht="15.6">
      <c r="A7" s="1487"/>
      <c r="B7" s="3482"/>
      <c r="C7" s="1491" t="s">
        <v>912</v>
      </c>
      <c r="D7" s="849">
        <f ca="1">结果表!H102</f>
        <v>22840</v>
      </c>
      <c r="E7" s="1487"/>
    </row>
    <row r="8" spans="1:5" ht="15.6">
      <c r="A8" s="1487"/>
      <c r="B8" s="3483" t="str">
        <f>结果表!E103</f>
        <v>2.估价师知悉的法定优先受偿款</v>
      </c>
      <c r="C8" s="1492" t="s">
        <v>913</v>
      </c>
      <c r="D8" s="849">
        <f>结果表!H103</f>
        <v>0</v>
      </c>
      <c r="E8" s="1487"/>
    </row>
    <row r="9" spans="1:5" ht="15.6">
      <c r="A9" s="1487"/>
      <c r="B9" s="3485"/>
      <c r="C9" s="1490" t="s">
        <v>911</v>
      </c>
      <c r="D9" s="848" t="str">
        <f>NUMBERSTRING(INT(D8*10000),2)&amp;"元整"</f>
        <v>零元整</v>
      </c>
      <c r="E9" s="1487"/>
    </row>
    <row r="10" spans="1:5" ht="15.6">
      <c r="A10" s="1487"/>
      <c r="B10" s="1493" t="s">
        <v>916</v>
      </c>
      <c r="C10" s="1494" t="s">
        <v>914</v>
      </c>
      <c r="D10" s="850">
        <f>结果表!H104</f>
        <v>0</v>
      </c>
      <c r="E10" s="1487"/>
    </row>
    <row r="11" spans="1:5" ht="15.6">
      <c r="A11" s="1487"/>
      <c r="B11" s="1493" t="s">
        <v>918</v>
      </c>
      <c r="C11" s="1494" t="s">
        <v>919</v>
      </c>
      <c r="D11" s="850">
        <f>结果表!H105</f>
        <v>0</v>
      </c>
      <c r="E11" s="1487"/>
    </row>
    <row r="12" spans="1:5" ht="15.6">
      <c r="A12" s="1487"/>
      <c r="B12" s="1493" t="s">
        <v>920</v>
      </c>
      <c r="C12" s="1494" t="s">
        <v>919</v>
      </c>
      <c r="D12" s="850">
        <f>结果表!H106</f>
        <v>0</v>
      </c>
      <c r="E12" s="1487"/>
    </row>
    <row r="13" spans="1:5" ht="15.6">
      <c r="A13" s="1487"/>
      <c r="B13" s="3476" t="str">
        <f>结果表!E107</f>
        <v>3.房地产抵押价值</v>
      </c>
      <c r="C13" s="1495" t="s">
        <v>910</v>
      </c>
      <c r="D13" s="851">
        <f ca="1">结果表!H107</f>
        <v>255</v>
      </c>
      <c r="E13" s="1487"/>
    </row>
    <row r="14" spans="1:5" ht="15.6">
      <c r="A14" s="1487"/>
      <c r="B14" s="3477"/>
      <c r="C14" s="1490" t="s">
        <v>911</v>
      </c>
      <c r="D14" s="848" t="str">
        <f ca="1">NUMBERSTRING(INT(D13*10000),2)&amp;"元整"</f>
        <v>贰佰伍拾伍万元整</v>
      </c>
      <c r="E14" s="1487"/>
    </row>
    <row r="15" spans="1:5" ht="15.6">
      <c r="A15" s="1487"/>
      <c r="B15" s="3482"/>
      <c r="C15" s="1491" t="s">
        <v>921</v>
      </c>
      <c r="D15" s="857">
        <f ca="1">结果表!H108</f>
        <v>22840</v>
      </c>
      <c r="E15" s="1487"/>
    </row>
    <row r="16" spans="1:5" ht="15.6">
      <c r="A16" s="1487"/>
      <c r="B16" s="3483" t="str">
        <f>结果表!E109</f>
        <v>——</v>
      </c>
      <c r="C16" s="1495" t="s">
        <v>922</v>
      </c>
      <c r="D16" s="1496" t="str">
        <f>结果表!H109</f>
        <v>——</v>
      </c>
      <c r="E16" s="1487"/>
    </row>
    <row r="17" spans="1:5" ht="15.6">
      <c r="A17" s="1487"/>
      <c r="B17" s="3484"/>
      <c r="C17" s="1490" t="s">
        <v>923</v>
      </c>
      <c r="D17" s="848" t="e">
        <f>NUMBERSTRING(INT(D16*10000),2)&amp;"元整"</f>
        <v>#VALUE!</v>
      </c>
      <c r="E17" s="1487"/>
    </row>
    <row r="18" spans="1:5" ht="15.6">
      <c r="A18" s="1487"/>
      <c r="B18" s="3485"/>
      <c r="C18" s="1491" t="s">
        <v>912</v>
      </c>
      <c r="D18" s="857" t="str">
        <f>结果表!H110</f>
        <v>——</v>
      </c>
      <c r="E18" s="1487"/>
    </row>
    <row r="19" spans="1:5" ht="15.6">
      <c r="A19" s="1487"/>
      <c r="B19" s="3476" t="str">
        <f>结果表!E111</f>
        <v>——</v>
      </c>
      <c r="C19" s="1495" t="s">
        <v>910</v>
      </c>
      <c r="D19" s="849" t="str">
        <f>结果表!H111</f>
        <v>——</v>
      </c>
      <c r="E19" s="1487"/>
    </row>
    <row r="20" spans="1:5" ht="15.6">
      <c r="A20" s="1487"/>
      <c r="B20" s="3477"/>
      <c r="C20" s="1490" t="s">
        <v>923</v>
      </c>
      <c r="D20" s="848" t="e">
        <f>NUMBERSTRING(INT(D19*10000),2)&amp;"元整"</f>
        <v>#VALUE!</v>
      </c>
      <c r="E20" s="1487"/>
    </row>
    <row r="21" spans="1:5" ht="16.2" thickBot="1">
      <c r="A21" s="1487"/>
      <c r="B21" s="3478"/>
      <c r="C21" s="1497" t="s">
        <v>921</v>
      </c>
      <c r="D21" s="858"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68" customWidth="1"/>
    <col min="14" max="14" width="10" style="3068" customWidth="1"/>
    <col min="15" max="16" width="8.21875" style="3068"/>
    <col min="17" max="17" width="34.109375" style="3068" customWidth="1"/>
    <col min="18" max="18" width="8.21875" style="3068" customWidth="1"/>
    <col min="19" max="19" width="8.21875" style="3068"/>
    <col min="20" max="20" width="11.6640625" style="3068" customWidth="1"/>
    <col min="21" max="16384" width="8.2187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3" t="s">
        <v>2611</v>
      </c>
      <c r="B20" s="3786" t="s">
        <v>2632</v>
      </c>
      <c r="C20" s="3097" t="s">
        <v>2443</v>
      </c>
      <c r="D20" s="3098"/>
      <c r="E20" s="3099">
        <v>1</v>
      </c>
      <c r="F20" s="3100" t="s">
        <v>2444</v>
      </c>
      <c r="G20" s="3100"/>
    </row>
    <row r="21" spans="1:13" ht="19.5" customHeight="1">
      <c r="A21" s="3794"/>
      <c r="B21" s="3787"/>
      <c r="C21" s="3101" t="s">
        <v>2445</v>
      </c>
      <c r="D21" s="3102"/>
      <c r="E21" s="3103">
        <v>1</v>
      </c>
      <c r="F21" s="3100" t="s">
        <v>2446</v>
      </c>
      <c r="G21" s="3100"/>
    </row>
    <row r="22" spans="1:13" ht="19.5" customHeight="1">
      <c r="A22" s="3794"/>
      <c r="B22" s="3787"/>
      <c r="C22" s="3101" t="s">
        <v>2447</v>
      </c>
      <c r="D22" s="3102"/>
      <c r="E22" s="3103">
        <v>0.9</v>
      </c>
      <c r="F22" s="3100" t="s">
        <v>2448</v>
      </c>
      <c r="G22" s="3100"/>
    </row>
    <row r="23" spans="1:13" ht="19.5" customHeight="1">
      <c r="A23" s="3794"/>
      <c r="B23" s="3787"/>
      <c r="C23" s="3101" t="s">
        <v>2449</v>
      </c>
      <c r="D23" s="3102"/>
      <c r="E23" s="3103">
        <v>0.9</v>
      </c>
      <c r="F23" s="3100" t="s">
        <v>2450</v>
      </c>
      <c r="G23" s="3100"/>
    </row>
    <row r="24" spans="1:13" ht="19.5" customHeight="1">
      <c r="A24" s="3794"/>
      <c r="B24" s="3787"/>
      <c r="C24" s="3101" t="s">
        <v>2451</v>
      </c>
      <c r="D24" s="3102"/>
      <c r="E24" s="3103">
        <v>0.8</v>
      </c>
      <c r="F24" s="3100" t="s">
        <v>2452</v>
      </c>
      <c r="G24" s="3100"/>
    </row>
    <row r="25" spans="1:13" ht="19.5" customHeight="1" thickBot="1">
      <c r="A25" s="3795"/>
      <c r="B25" s="3788"/>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89" t="s">
        <v>2635</v>
      </c>
      <c r="B27" s="3786" t="s">
        <v>2616</v>
      </c>
      <c r="C27" s="3097" t="s">
        <v>2456</v>
      </c>
      <c r="D27" s="3098"/>
      <c r="E27" s="3099">
        <v>1</v>
      </c>
      <c r="F27" s="3100" t="s">
        <v>2457</v>
      </c>
      <c r="G27" s="3100"/>
    </row>
    <row r="28" spans="1:13" ht="19.5" customHeight="1">
      <c r="A28" s="3790"/>
      <c r="B28" s="3787"/>
      <c r="C28" s="3101" t="s">
        <v>2458</v>
      </c>
      <c r="D28" s="3102"/>
      <c r="E28" s="3103">
        <v>1</v>
      </c>
      <c r="F28" s="3100" t="s">
        <v>2459</v>
      </c>
      <c r="G28" s="3100"/>
    </row>
    <row r="29" spans="1:13" ht="19.5" customHeight="1">
      <c r="A29" s="3790"/>
      <c r="B29" s="3787"/>
      <c r="C29" s="3101" t="s">
        <v>2460</v>
      </c>
      <c r="D29" s="3102"/>
      <c r="E29" s="3103">
        <v>0.8</v>
      </c>
      <c r="F29" s="3100" t="s">
        <v>2461</v>
      </c>
      <c r="G29" s="3100"/>
    </row>
    <row r="30" spans="1:13" ht="19.5" customHeight="1">
      <c r="A30" s="3790"/>
      <c r="B30" s="3787"/>
      <c r="C30" s="3101" t="s">
        <v>2462</v>
      </c>
      <c r="D30" s="3102"/>
      <c r="E30" s="3103">
        <v>0.8</v>
      </c>
      <c r="F30" s="3100" t="s">
        <v>2463</v>
      </c>
      <c r="G30" s="3100"/>
    </row>
    <row r="31" spans="1:13" ht="19.5" customHeight="1">
      <c r="A31" s="3790"/>
      <c r="B31" s="3787"/>
      <c r="C31" s="3101" t="s">
        <v>2464</v>
      </c>
      <c r="D31" s="3102"/>
      <c r="E31" s="3103">
        <v>0.8</v>
      </c>
      <c r="F31" s="3100" t="s">
        <v>2465</v>
      </c>
      <c r="G31" s="3100"/>
    </row>
    <row r="32" spans="1:13" ht="19.5" customHeight="1">
      <c r="A32" s="3790"/>
      <c r="B32" s="3787"/>
      <c r="C32" s="3101" t="s">
        <v>2466</v>
      </c>
      <c r="D32" s="3102"/>
      <c r="E32" s="3103">
        <v>0.7</v>
      </c>
      <c r="F32" s="3100" t="s">
        <v>2467</v>
      </c>
      <c r="G32" s="3100"/>
    </row>
    <row r="33" spans="1:7" ht="19.5" customHeight="1">
      <c r="A33" s="3790"/>
      <c r="B33" s="3787"/>
      <c r="C33" s="3101" t="s">
        <v>2468</v>
      </c>
      <c r="D33" s="3102"/>
      <c r="E33" s="3103">
        <v>0.8</v>
      </c>
      <c r="F33" s="3100" t="s">
        <v>2469</v>
      </c>
      <c r="G33" s="3100"/>
    </row>
    <row r="34" spans="1:7" ht="19.5" customHeight="1">
      <c r="A34" s="3790"/>
      <c r="B34" s="3787"/>
      <c r="C34" s="3101" t="s">
        <v>2470</v>
      </c>
      <c r="D34" s="3102"/>
      <c r="E34" s="3103">
        <v>0.6</v>
      </c>
      <c r="F34" s="3100" t="s">
        <v>2471</v>
      </c>
      <c r="G34" s="3100"/>
    </row>
    <row r="35" spans="1:7" ht="19.5" customHeight="1">
      <c r="A35" s="3790"/>
      <c r="B35" s="3787"/>
      <c r="C35" s="3101" t="s">
        <v>2472</v>
      </c>
      <c r="D35" s="3102"/>
      <c r="E35" s="3103">
        <v>0.2</v>
      </c>
      <c r="F35" s="3100" t="s">
        <v>2473</v>
      </c>
      <c r="G35" s="3100"/>
    </row>
    <row r="36" spans="1:7" ht="19.5" customHeight="1">
      <c r="A36" s="3790"/>
      <c r="B36" s="3787"/>
      <c r="C36" s="3101" t="s">
        <v>2474</v>
      </c>
      <c r="D36" s="3102"/>
      <c r="E36" s="3103">
        <v>0.2</v>
      </c>
      <c r="F36" s="3100" t="s">
        <v>2475</v>
      </c>
      <c r="G36" s="3100"/>
    </row>
    <row r="37" spans="1:7" ht="19.5" customHeight="1">
      <c r="A37" s="3790"/>
      <c r="B37" s="3792" t="s">
        <v>2636</v>
      </c>
      <c r="C37" s="3101" t="s">
        <v>2476</v>
      </c>
      <c r="D37" s="3102"/>
      <c r="E37" s="3103">
        <v>0.6</v>
      </c>
      <c r="F37" s="3100" t="s">
        <v>2477</v>
      </c>
      <c r="G37" s="3100"/>
    </row>
    <row r="38" spans="1:7" ht="19.5" customHeight="1">
      <c r="A38" s="3790"/>
      <c r="B38" s="3787"/>
      <c r="C38" s="3101" t="s">
        <v>2478</v>
      </c>
      <c r="D38" s="3102"/>
      <c r="E38" s="3103">
        <v>0.6</v>
      </c>
      <c r="F38" s="3100" t="s">
        <v>2479</v>
      </c>
      <c r="G38" s="3100"/>
    </row>
    <row r="39" spans="1:7" ht="19.5" customHeight="1" thickBot="1">
      <c r="A39" s="3791"/>
      <c r="B39" s="3788"/>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3" t="s">
        <v>2614</v>
      </c>
      <c r="B41" s="3786" t="s">
        <v>2638</v>
      </c>
      <c r="C41" s="3097" t="s">
        <v>2483</v>
      </c>
      <c r="D41" s="3098"/>
      <c r="E41" s="3099">
        <v>1</v>
      </c>
      <c r="F41" s="3100" t="s">
        <v>2484</v>
      </c>
      <c r="G41" s="3100"/>
    </row>
    <row r="42" spans="1:7" ht="19.5" customHeight="1">
      <c r="A42" s="3794"/>
      <c r="B42" s="3787"/>
      <c r="C42" s="3101" t="s">
        <v>2485</v>
      </c>
      <c r="D42" s="3102"/>
      <c r="E42" s="3103">
        <v>1</v>
      </c>
      <c r="F42" s="3100" t="s">
        <v>2486</v>
      </c>
      <c r="G42" s="3100"/>
    </row>
    <row r="43" spans="1:7" ht="19.5" customHeight="1">
      <c r="A43" s="3794"/>
      <c r="B43" s="3796"/>
      <c r="C43" s="3101" t="s">
        <v>2487</v>
      </c>
      <c r="D43" s="3102"/>
      <c r="E43" s="3103">
        <v>1.5</v>
      </c>
      <c r="F43" s="3100" t="s">
        <v>2488</v>
      </c>
      <c r="G43" s="3100"/>
    </row>
    <row r="44" spans="1:7" ht="19.5" customHeight="1">
      <c r="A44" s="3794"/>
      <c r="B44" s="3112" t="s">
        <v>2639</v>
      </c>
      <c r="C44" s="3101" t="s">
        <v>2640</v>
      </c>
      <c r="D44" s="3102"/>
      <c r="E44" s="3103">
        <v>2</v>
      </c>
      <c r="F44" s="3100" t="s">
        <v>2489</v>
      </c>
      <c r="G44" s="3100"/>
    </row>
    <row r="45" spans="1:7" ht="19.5" customHeight="1">
      <c r="A45" s="3794"/>
      <c r="B45" s="3792" t="s">
        <v>2641</v>
      </c>
      <c r="C45" s="3101" t="s">
        <v>2490</v>
      </c>
      <c r="D45" s="3102"/>
      <c r="E45" s="3103">
        <v>1</v>
      </c>
      <c r="F45" s="3100" t="s">
        <v>2491</v>
      </c>
      <c r="G45" s="3100"/>
    </row>
    <row r="46" spans="1:7" ht="19.5" customHeight="1">
      <c r="A46" s="3794"/>
      <c r="B46" s="3787"/>
      <c r="C46" s="3101" t="s">
        <v>2492</v>
      </c>
      <c r="D46" s="3102"/>
      <c r="E46" s="3103">
        <v>1</v>
      </c>
      <c r="F46" s="3100" t="s">
        <v>2493</v>
      </c>
      <c r="G46" s="3100"/>
    </row>
    <row r="47" spans="1:7" ht="19.5" customHeight="1">
      <c r="A47" s="3794"/>
      <c r="B47" s="3787"/>
      <c r="C47" s="3101" t="s">
        <v>2494</v>
      </c>
      <c r="D47" s="3102"/>
      <c r="E47" s="3103">
        <v>1</v>
      </c>
      <c r="F47" s="3100" t="s">
        <v>2495</v>
      </c>
      <c r="G47" s="3100"/>
    </row>
    <row r="48" spans="1:7" ht="19.5" customHeight="1">
      <c r="A48" s="3794"/>
      <c r="B48" s="3787"/>
      <c r="C48" s="3101" t="s">
        <v>2496</v>
      </c>
      <c r="D48" s="3102"/>
      <c r="E48" s="3103">
        <v>1</v>
      </c>
      <c r="F48" s="3100" t="s">
        <v>2497</v>
      </c>
      <c r="G48" s="3100"/>
    </row>
    <row r="49" spans="1:7" ht="19.5" customHeight="1">
      <c r="A49" s="3794"/>
      <c r="B49" s="3787"/>
      <c r="C49" s="3101" t="s">
        <v>2498</v>
      </c>
      <c r="D49" s="3102"/>
      <c r="E49" s="3103">
        <v>1</v>
      </c>
      <c r="F49" s="3100" t="s">
        <v>2499</v>
      </c>
      <c r="G49" s="3100"/>
    </row>
    <row r="50" spans="1:7" ht="19.5" customHeight="1">
      <c r="A50" s="3794"/>
      <c r="B50" s="3787"/>
      <c r="C50" s="3101" t="s">
        <v>2500</v>
      </c>
      <c r="D50" s="3102"/>
      <c r="E50" s="3103">
        <v>1</v>
      </c>
      <c r="F50" s="3100" t="s">
        <v>2501</v>
      </c>
      <c r="G50" s="3100"/>
    </row>
    <row r="51" spans="1:7" ht="19.5" customHeight="1" thickBot="1">
      <c r="A51" s="3795"/>
      <c r="B51" s="3788"/>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4.4">
      <c r="A72" s="3112"/>
      <c r="B72" s="3112"/>
      <c r="C72" s="3112" t="s">
        <v>2654</v>
      </c>
      <c r="D72" s="3112"/>
      <c r="E72" s="3112" t="s">
        <v>2625</v>
      </c>
      <c r="F72" s="3112" t="s">
        <v>2625</v>
      </c>
    </row>
    <row r="73" spans="1:7" ht="14.4">
      <c r="A73" s="3112">
        <v>1</v>
      </c>
      <c r="B73" s="3792" t="s">
        <v>2655</v>
      </c>
      <c r="C73" s="3086" t="s">
        <v>2656</v>
      </c>
      <c r="D73" s="3086" t="s">
        <v>2657</v>
      </c>
      <c r="E73" s="3112">
        <v>0.2</v>
      </c>
      <c r="F73" s="3112">
        <v>25</v>
      </c>
    </row>
    <row r="74" spans="1:7" ht="24">
      <c r="A74" s="3112">
        <v>2</v>
      </c>
      <c r="B74" s="3787"/>
      <c r="C74" s="3086" t="s">
        <v>2658</v>
      </c>
      <c r="D74" s="3086" t="s">
        <v>2659</v>
      </c>
      <c r="E74" s="3112">
        <v>0.2</v>
      </c>
      <c r="F74" s="3112">
        <v>25</v>
      </c>
    </row>
    <row r="75" spans="1:7" ht="24">
      <c r="A75" s="3112">
        <v>3</v>
      </c>
      <c r="B75" s="3787"/>
      <c r="C75" s="3086" t="s">
        <v>2660</v>
      </c>
      <c r="D75" s="3086" t="s">
        <v>2661</v>
      </c>
      <c r="E75" s="3112">
        <v>0.2</v>
      </c>
      <c r="F75" s="3112">
        <v>25</v>
      </c>
    </row>
    <row r="76" spans="1:7" ht="14.4">
      <c r="A76" s="3112">
        <v>4</v>
      </c>
      <c r="B76" s="3787"/>
      <c r="C76" s="3086" t="s">
        <v>2662</v>
      </c>
      <c r="D76" s="3086" t="s">
        <v>2663</v>
      </c>
      <c r="E76" s="3112">
        <v>0.15</v>
      </c>
      <c r="F76" s="3112">
        <v>20</v>
      </c>
    </row>
    <row r="77" spans="1:7" ht="24">
      <c r="A77" s="3112">
        <v>5</v>
      </c>
      <c r="B77" s="3787"/>
      <c r="C77" s="3086" t="s">
        <v>2664</v>
      </c>
      <c r="D77" s="3086" t="s">
        <v>2665</v>
      </c>
      <c r="E77" s="3112">
        <v>0.15</v>
      </c>
      <c r="F77" s="3112">
        <v>20</v>
      </c>
    </row>
    <row r="78" spans="1:7" ht="24">
      <c r="A78" s="3112">
        <v>6</v>
      </c>
      <c r="B78" s="3787"/>
      <c r="C78" s="3086" t="s">
        <v>2666</v>
      </c>
      <c r="D78" s="3086" t="s">
        <v>2667</v>
      </c>
      <c r="E78" s="3112">
        <v>0.15</v>
      </c>
      <c r="F78" s="3112">
        <v>20</v>
      </c>
    </row>
    <row r="79" spans="1:7" ht="24">
      <c r="A79" s="3112">
        <v>7</v>
      </c>
      <c r="B79" s="3787"/>
      <c r="C79" s="3086" t="s">
        <v>2668</v>
      </c>
      <c r="D79" s="3086" t="s">
        <v>2669</v>
      </c>
      <c r="E79" s="3112">
        <v>0.15</v>
      </c>
      <c r="F79" s="3112">
        <v>20</v>
      </c>
    </row>
    <row r="80" spans="1:7" ht="24">
      <c r="A80" s="3112">
        <v>8</v>
      </c>
      <c r="B80" s="3787"/>
      <c r="C80" s="3086" t="s">
        <v>2670</v>
      </c>
      <c r="D80" s="3086" t="s">
        <v>2671</v>
      </c>
      <c r="E80" s="3112">
        <v>0.1</v>
      </c>
      <c r="F80" s="3112">
        <v>15</v>
      </c>
    </row>
    <row r="81" spans="1:6" ht="24">
      <c r="A81" s="3112">
        <v>9</v>
      </c>
      <c r="B81" s="3787"/>
      <c r="C81" s="3086" t="s">
        <v>2672</v>
      </c>
      <c r="D81" s="3086" t="s">
        <v>2673</v>
      </c>
      <c r="E81" s="3112">
        <v>0.1</v>
      </c>
      <c r="F81" s="3112">
        <v>15</v>
      </c>
    </row>
    <row r="82" spans="1:6" ht="24">
      <c r="A82" s="3112">
        <v>10</v>
      </c>
      <c r="B82" s="3787"/>
      <c r="C82" s="3086" t="s">
        <v>2674</v>
      </c>
      <c r="D82" s="3086" t="s">
        <v>2675</v>
      </c>
      <c r="E82" s="3112">
        <v>0.1</v>
      </c>
      <c r="F82" s="3112">
        <v>15</v>
      </c>
    </row>
    <row r="83" spans="1:6" ht="24">
      <c r="A83" s="3112">
        <v>11</v>
      </c>
      <c r="B83" s="3787"/>
      <c r="C83" s="3086" t="s">
        <v>2676</v>
      </c>
      <c r="D83" s="3086" t="s">
        <v>2677</v>
      </c>
      <c r="E83" s="3112">
        <v>0.1</v>
      </c>
      <c r="F83" s="3112">
        <v>15</v>
      </c>
    </row>
    <row r="84" spans="1:6" ht="24">
      <c r="A84" s="3112">
        <v>12</v>
      </c>
      <c r="B84" s="3787"/>
      <c r="C84" s="3086" t="s">
        <v>2678</v>
      </c>
      <c r="D84" s="3086" t="s">
        <v>2679</v>
      </c>
      <c r="E84" s="3112">
        <v>0.1</v>
      </c>
      <c r="F84" s="3112">
        <v>15</v>
      </c>
    </row>
    <row r="85" spans="1:6" ht="24">
      <c r="A85" s="3112">
        <v>13</v>
      </c>
      <c r="B85" s="3787"/>
      <c r="C85" s="3086" t="s">
        <v>2680</v>
      </c>
      <c r="D85" s="3086" t="s">
        <v>2681</v>
      </c>
      <c r="E85" s="3112">
        <v>0.1</v>
      </c>
      <c r="F85" s="3112">
        <v>15</v>
      </c>
    </row>
    <row r="86" spans="1:6" ht="24">
      <c r="A86" s="3112">
        <v>14</v>
      </c>
      <c r="B86" s="3787"/>
      <c r="C86" s="3086" t="s">
        <v>2682</v>
      </c>
      <c r="D86" s="3086" t="s">
        <v>2683</v>
      </c>
      <c r="E86" s="3112">
        <v>0.1</v>
      </c>
      <c r="F86" s="3112">
        <v>15</v>
      </c>
    </row>
    <row r="87" spans="1:6" ht="24">
      <c r="A87" s="3112">
        <v>15</v>
      </c>
      <c r="B87" s="3787"/>
      <c r="C87" s="3086" t="s">
        <v>2684</v>
      </c>
      <c r="D87" s="3086" t="s">
        <v>2685</v>
      </c>
      <c r="E87" s="3112">
        <v>0.1</v>
      </c>
      <c r="F87" s="3112">
        <v>15</v>
      </c>
    </row>
    <row r="88" spans="1:6" ht="24">
      <c r="A88" s="3112">
        <v>16</v>
      </c>
      <c r="B88" s="3787"/>
      <c r="C88" s="3086" t="s">
        <v>2686</v>
      </c>
      <c r="D88" s="3086" t="s">
        <v>2687</v>
      </c>
      <c r="E88" s="3112">
        <v>0.1</v>
      </c>
      <c r="F88" s="3112">
        <v>15</v>
      </c>
    </row>
    <row r="89" spans="1:6" ht="24">
      <c r="A89" s="3112">
        <v>17</v>
      </c>
      <c r="B89" s="3796"/>
      <c r="C89" s="3086" t="s">
        <v>2688</v>
      </c>
      <c r="D89" s="3086" t="s">
        <v>2689</v>
      </c>
      <c r="E89" s="3112">
        <v>0.1</v>
      </c>
      <c r="F89" s="3112">
        <v>15</v>
      </c>
    </row>
    <row r="90" spans="1:6" ht="14.4">
      <c r="A90" s="3112">
        <v>18</v>
      </c>
      <c r="B90" s="3792" t="s">
        <v>2690</v>
      </c>
      <c r="C90" s="3086" t="s">
        <v>2691</v>
      </c>
      <c r="D90" s="3086" t="s">
        <v>2692</v>
      </c>
      <c r="E90" s="3112">
        <v>0.2</v>
      </c>
      <c r="F90" s="3112">
        <v>25</v>
      </c>
    </row>
    <row r="91" spans="1:6" ht="24">
      <c r="A91" s="3112">
        <v>19</v>
      </c>
      <c r="B91" s="3787"/>
      <c r="C91" s="3086" t="s">
        <v>2693</v>
      </c>
      <c r="D91" s="3086" t="s">
        <v>2694</v>
      </c>
      <c r="E91" s="3112">
        <v>0.2</v>
      </c>
      <c r="F91" s="3112">
        <v>25</v>
      </c>
    </row>
    <row r="92" spans="1:6" ht="14.4">
      <c r="A92" s="3112">
        <v>20</v>
      </c>
      <c r="B92" s="3787"/>
      <c r="C92" s="3086" t="s">
        <v>2695</v>
      </c>
      <c r="D92" s="3086" t="s">
        <v>2696</v>
      </c>
      <c r="E92" s="3112">
        <v>0.15</v>
      </c>
      <c r="F92" s="3112">
        <v>20</v>
      </c>
    </row>
    <row r="93" spans="1:6" ht="24">
      <c r="A93" s="3112">
        <v>21</v>
      </c>
      <c r="B93" s="3787"/>
      <c r="C93" s="3086" t="s">
        <v>2697</v>
      </c>
      <c r="D93" s="3086" t="s">
        <v>2698</v>
      </c>
      <c r="E93" s="3112">
        <v>0.15</v>
      </c>
      <c r="F93" s="3112">
        <v>20</v>
      </c>
    </row>
    <row r="94" spans="1:6" ht="24">
      <c r="A94" s="3112">
        <v>22</v>
      </c>
      <c r="B94" s="3787"/>
      <c r="C94" s="3086" t="s">
        <v>2699</v>
      </c>
      <c r="D94" s="3086" t="s">
        <v>2700</v>
      </c>
      <c r="E94" s="3112">
        <v>0.15</v>
      </c>
      <c r="F94" s="3112">
        <v>20</v>
      </c>
    </row>
    <row r="95" spans="1:6" ht="36">
      <c r="A95" s="3112">
        <v>23</v>
      </c>
      <c r="B95" s="3787"/>
      <c r="C95" s="3086" t="s">
        <v>2701</v>
      </c>
      <c r="D95" s="3086" t="s">
        <v>2702</v>
      </c>
      <c r="E95" s="3112">
        <v>0.15</v>
      </c>
      <c r="F95" s="3112">
        <v>20</v>
      </c>
    </row>
    <row r="96" spans="1:6" ht="24">
      <c r="A96" s="3112">
        <v>24</v>
      </c>
      <c r="B96" s="3787"/>
      <c r="C96" s="3086" t="s">
        <v>2703</v>
      </c>
      <c r="D96" s="3086" t="s">
        <v>2704</v>
      </c>
      <c r="E96" s="3112">
        <v>0.1</v>
      </c>
      <c r="F96" s="3112">
        <v>15</v>
      </c>
    </row>
    <row r="97" spans="1:6" ht="24">
      <c r="A97" s="3112">
        <v>25</v>
      </c>
      <c r="B97" s="3787"/>
      <c r="C97" s="3086" t="s">
        <v>2705</v>
      </c>
      <c r="D97" s="3086" t="s">
        <v>2706</v>
      </c>
      <c r="E97" s="3112">
        <v>0.1</v>
      </c>
      <c r="F97" s="3112">
        <v>15</v>
      </c>
    </row>
    <row r="98" spans="1:6" ht="24">
      <c r="A98" s="3112">
        <v>26</v>
      </c>
      <c r="B98" s="3787"/>
      <c r="C98" s="3086" t="s">
        <v>2707</v>
      </c>
      <c r="D98" s="3086" t="s">
        <v>2708</v>
      </c>
      <c r="E98" s="3112">
        <v>0.1</v>
      </c>
      <c r="F98" s="3112">
        <v>15</v>
      </c>
    </row>
    <row r="99" spans="1:6" ht="24">
      <c r="A99" s="3112">
        <v>27</v>
      </c>
      <c r="B99" s="3787"/>
      <c r="C99" s="3086" t="s">
        <v>2709</v>
      </c>
      <c r="D99" s="3086" t="s">
        <v>2710</v>
      </c>
      <c r="E99" s="3112">
        <v>0.1</v>
      </c>
      <c r="F99" s="3112">
        <v>15</v>
      </c>
    </row>
    <row r="100" spans="1:6" ht="24">
      <c r="A100" s="3112">
        <v>28</v>
      </c>
      <c r="B100" s="3787"/>
      <c r="C100" s="3086" t="s">
        <v>2711</v>
      </c>
      <c r="D100" s="3086" t="s">
        <v>2712</v>
      </c>
      <c r="E100" s="3112">
        <v>0.1</v>
      </c>
      <c r="F100" s="3112">
        <v>15</v>
      </c>
    </row>
    <row r="101" spans="1:6" ht="24">
      <c r="A101" s="3112">
        <v>29</v>
      </c>
      <c r="B101" s="3787"/>
      <c r="C101" s="3086" t="s">
        <v>2713</v>
      </c>
      <c r="D101" s="3086" t="s">
        <v>2714</v>
      </c>
      <c r="E101" s="3112">
        <v>0.1</v>
      </c>
      <c r="F101" s="3112">
        <v>15</v>
      </c>
    </row>
    <row r="102" spans="1:6" ht="24">
      <c r="A102" s="3112">
        <v>30</v>
      </c>
      <c r="B102" s="3787"/>
      <c r="C102" s="3086" t="s">
        <v>2715</v>
      </c>
      <c r="D102" s="3086" t="s">
        <v>2716</v>
      </c>
      <c r="E102" s="3112">
        <v>0.1</v>
      </c>
      <c r="F102" s="3112">
        <v>15</v>
      </c>
    </row>
    <row r="103" spans="1:6" ht="24">
      <c r="A103" s="3112">
        <v>31</v>
      </c>
      <c r="B103" s="3787"/>
      <c r="C103" s="3086" t="s">
        <v>2717</v>
      </c>
      <c r="D103" s="3086" t="s">
        <v>2718</v>
      </c>
      <c r="E103" s="3112">
        <v>0.1</v>
      </c>
      <c r="F103" s="3112">
        <v>15</v>
      </c>
    </row>
    <row r="104" spans="1:6" ht="24">
      <c r="A104" s="3112">
        <v>32</v>
      </c>
      <c r="B104" s="3787"/>
      <c r="C104" s="3086" t="s">
        <v>2719</v>
      </c>
      <c r="D104" s="3086" t="s">
        <v>2720</v>
      </c>
      <c r="E104" s="3112">
        <v>0.1</v>
      </c>
      <c r="F104" s="3112">
        <v>15</v>
      </c>
    </row>
    <row r="105" spans="1:6" ht="24">
      <c r="A105" s="3112">
        <v>33</v>
      </c>
      <c r="B105" s="3787"/>
      <c r="C105" s="3086" t="s">
        <v>2721</v>
      </c>
      <c r="D105" s="3086" t="s">
        <v>2722</v>
      </c>
      <c r="E105" s="3112">
        <v>0.1</v>
      </c>
      <c r="F105" s="3112">
        <v>15</v>
      </c>
    </row>
    <row r="106" spans="1:6" ht="24">
      <c r="A106" s="3112">
        <v>34</v>
      </c>
      <c r="B106" s="3796"/>
      <c r="C106" s="3086" t="s">
        <v>2723</v>
      </c>
      <c r="D106" s="3086" t="s">
        <v>2724</v>
      </c>
      <c r="E106" s="3112">
        <v>0.1</v>
      </c>
      <c r="F106" s="3112">
        <v>15</v>
      </c>
    </row>
    <row r="107" spans="1:6" ht="36">
      <c r="A107" s="3112">
        <v>35</v>
      </c>
      <c r="B107" s="3792" t="s">
        <v>2725</v>
      </c>
      <c r="C107" s="3112" t="s">
        <v>2726</v>
      </c>
      <c r="D107" s="3086" t="s">
        <v>2727</v>
      </c>
      <c r="E107" s="3112">
        <v>0.15</v>
      </c>
      <c r="F107" s="3112">
        <v>20</v>
      </c>
    </row>
    <row r="108" spans="1:6" ht="24">
      <c r="A108" s="3112">
        <v>36</v>
      </c>
      <c r="B108" s="3787"/>
      <c r="C108" s="3112" t="s">
        <v>2728</v>
      </c>
      <c r="D108" s="3086" t="s">
        <v>2729</v>
      </c>
      <c r="E108" s="3112">
        <v>0.15</v>
      </c>
      <c r="F108" s="3112">
        <v>20</v>
      </c>
    </row>
    <row r="109" spans="1:6" ht="24">
      <c r="A109" s="3112">
        <v>37</v>
      </c>
      <c r="B109" s="3787"/>
      <c r="C109" s="3112" t="s">
        <v>2730</v>
      </c>
      <c r="D109" s="3086" t="s">
        <v>2731</v>
      </c>
      <c r="E109" s="3112">
        <v>0.15</v>
      </c>
      <c r="F109" s="3112">
        <v>20</v>
      </c>
    </row>
    <row r="110" spans="1:6" ht="24">
      <c r="A110" s="3112">
        <v>38</v>
      </c>
      <c r="B110" s="3787"/>
      <c r="C110" s="3112" t="s">
        <v>2732</v>
      </c>
      <c r="D110" s="3086" t="s">
        <v>2733</v>
      </c>
      <c r="E110" s="3112">
        <v>0.1</v>
      </c>
      <c r="F110" s="3112">
        <v>15</v>
      </c>
    </row>
    <row r="111" spans="1:6" ht="24">
      <c r="A111" s="3112">
        <v>39</v>
      </c>
      <c r="B111" s="3787"/>
      <c r="C111" s="3112" t="s">
        <v>2734</v>
      </c>
      <c r="D111" s="3086" t="s">
        <v>2735</v>
      </c>
      <c r="E111" s="3112">
        <v>0.1</v>
      </c>
      <c r="F111" s="3112">
        <v>15</v>
      </c>
    </row>
    <row r="112" spans="1:6" ht="24">
      <c r="A112" s="3112">
        <v>40</v>
      </c>
      <c r="B112" s="3796"/>
      <c r="C112" s="3112" t="s">
        <v>2736</v>
      </c>
      <c r="D112" s="3086" t="s">
        <v>2737</v>
      </c>
      <c r="E112" s="3112">
        <v>0.1</v>
      </c>
      <c r="F112" s="3112">
        <v>15</v>
      </c>
    </row>
    <row r="113" spans="1:6" ht="24">
      <c r="A113" s="3112">
        <v>41</v>
      </c>
      <c r="B113" s="3797" t="s">
        <v>2738</v>
      </c>
      <c r="C113" s="3112" t="s">
        <v>2739</v>
      </c>
      <c r="D113" s="3086" t="s">
        <v>2740</v>
      </c>
      <c r="E113" s="3112">
        <v>0.1</v>
      </c>
      <c r="F113" s="3112">
        <v>15</v>
      </c>
    </row>
    <row r="114" spans="1:6" ht="24">
      <c r="A114" s="3112">
        <v>42</v>
      </c>
      <c r="B114" s="3797"/>
      <c r="C114" s="3112" t="s">
        <v>2741</v>
      </c>
      <c r="D114" s="3086" t="s">
        <v>2742</v>
      </c>
      <c r="E114" s="3112">
        <v>0.1</v>
      </c>
      <c r="F114" s="3112">
        <v>15</v>
      </c>
    </row>
    <row r="115" spans="1:6" ht="24">
      <c r="A115" s="3112">
        <v>43</v>
      </c>
      <c r="B115" s="3797"/>
      <c r="C115" s="3112" t="s">
        <v>2743</v>
      </c>
      <c r="D115" s="3086" t="s">
        <v>2744</v>
      </c>
      <c r="E115" s="3112">
        <v>0.1</v>
      </c>
      <c r="F115" s="3112">
        <v>15</v>
      </c>
    </row>
    <row r="116" spans="1:6" ht="24">
      <c r="A116" s="3112">
        <v>44</v>
      </c>
      <c r="B116" s="3792" t="s">
        <v>2745</v>
      </c>
      <c r="C116" s="3112" t="s">
        <v>2746</v>
      </c>
      <c r="D116" s="3086" t="s">
        <v>2747</v>
      </c>
      <c r="E116" s="3112">
        <v>0.1</v>
      </c>
      <c r="F116" s="3112">
        <v>15</v>
      </c>
    </row>
    <row r="117" spans="1:6" ht="24">
      <c r="A117" s="3112">
        <v>45</v>
      </c>
      <c r="B117" s="3796"/>
      <c r="C117" s="3086" t="s">
        <v>2748</v>
      </c>
      <c r="D117" s="3086" t="s">
        <v>2749</v>
      </c>
      <c r="E117" s="3112">
        <v>0.1</v>
      </c>
      <c r="F117" s="3112">
        <v>15</v>
      </c>
    </row>
    <row r="118" spans="1:6" ht="24">
      <c r="A118" s="3112">
        <v>46</v>
      </c>
      <c r="B118" s="3792" t="s">
        <v>2750</v>
      </c>
      <c r="C118" s="3112" t="s">
        <v>2751</v>
      </c>
      <c r="D118" s="3086" t="s">
        <v>2752</v>
      </c>
      <c r="E118" s="3112">
        <v>0.1</v>
      </c>
      <c r="F118" s="3112">
        <v>15</v>
      </c>
    </row>
    <row r="119" spans="1:6" ht="24">
      <c r="A119" s="3112">
        <v>47</v>
      </c>
      <c r="B119" s="3796"/>
      <c r="C119" s="3112" t="s">
        <v>2753</v>
      </c>
      <c r="D119" s="3086" t="s">
        <v>2754</v>
      </c>
      <c r="E119" s="3112">
        <v>0.1</v>
      </c>
      <c r="F119" s="3112">
        <v>15</v>
      </c>
    </row>
    <row r="120" spans="1:6" ht="24">
      <c r="A120" s="3112">
        <v>48</v>
      </c>
      <c r="B120" s="3792" t="s">
        <v>2755</v>
      </c>
      <c r="C120" s="3112" t="s">
        <v>2756</v>
      </c>
      <c r="D120" s="3086" t="s">
        <v>2757</v>
      </c>
      <c r="E120" s="3112">
        <v>0.1</v>
      </c>
      <c r="F120" s="3112">
        <v>15</v>
      </c>
    </row>
    <row r="121" spans="1:6" ht="24">
      <c r="A121" s="3112">
        <v>49</v>
      </c>
      <c r="B121" s="3796"/>
      <c r="C121" s="3112" t="s">
        <v>2758</v>
      </c>
      <c r="D121" s="3086" t="s">
        <v>2759</v>
      </c>
      <c r="E121" s="3112">
        <v>0.1</v>
      </c>
      <c r="F121" s="3112">
        <v>15</v>
      </c>
    </row>
    <row r="122" spans="1:6" ht="24">
      <c r="A122" s="3112">
        <v>50</v>
      </c>
      <c r="B122" s="3797" t="s">
        <v>2760</v>
      </c>
      <c r="C122" s="3112" t="s">
        <v>2761</v>
      </c>
      <c r="D122" s="3086" t="s">
        <v>2762</v>
      </c>
      <c r="E122" s="3112">
        <v>0.1</v>
      </c>
      <c r="F122" s="3112">
        <v>15</v>
      </c>
    </row>
    <row r="123" spans="1:6" ht="24">
      <c r="A123" s="3112">
        <v>51</v>
      </c>
      <c r="B123" s="3797"/>
      <c r="C123" s="3112" t="s">
        <v>2763</v>
      </c>
      <c r="D123" s="3086" t="s">
        <v>2764</v>
      </c>
      <c r="E123" s="3112">
        <v>0.1</v>
      </c>
      <c r="F123" s="3112">
        <v>15</v>
      </c>
    </row>
    <row r="124" spans="1:6" ht="24">
      <c r="A124" s="3112">
        <v>52</v>
      </c>
      <c r="B124" s="3797" t="s">
        <v>2765</v>
      </c>
      <c r="C124" s="3112" t="s">
        <v>2766</v>
      </c>
      <c r="D124" s="3086" t="s">
        <v>2767</v>
      </c>
      <c r="E124" s="3112">
        <v>0.1</v>
      </c>
      <c r="F124" s="3112">
        <v>15</v>
      </c>
    </row>
    <row r="125" spans="1:6" ht="24">
      <c r="A125" s="3112">
        <v>53</v>
      </c>
      <c r="B125" s="3797"/>
      <c r="C125" s="3112" t="s">
        <v>2768</v>
      </c>
      <c r="D125" s="3086" t="s">
        <v>2769</v>
      </c>
      <c r="E125" s="3112">
        <v>0.1</v>
      </c>
      <c r="F125" s="3112">
        <v>15</v>
      </c>
    </row>
    <row r="126" spans="1:6" ht="24">
      <c r="A126" s="3112">
        <v>54</v>
      </c>
      <c r="B126" s="3112" t="s">
        <v>2770</v>
      </c>
      <c r="C126" s="3112" t="s">
        <v>2771</v>
      </c>
      <c r="D126" s="3086" t="s">
        <v>2772</v>
      </c>
      <c r="E126" s="3112">
        <v>0.1</v>
      </c>
      <c r="F126" s="3112">
        <v>15</v>
      </c>
    </row>
    <row r="127" spans="1:6" ht="24">
      <c r="A127" s="3112">
        <v>55</v>
      </c>
      <c r="B127" s="3797" t="s">
        <v>2773</v>
      </c>
      <c r="C127" s="3112" t="s">
        <v>2774</v>
      </c>
      <c r="D127" s="3086" t="s">
        <v>2775</v>
      </c>
      <c r="E127" s="3112">
        <v>0.1</v>
      </c>
      <c r="F127" s="3112">
        <v>15</v>
      </c>
    </row>
    <row r="128" spans="1:6" ht="24">
      <c r="A128" s="3112">
        <v>56</v>
      </c>
      <c r="B128" s="3797"/>
      <c r="C128" s="3112" t="s">
        <v>2776</v>
      </c>
      <c r="D128" s="3086" t="s">
        <v>2777</v>
      </c>
      <c r="E128" s="3112">
        <v>0.1</v>
      </c>
      <c r="F128" s="3112">
        <v>15</v>
      </c>
    </row>
    <row r="129" spans="1:6" ht="24">
      <c r="A129" s="3112">
        <v>57</v>
      </c>
      <c r="B129" s="3797"/>
      <c r="C129" s="3112" t="s">
        <v>2778</v>
      </c>
      <c r="D129" s="3086" t="s">
        <v>2779</v>
      </c>
      <c r="E129" s="3112">
        <v>0.1</v>
      </c>
      <c r="F129" s="3112">
        <v>15</v>
      </c>
    </row>
    <row r="130" spans="1:6" ht="24">
      <c r="A130" s="3112">
        <v>58</v>
      </c>
      <c r="B130" s="3797" t="s">
        <v>2780</v>
      </c>
      <c r="C130" s="3112" t="s">
        <v>2781</v>
      </c>
      <c r="D130" s="3086" t="s">
        <v>2782</v>
      </c>
      <c r="E130" s="3112">
        <v>0.1</v>
      </c>
      <c r="F130" s="3112">
        <v>15</v>
      </c>
    </row>
    <row r="131" spans="1:6" ht="24">
      <c r="A131" s="3112">
        <v>59</v>
      </c>
      <c r="B131" s="3797"/>
      <c r="C131" s="3112" t="s">
        <v>2783</v>
      </c>
      <c r="D131" s="3086" t="s">
        <v>2784</v>
      </c>
      <c r="E131" s="3112">
        <v>0.1</v>
      </c>
      <c r="F131" s="3112">
        <v>15</v>
      </c>
    </row>
    <row r="132" spans="1:6" ht="24">
      <c r="A132" s="3112">
        <v>60</v>
      </c>
      <c r="B132" s="3792" t="s">
        <v>2785</v>
      </c>
      <c r="C132" s="3112" t="s">
        <v>2786</v>
      </c>
      <c r="D132" s="3086" t="s">
        <v>2787</v>
      </c>
      <c r="E132" s="3112">
        <v>0.1</v>
      </c>
      <c r="F132" s="3112">
        <v>15</v>
      </c>
    </row>
    <row r="133" spans="1:6" ht="24">
      <c r="A133" s="3112">
        <v>61</v>
      </c>
      <c r="B133" s="3796"/>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24">
      <c r="A135" s="3112">
        <v>63</v>
      </c>
      <c r="B135" s="3797" t="s">
        <v>2793</v>
      </c>
      <c r="C135" s="3112" t="s">
        <v>2794</v>
      </c>
      <c r="D135" s="3086" t="s">
        <v>2795</v>
      </c>
      <c r="E135" s="3112">
        <v>0.1</v>
      </c>
      <c r="F135" s="3112">
        <v>15</v>
      </c>
    </row>
    <row r="136" spans="1:6" ht="24">
      <c r="A136" s="3112">
        <v>64</v>
      </c>
      <c r="B136" s="3797"/>
      <c r="C136" s="3112" t="s">
        <v>2796</v>
      </c>
      <c r="D136" s="3086" t="s">
        <v>2797</v>
      </c>
      <c r="E136" s="3112">
        <v>0.1</v>
      </c>
      <c r="F136" s="3112">
        <v>15</v>
      </c>
    </row>
    <row r="137" spans="1:6" ht="24">
      <c r="A137" s="3112">
        <v>65</v>
      </c>
      <c r="B137" s="3112" t="s">
        <v>2798</v>
      </c>
      <c r="C137" s="3112" t="s">
        <v>2799</v>
      </c>
      <c r="D137" s="3086" t="s">
        <v>2800</v>
      </c>
      <c r="E137" s="3112">
        <v>0.1</v>
      </c>
      <c r="F137" s="3112">
        <v>15</v>
      </c>
    </row>
    <row r="138" spans="1:6" ht="14.4">
      <c r="A138" s="3112"/>
      <c r="B138" s="3112"/>
      <c r="C138" s="3112"/>
      <c r="D138" s="3112"/>
      <c r="E138" s="3112" t="s">
        <v>2801</v>
      </c>
      <c r="F138" s="3112"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5"/>
    <col min="14" max="16384" width="9" style="748"/>
  </cols>
  <sheetData>
    <row r="1" spans="1:20" ht="16.2"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6.2"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5.6">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5.6">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6.2"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6.2"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6.2"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26619</v>
      </c>
      <c r="C2" s="2" t="s">
        <v>106</v>
      </c>
      <c r="D2" s="199"/>
      <c r="E2" s="199"/>
      <c r="F2" s="199"/>
      <c r="G2" s="199"/>
    </row>
    <row r="3" spans="1:7" s="200" customFormat="1" ht="18" customHeight="1" thickBot="1">
      <c r="A3" s="203" t="s">
        <v>58</v>
      </c>
      <c r="B3" s="204">
        <f ca="1">ROUND(B2*10000/'数据-汇总表'!E3,0)</f>
        <v>2388854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v>
      </c>
      <c r="D10" s="843">
        <f>'数据-汇总表'!E6</f>
        <v>111.43</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v>
      </c>
      <c r="D19" s="847">
        <f>'数据-汇总表'!E3</f>
        <v>111.43</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6.4">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v>
      </c>
      <c r="D37" s="217">
        <f>'数据-汇总表'!E3</f>
        <v>111.43</v>
      </c>
      <c r="E37" s="249">
        <f>'数据-取费表'!B35</f>
        <v>200</v>
      </c>
      <c r="F37" s="259"/>
      <c r="G37" s="261" t="s">
        <v>92</v>
      </c>
    </row>
    <row r="38" spans="1:7" ht="13.5" customHeight="1">
      <c r="A38" s="778" t="s">
        <v>354</v>
      </c>
      <c r="B38" s="215" t="s">
        <v>36</v>
      </c>
      <c r="C38" s="220">
        <f>ROUND(C34*F38,0)</f>
        <v>1</v>
      </c>
      <c r="D38" s="220"/>
      <c r="E38" s="220"/>
      <c r="F38" s="259">
        <f>'数据-取费表'!B36</f>
        <v>0.02</v>
      </c>
      <c r="G38" s="219" t="s">
        <v>90</v>
      </c>
    </row>
    <row r="39" spans="1:7" s="214" customFormat="1" ht="13.5" customHeight="1">
      <c r="A39" s="775" t="s">
        <v>338</v>
      </c>
      <c r="B39" s="210" t="s">
        <v>77</v>
      </c>
      <c r="C39" s="232">
        <f>ROUND(C33*F20,0)</f>
        <v>1</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4</v>
      </c>
      <c r="D45" s="235">
        <f>C47</f>
        <v>2E-3</v>
      </c>
      <c r="E45" s="236" t="s">
        <v>102</v>
      </c>
      <c r="F45" s="246"/>
      <c r="G45" s="247" t="s">
        <v>434</v>
      </c>
    </row>
    <row r="46" spans="1:7" s="214" customFormat="1" ht="13.5" customHeight="1">
      <c r="A46" s="778" t="s">
        <v>349</v>
      </c>
      <c r="B46" s="248" t="s">
        <v>427</v>
      </c>
      <c r="C46" s="249">
        <f>ROUND((C33+C39)*F27,0)</f>
        <v>4</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53</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36</v>
      </c>
      <c r="D51" s="232"/>
      <c r="E51" s="232"/>
      <c r="F51" s="264"/>
      <c r="G51" s="234" t="s">
        <v>37</v>
      </c>
    </row>
    <row r="52" spans="1:7" s="208" customFormat="1" ht="16.8" thickBot="1">
      <c r="A52" s="265" t="s">
        <v>38</v>
      </c>
      <c r="B52" s="266"/>
      <c r="C52" s="267">
        <f ca="1">C31+C51</f>
        <v>26619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M96" sqref="M96"/>
    </sheetView>
  </sheetViews>
  <sheetFormatPr defaultColWidth="8.88671875" defaultRowHeight="10.8"/>
  <cols>
    <col min="1" max="1" width="9.6640625" style="3220" customWidth="1"/>
    <col min="2" max="2" width="18.6640625" style="3220" customWidth="1"/>
    <col min="3" max="6" width="10.21875" style="3220" customWidth="1"/>
    <col min="7" max="7" width="10.44140625" style="3220" bestFit="1" customWidth="1"/>
    <col min="8" max="8" width="8.88671875" style="3216"/>
    <col min="9" max="9" width="13.33203125" style="3216" customWidth="1"/>
    <col min="10" max="13" width="13.33203125" style="3220" customWidth="1"/>
    <col min="14" max="14" width="18.21875" style="3220" customWidth="1"/>
    <col min="15" max="17" width="15.109375" style="3220" customWidth="1"/>
    <col min="18" max="20" width="11.44140625" style="3220" customWidth="1"/>
    <col min="21" max="16384" width="8.88671875" style="3220"/>
  </cols>
  <sheetData>
    <row r="1" spans="1:20" ht="11.4"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1.4"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1.4"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1.4"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1.4"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1.4"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1.4"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1.4"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1.4"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3" customWidth="1"/>
    <col min="2" max="2" width="20" style="3283" customWidth="1"/>
    <col min="3" max="7" width="8.88671875" style="3247"/>
    <col min="8" max="16384" width="8.88671875" style="3248"/>
  </cols>
  <sheetData>
    <row r="1" spans="1:7">
      <c r="A1" s="3802" t="s">
        <v>3185</v>
      </c>
      <c r="B1" s="3802"/>
    </row>
    <row r="2" spans="1:7" ht="15" thickBot="1">
      <c r="A2" s="3249"/>
      <c r="B2" s="3249"/>
    </row>
    <row r="3" spans="1:7" ht="15" thickBot="1">
      <c r="A3" s="3249"/>
      <c r="B3" s="3249"/>
      <c r="C3" s="3250" t="s">
        <v>2815</v>
      </c>
      <c r="D3" s="3250" t="s">
        <v>2871</v>
      </c>
      <c r="E3" s="3250" t="s">
        <v>2817</v>
      </c>
      <c r="F3" s="3250" t="s">
        <v>2872</v>
      </c>
      <c r="G3" s="3250" t="s">
        <v>2635</v>
      </c>
    </row>
    <row r="4" spans="1:7" ht="1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M96" sqref="M96"/>
    </sheetView>
  </sheetViews>
  <sheetFormatPr defaultRowHeight="14.4"/>
  <cols>
    <col min="1" max="1" width="13.88671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3.2">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3.2">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3.2">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3.2">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3.2">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3.2">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3.2">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3.2">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3.2">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3.2">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3.2">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3.2">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3.2">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3.2">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3.2">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ht="13.8"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5" thickTop="1"/>
    <row r="20" spans="1:30" s="3003" customFormat="1">
      <c r="A20" s="3442" t="s">
        <v>3370</v>
      </c>
    </row>
    <row r="21" spans="1:30" s="3003" customFormat="1">
      <c r="I21" s="3202" t="s">
        <v>2829</v>
      </c>
    </row>
    <row r="22" spans="1:30" s="3003" customFormat="1"/>
    <row r="23" spans="1:30" s="3203" customFormat="1" ht="13.2">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3.2">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3.2">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3.2">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3.2">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3.2">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3.2">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3.2">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3.2">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3.2">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3.2">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3.2">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3.2">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3.2">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3.2">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3.2">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ht="13.8"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7"/>
    <col min="2" max="6" width="9" style="2187" customWidth="1"/>
    <col min="7" max="7" width="9" style="2225"/>
    <col min="8" max="8" width="9" style="2187"/>
    <col min="9" max="12" width="9" style="2187" customWidth="1"/>
    <col min="13" max="13" width="2.21875" style="2187" customWidth="1"/>
    <col min="14" max="14" width="9" style="2225" customWidth="1"/>
    <col min="15" max="17" width="9" style="2187" customWidth="1"/>
    <col min="18" max="18" width="2.33203125" style="2187" customWidth="1"/>
    <col min="19" max="19" width="7.109375" style="2225" customWidth="1"/>
    <col min="20" max="22" width="7.109375" style="2187" customWidth="1"/>
    <col min="23" max="23" width="24.21875" style="2187" customWidth="1"/>
    <col min="24" max="25" width="9" style="2187"/>
    <col min="26" max="27" width="11.6640625" style="2187" customWidth="1"/>
    <col min="28" max="28" width="9" style="2187"/>
    <col min="29" max="29" width="2" style="2187" customWidth="1"/>
    <col min="30" max="16384" width="9" style="2187"/>
  </cols>
  <sheetData>
    <row r="1" spans="1:34" s="2166"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67" customFormat="1" ht="1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4">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4">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8"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8"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10">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10"/>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10"/>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10"/>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10"/>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10"/>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10"/>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8"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11"/>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8" thickBot="1">
      <c r="A33" s="2200" t="s">
        <v>124</v>
      </c>
      <c r="B33" s="2215">
        <v>333</v>
      </c>
      <c r="C33" s="2215">
        <v>277</v>
      </c>
      <c r="D33" s="2215">
        <f t="shared" si="246"/>
        <v>277</v>
      </c>
      <c r="E33" s="2215">
        <v>459</v>
      </c>
      <c r="F33" s="2216">
        <v>249</v>
      </c>
      <c r="G33" s="3809">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10"/>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10"/>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11"/>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8" thickBot="1">
      <c r="A37" s="2200" t="s">
        <v>120</v>
      </c>
      <c r="B37" s="2229">
        <v>318</v>
      </c>
      <c r="C37" s="2229">
        <v>268</v>
      </c>
      <c r="D37" s="2229">
        <f t="shared" si="246"/>
        <v>268</v>
      </c>
      <c r="E37" s="2229">
        <v>437</v>
      </c>
      <c r="F37" s="2230">
        <v>237</v>
      </c>
      <c r="G37" s="3809">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10"/>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8"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10"/>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8"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11"/>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8"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8" thickBot="1">
      <c r="A45" s="2200" t="s">
        <v>469</v>
      </c>
      <c r="B45" s="2250">
        <v>278</v>
      </c>
      <c r="C45" s="2250">
        <v>234</v>
      </c>
      <c r="D45" s="2250">
        <f t="shared" si="246"/>
        <v>234</v>
      </c>
      <c r="E45" s="2250">
        <v>379</v>
      </c>
      <c r="F45" s="2251">
        <v>220</v>
      </c>
      <c r="G45" s="3809">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10"/>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10"/>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8" thickBot="1">
      <c r="A48" s="2200" t="s">
        <v>472</v>
      </c>
      <c r="B48" s="2201">
        <f>B47/(1+N47)</f>
        <v>275.19025476197027</v>
      </c>
      <c r="C48" s="2252">
        <v>232</v>
      </c>
      <c r="D48" s="2252">
        <f t="shared" si="246"/>
        <v>232</v>
      </c>
      <c r="E48" s="2201">
        <f t="shared" si="257"/>
        <v>375.65990977608692</v>
      </c>
      <c r="F48" s="2201">
        <f t="shared" si="257"/>
        <v>214.12518283971252</v>
      </c>
      <c r="G48" s="3811"/>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8" thickBot="1">
      <c r="A49" s="2200" t="s">
        <v>473</v>
      </c>
      <c r="B49" s="2215">
        <v>275</v>
      </c>
      <c r="C49" s="2215">
        <v>232</v>
      </c>
      <c r="D49" s="2215">
        <f t="shared" si="246"/>
        <v>232</v>
      </c>
      <c r="E49" s="2215">
        <v>376</v>
      </c>
      <c r="F49" s="2216">
        <v>213</v>
      </c>
      <c r="G49" s="3809">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10">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10">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8"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11">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8" thickBot="1">
      <c r="A53" s="2200" t="s">
        <v>477</v>
      </c>
      <c r="B53" s="2215">
        <v>269</v>
      </c>
      <c r="C53" s="2215">
        <v>221</v>
      </c>
      <c r="D53" s="2215">
        <f t="shared" si="246"/>
        <v>221</v>
      </c>
      <c r="E53" s="2215">
        <v>373</v>
      </c>
      <c r="F53" s="2216">
        <v>196</v>
      </c>
      <c r="G53" s="3809">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10">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10">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8"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11">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8" thickBot="1">
      <c r="A57" s="2200" t="s">
        <v>481</v>
      </c>
      <c r="B57" s="2215">
        <v>220</v>
      </c>
      <c r="C57" s="2215">
        <v>187</v>
      </c>
      <c r="D57" s="2215">
        <f t="shared" si="246"/>
        <v>187</v>
      </c>
      <c r="E57" s="2215">
        <v>301</v>
      </c>
      <c r="F57" s="2216">
        <v>168</v>
      </c>
      <c r="G57" s="3809">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10">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10">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11">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8" thickBot="1">
      <c r="A61" s="2200" t="s">
        <v>485</v>
      </c>
      <c r="B61" s="2250">
        <v>214</v>
      </c>
      <c r="C61" s="2250">
        <v>188</v>
      </c>
      <c r="D61" s="2250">
        <f t="shared" si="246"/>
        <v>188</v>
      </c>
      <c r="E61" s="2250">
        <v>289</v>
      </c>
      <c r="F61" s="2251">
        <v>166</v>
      </c>
      <c r="G61" s="3809">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10">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10">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8"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11">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8" thickBot="1">
      <c r="A65" s="2200" t="s">
        <v>489</v>
      </c>
      <c r="B65" s="2215">
        <v>188</v>
      </c>
      <c r="C65" s="2215">
        <v>165</v>
      </c>
      <c r="D65" s="2215">
        <f t="shared" si="246"/>
        <v>165</v>
      </c>
      <c r="E65" s="2215">
        <v>254</v>
      </c>
      <c r="F65" s="2216">
        <v>148</v>
      </c>
      <c r="G65" s="3809">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10">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10">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11">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8" thickBot="1">
      <c r="A69" s="2200" t="s">
        <v>493</v>
      </c>
      <c r="B69" s="2229">
        <v>159</v>
      </c>
      <c r="C69" s="2229">
        <v>141</v>
      </c>
      <c r="D69" s="2229">
        <f t="shared" si="246"/>
        <v>141</v>
      </c>
      <c r="E69" s="2229">
        <v>195</v>
      </c>
      <c r="F69" s="2230">
        <v>122</v>
      </c>
      <c r="G69" s="3809">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10">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10">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11">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8" thickBot="1">
      <c r="A73" s="2200" t="s">
        <v>497</v>
      </c>
      <c r="B73" s="2229">
        <v>138</v>
      </c>
      <c r="C73" s="2229">
        <v>131</v>
      </c>
      <c r="D73" s="2229">
        <f t="shared" si="246"/>
        <v>131</v>
      </c>
      <c r="E73" s="2229">
        <v>155</v>
      </c>
      <c r="F73" s="2230">
        <v>114</v>
      </c>
      <c r="G73" s="3809">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10">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10">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11">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8" thickBot="1">
      <c r="A77" s="2200" t="s">
        <v>501</v>
      </c>
      <c r="B77" s="2250">
        <v>121</v>
      </c>
      <c r="C77" s="2250">
        <v>122</v>
      </c>
      <c r="D77" s="2250">
        <f t="shared" si="246"/>
        <v>122</v>
      </c>
      <c r="E77" s="2250">
        <v>124</v>
      </c>
      <c r="F77" s="2251">
        <v>107</v>
      </c>
      <c r="G77" s="3809">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10">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10">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8"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11">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8" thickBot="1">
      <c r="A81" s="2200" t="s">
        <v>505</v>
      </c>
      <c r="B81" s="2270">
        <v>111</v>
      </c>
      <c r="C81" s="2270">
        <v>114</v>
      </c>
      <c r="D81" s="2270">
        <f t="shared" si="246"/>
        <v>114</v>
      </c>
      <c r="E81" s="2270">
        <v>108</v>
      </c>
      <c r="F81" s="2271">
        <v>104</v>
      </c>
      <c r="G81" s="3809">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10">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10">
        <v>2003</v>
      </c>
      <c r="H83" s="2213">
        <v>2</v>
      </c>
      <c r="I83" s="2272"/>
      <c r="J83" s="2272"/>
      <c r="K83" s="2272"/>
      <c r="L83" s="2272"/>
      <c r="X83" s="2264"/>
      <c r="Y83" s="2264"/>
      <c r="Z83" s="2264"/>
    </row>
    <row r="84" spans="1:26" ht="13.8" thickBot="1">
      <c r="A84" s="2200" t="s">
        <v>508</v>
      </c>
      <c r="B84" s="2274">
        <f t="shared" si="282"/>
        <v>107.25</v>
      </c>
      <c r="C84" s="2274">
        <f t="shared" si="282"/>
        <v>108.75</v>
      </c>
      <c r="D84" s="2274">
        <f t="shared" si="246"/>
        <v>108.75</v>
      </c>
      <c r="E84" s="2274">
        <f t="shared" si="283"/>
        <v>105.75</v>
      </c>
      <c r="F84" s="2274">
        <f t="shared" si="283"/>
        <v>102.5</v>
      </c>
      <c r="G84" s="3811">
        <v>2003</v>
      </c>
      <c r="H84" s="2275">
        <v>1</v>
      </c>
      <c r="I84" s="2272"/>
      <c r="J84" s="2272"/>
      <c r="K84" s="2272"/>
      <c r="L84" s="2272"/>
      <c r="S84" s="2203"/>
      <c r="T84" s="2188"/>
      <c r="U84" s="2188"/>
      <c r="X84" s="2264"/>
      <c r="Y84" s="2264"/>
      <c r="Z84" s="2264"/>
    </row>
    <row r="85" spans="1:26" ht="13.8" thickBot="1">
      <c r="A85" s="2200" t="s">
        <v>509</v>
      </c>
      <c r="B85" s="2276">
        <v>106</v>
      </c>
      <c r="C85" s="2276">
        <v>107</v>
      </c>
      <c r="D85" s="2276">
        <f t="shared" si="246"/>
        <v>107</v>
      </c>
      <c r="E85" s="2276">
        <v>105</v>
      </c>
      <c r="F85" s="2277">
        <v>102</v>
      </c>
      <c r="G85" s="3809">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10">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10">
        <v>2002</v>
      </c>
      <c r="H87" s="2213">
        <v>2</v>
      </c>
      <c r="I87" s="2272"/>
      <c r="J87" s="2272"/>
      <c r="K87" s="2272"/>
      <c r="L87" s="2272"/>
      <c r="X87" s="2264"/>
      <c r="Y87" s="2264"/>
      <c r="Z87" s="2264"/>
    </row>
    <row r="88" spans="1:26" s="2237" customFormat="1" ht="13.8" thickBot="1">
      <c r="A88" s="2233" t="s">
        <v>512</v>
      </c>
      <c r="B88" s="2240">
        <f t="shared" si="284"/>
        <v>103</v>
      </c>
      <c r="C88" s="2240">
        <f t="shared" si="284"/>
        <v>104</v>
      </c>
      <c r="D88" s="2240">
        <f t="shared" si="246"/>
        <v>104</v>
      </c>
      <c r="E88" s="2240">
        <f t="shared" si="285"/>
        <v>103.5</v>
      </c>
      <c r="F88" s="2240">
        <f t="shared" si="285"/>
        <v>100.5</v>
      </c>
      <c r="G88" s="3811">
        <v>2002</v>
      </c>
      <c r="H88" s="2278">
        <v>1</v>
      </c>
      <c r="I88" s="2279"/>
      <c r="J88" s="2279"/>
      <c r="K88" s="2279"/>
      <c r="L88" s="2279"/>
      <c r="N88" s="2280"/>
      <c r="S88" s="2280"/>
      <c r="X88" s="2281"/>
      <c r="Y88" s="2281"/>
      <c r="Z88" s="2281"/>
    </row>
    <row r="89" spans="1:26" ht="13.8"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8"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8"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5.6">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6">
      <c r="A3" s="3488"/>
      <c r="B3" s="3488"/>
      <c r="C3" s="3488"/>
      <c r="D3" s="852" t="s">
        <v>925</v>
      </c>
      <c r="E3" s="852" t="s">
        <v>931</v>
      </c>
      <c r="F3" s="852" t="s">
        <v>925</v>
      </c>
      <c r="G3" s="852" t="s">
        <v>926</v>
      </c>
      <c r="H3" s="852" t="s">
        <v>925</v>
      </c>
      <c r="I3" s="852" t="s">
        <v>926</v>
      </c>
    </row>
    <row r="4" spans="1:9" ht="30">
      <c r="A4" s="1501" t="str">
        <f>项目基本情况!S2</f>
        <v>北京市大兴区芳源里1号楼7层713房地产</v>
      </c>
      <c r="B4" s="852">
        <f>项目基本情况!C17</f>
        <v>111.43</v>
      </c>
      <c r="C4" s="852">
        <f>项目基本情况!C18</f>
        <v>0</v>
      </c>
      <c r="D4" s="852">
        <f>结果表!D118</f>
        <v>0</v>
      </c>
      <c r="E4" s="852">
        <f>结果表!E118</f>
        <v>0</v>
      </c>
      <c r="F4" s="852">
        <f>结果表!F118</f>
        <v>0</v>
      </c>
      <c r="G4" s="852">
        <f>结果表!G118</f>
        <v>0</v>
      </c>
      <c r="H4" s="852">
        <f ca="1">结果表!H118</f>
        <v>255</v>
      </c>
      <c r="I4" s="852">
        <f ca="1">结果表!I118</f>
        <v>22840</v>
      </c>
    </row>
    <row r="5" spans="1:9" ht="30" customHeight="1">
      <c r="A5" s="3488" t="s">
        <v>927</v>
      </c>
      <c r="B5" s="3488"/>
      <c r="C5" s="3488"/>
      <c r="D5" s="3488" t="str">
        <f>结果表!D119</f>
        <v>零元整</v>
      </c>
      <c r="E5" s="3488"/>
      <c r="F5" s="3488" t="str">
        <f>结果表!F119</f>
        <v>零元整</v>
      </c>
      <c r="G5" s="3488"/>
      <c r="H5" s="3488" t="str">
        <f ca="1">结果表!H119</f>
        <v>贰佰伍拾伍万元整</v>
      </c>
      <c r="I5" s="3488"/>
    </row>
    <row r="6" spans="1:9" ht="15.6">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6">
      <c r="A8" s="3489" t="str">
        <f>结果表!A122</f>
        <v>房地产抵押价值</v>
      </c>
      <c r="B8" s="3489"/>
      <c r="C8" s="3489"/>
      <c r="D8" s="3489">
        <f ca="1">结果表!D122</f>
        <v>255</v>
      </c>
      <c r="E8" s="3489"/>
      <c r="F8" s="3489"/>
      <c r="G8" s="3489"/>
      <c r="H8" s="3489"/>
      <c r="I8" s="3489"/>
    </row>
    <row r="9" spans="1:9" ht="15">
      <c r="A9" s="3488" t="s">
        <v>927</v>
      </c>
      <c r="B9" s="3488"/>
      <c r="C9" s="3488"/>
      <c r="D9" s="3488" t="str">
        <f ca="1">结果表!D123</f>
        <v>贰佰伍拾伍万元整</v>
      </c>
      <c r="E9" s="3488"/>
      <c r="F9" s="3488"/>
      <c r="G9" s="3488"/>
      <c r="H9" s="3488"/>
      <c r="I9" s="3488"/>
    </row>
    <row r="10" spans="1:9" ht="15.6">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6">
      <c r="A12" s="3489" t="str">
        <f>结果表!A126</f>
        <v/>
      </c>
      <c r="B12" s="3489"/>
      <c r="C12" s="3489"/>
      <c r="D12" s="3489" t="str">
        <f>结果表!D126</f>
        <v>——</v>
      </c>
      <c r="E12" s="3489"/>
      <c r="F12" s="3489"/>
      <c r="G12" s="3489"/>
      <c r="H12" s="3489"/>
      <c r="I12" s="3489"/>
    </row>
    <row r="13" spans="1:9" ht="15.6" thickBot="1">
      <c r="A13" s="3493" t="s">
        <v>927</v>
      </c>
      <c r="B13" s="3493"/>
      <c r="C13" s="3493"/>
      <c r="D13" s="3493" t="e">
        <f>结果表!D127</f>
        <v>#VALUE!</v>
      </c>
      <c r="E13" s="3493"/>
      <c r="F13" s="3493"/>
      <c r="G13" s="3493"/>
      <c r="H13" s="3493"/>
      <c r="I13" s="3493"/>
    </row>
    <row r="14" spans="1:9" ht="14.4" thickTop="1">
      <c r="A14" s="3494" t="s">
        <v>932</v>
      </c>
      <c r="B14" s="3494"/>
      <c r="C14" s="3494"/>
      <c r="D14" s="3494"/>
      <c r="E14" s="3494"/>
      <c r="F14" s="3494"/>
      <c r="G14" s="3494"/>
      <c r="H14" s="3494"/>
      <c r="I14" s="3494"/>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495" t="s">
        <v>949</v>
      </c>
      <c r="B1" s="3495"/>
      <c r="C1" s="3495"/>
      <c r="D1" s="3495"/>
    </row>
    <row r="2" spans="1:4" ht="17.399999999999999">
      <c r="A2" s="3496" t="s">
        <v>933</v>
      </c>
      <c r="B2" s="3496"/>
      <c r="C2" s="3496"/>
      <c r="D2" s="3496"/>
    </row>
    <row r="3" spans="1:4" ht="17.399999999999999">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7.399999999999999">
      <c r="A6" s="3496" t="s">
        <v>939</v>
      </c>
      <c r="B6" s="3496"/>
      <c r="C6" s="3496"/>
      <c r="D6" s="3496"/>
    </row>
    <row r="7" spans="1:4" ht="17.399999999999999">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7.399999999999999">
      <c r="A10" s="1512" t="s">
        <v>941</v>
      </c>
      <c r="B10" s="673"/>
      <c r="C10" s="673"/>
      <c r="D10" s="673"/>
    </row>
    <row r="11" spans="1:4" ht="30" customHeight="1">
      <c r="A11" s="3497" t="s">
        <v>942</v>
      </c>
      <c r="B11" s="3498"/>
      <c r="C11" s="3498"/>
      <c r="D11" s="3498"/>
    </row>
    <row r="12" spans="1:4" ht="15.6">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09" t="s">
        <v>956</v>
      </c>
      <c r="B15" s="3504" t="s">
        <v>109</v>
      </c>
      <c r="C15" s="3505"/>
    </row>
    <row r="16" spans="1:7" ht="14.4">
      <c r="A16" s="3510"/>
      <c r="B16" s="3504" t="s">
        <v>42</v>
      </c>
      <c r="C16" s="3505"/>
    </row>
    <row r="17" spans="1:3" ht="14.4">
      <c r="A17" s="3510"/>
      <c r="B17" s="3507" t="s">
        <v>957</v>
      </c>
      <c r="C17" s="1528" t="s">
        <v>956</v>
      </c>
    </row>
    <row r="18" spans="1:3" ht="14.4">
      <c r="A18" s="3510"/>
      <c r="B18" s="3507"/>
      <c r="C18" s="1528" t="s">
        <v>958</v>
      </c>
    </row>
    <row r="19" spans="1:3" ht="14.4">
      <c r="A19" s="3510"/>
      <c r="B19" s="3507"/>
      <c r="C19" s="1528" t="s">
        <v>959</v>
      </c>
    </row>
    <row r="20" spans="1:3" ht="14.4">
      <c r="A20" s="3511"/>
      <c r="B20" s="3506" t="s">
        <v>960</v>
      </c>
      <c r="C20" s="3505"/>
    </row>
    <row r="21" spans="1:3" ht="14.4">
      <c r="A21" s="1529" t="s">
        <v>961</v>
      </c>
      <c r="B21" s="1530"/>
      <c r="C21" s="1531"/>
    </row>
    <row r="22" spans="1:3" ht="14.4">
      <c r="A22" s="3508" t="s">
        <v>962</v>
      </c>
      <c r="B22" s="3506" t="s">
        <v>963</v>
      </c>
      <c r="C22" s="3505"/>
    </row>
    <row r="23" spans="1:3" ht="14.4">
      <c r="A23" s="3508"/>
      <c r="B23" s="3506" t="s">
        <v>964</v>
      </c>
      <c r="C23" s="3505"/>
    </row>
    <row r="24" spans="1:3" ht="14.4">
      <c r="A24" s="3508"/>
      <c r="B24" s="3506" t="s">
        <v>965</v>
      </c>
      <c r="C24" s="3505"/>
    </row>
    <row r="25" spans="1:3" ht="14.4">
      <c r="A25" s="3508"/>
      <c r="B25" s="3507" t="s">
        <v>966</v>
      </c>
      <c r="C25" s="1528" t="s">
        <v>967</v>
      </c>
    </row>
    <row r="26" spans="1:3" ht="14.4">
      <c r="A26" s="3508"/>
      <c r="B26" s="3507"/>
      <c r="C26" s="1528" t="s">
        <v>968</v>
      </c>
    </row>
    <row r="27" spans="1:3" ht="14.4">
      <c r="A27" s="3508"/>
      <c r="B27" s="3507"/>
      <c r="C27" s="1528" t="s">
        <v>969</v>
      </c>
    </row>
    <row r="28" spans="1:3" ht="14.4">
      <c r="A28" s="3508"/>
      <c r="B28" s="3507"/>
      <c r="C28" s="1528" t="s">
        <v>970</v>
      </c>
    </row>
    <row r="29" spans="1:3" ht="14.4">
      <c r="A29" s="3508"/>
      <c r="B29" s="3507"/>
      <c r="C29" s="1528" t="s">
        <v>971</v>
      </c>
    </row>
    <row r="30" spans="1:3" ht="14.4">
      <c r="A30" s="3508"/>
      <c r="B30" s="3507"/>
      <c r="C30" s="1528" t="s">
        <v>972</v>
      </c>
    </row>
    <row r="31" spans="1:3" ht="14.4">
      <c r="A31" s="3508"/>
      <c r="B31" s="3507"/>
      <c r="C31" s="1528" t="s">
        <v>973</v>
      </c>
    </row>
    <row r="32" spans="1:3" ht="14.4">
      <c r="A32" s="3508"/>
      <c r="B32" s="3507"/>
      <c r="C32" s="1528" t="s">
        <v>974</v>
      </c>
    </row>
    <row r="33" spans="1:3" ht="14.4">
      <c r="A33" s="3508"/>
      <c r="B33" s="3507"/>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2" customWidth="1"/>
    <col min="2" max="2" width="38.6640625" style="2332" customWidth="1"/>
    <col min="3" max="3" width="26" style="2332" customWidth="1"/>
    <col min="4" max="4" width="35" style="2332" hidden="1" customWidth="1"/>
    <col min="5" max="5" width="30.109375" style="2332" customWidth="1"/>
    <col min="6" max="6" width="35.44140625" style="2332" customWidth="1"/>
    <col min="7" max="7" width="31" style="2332" customWidth="1"/>
    <col min="8" max="8" width="37.44140625" style="2332" hidden="1" customWidth="1"/>
    <col min="9" max="16384" width="22.6640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2024-05-28T13:14:18Z</dcterms:modified>
</cp:coreProperties>
</file>