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55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state="hidden" r:id="rId17"/>
    <sheet name="系统读取表" sheetId="74" r:id="rId18"/>
    <sheet name="结果表" sheetId="9" r:id="rId19"/>
    <sheet name="比较法-住宅" sheetId="21"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收益法" sheetId="15" r:id="rId27"/>
    <sheet name="案例" sheetId="77"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8">结果表!$A$1:$I$127</definedName>
    <definedName name="_xlnm.Print_Area" localSheetId="26">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75" i="9" l="1"/>
  <c r="I13" i="3" l="1"/>
  <c r="G339" i="78"/>
  <c r="F339" i="78"/>
  <c r="E339" i="78"/>
  <c r="Y6" i="1" l="1"/>
  <c r="N6" i="1"/>
  <c r="C19" i="6"/>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c r="AD10" i="71"/>
  <c r="Q10" i="71"/>
  <c r="AB7" i="71" s="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c r="AD17" i="71"/>
  <c r="AD18" i="71"/>
  <c r="AG18" i="71"/>
  <c r="AH18" i="71"/>
  <c r="AE18" i="71"/>
  <c r="AF18" i="71" s="1"/>
  <c r="N18" i="71"/>
  <c r="Q18" i="71"/>
  <c r="P18" i="71"/>
  <c r="O18" i="71"/>
  <c r="C18" i="71"/>
  <c r="C17" i="71" s="1"/>
  <c r="Q19" i="71"/>
  <c r="F18" i="71"/>
  <c r="P19" i="71"/>
  <c r="O19" i="71"/>
  <c r="N19" i="71"/>
  <c r="B18" i="71"/>
  <c r="A2" i="53"/>
  <c r="B19" i="72" s="1"/>
  <c r="K59" i="67"/>
  <c r="P61" i="67" s="1"/>
  <c r="K59" i="15"/>
  <c r="P74" i="15" s="1"/>
  <c r="P74" i="67"/>
  <c r="D116" i="39"/>
  <c r="E116" i="39"/>
  <c r="F116" i="39"/>
  <c r="G116" i="39"/>
  <c r="H116" i="39"/>
  <c r="I116" i="39"/>
  <c r="J116" i="39"/>
  <c r="K116" i="39"/>
  <c r="L116" i="39"/>
  <c r="M116" i="39"/>
  <c r="C116" i="39"/>
  <c r="A21" i="62"/>
  <c r="B67" i="72" s="1"/>
  <c r="A20" i="62"/>
  <c r="A22" i="51"/>
  <c r="A21" i="51"/>
  <c r="B16" i="72" s="1"/>
  <c r="A20" i="51"/>
  <c r="A15" i="62"/>
  <c r="A14" i="62"/>
  <c r="B60" i="72" s="1"/>
  <c r="A13" i="62"/>
  <c r="B59" i="72" s="1"/>
  <c r="A19" i="62"/>
  <c r="B65" i="72" s="1"/>
  <c r="A12" i="62"/>
  <c r="B58" i="72" s="1"/>
  <c r="A120" i="9"/>
  <c r="H2" i="52"/>
  <c r="A1" i="52"/>
  <c r="A3" i="53"/>
  <c r="Q20" i="71"/>
  <c r="P20" i="71"/>
  <c r="O20" i="71"/>
  <c r="N20"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s="1"/>
  <c r="AG34" i="71"/>
  <c r="AH34" i="71"/>
  <c r="S2" i="31"/>
  <c r="M2" i="31"/>
  <c r="N2" i="31"/>
  <c r="O2" i="31"/>
  <c r="P2" i="31"/>
  <c r="Q2" i="31"/>
  <c r="R2" i="31"/>
  <c r="C1" i="73"/>
  <c r="L1" i="73" s="1"/>
  <c r="B74" i="72"/>
  <c r="Y12" i="43"/>
  <c r="Y10" i="43"/>
  <c r="AJ9" i="43"/>
  <c r="AI9" i="43"/>
  <c r="AI12" i="43"/>
  <c r="AH9" i="43"/>
  <c r="AH12" i="43"/>
  <c r="AG9" i="43"/>
  <c r="AF9" i="43"/>
  <c r="AF12" i="43"/>
  <c r="AE9" i="43"/>
  <c r="AE12" i="43"/>
  <c r="AD9" i="43"/>
  <c r="AD12" i="43" s="1"/>
  <c r="AC9" i="43"/>
  <c r="AC12" i="43"/>
  <c r="AB9" i="43"/>
  <c r="AB12" i="43"/>
  <c r="AA9" i="43"/>
  <c r="Z9" i="43"/>
  <c r="Z12" i="43"/>
  <c r="AC10" i="43"/>
  <c r="AE10" i="43"/>
  <c r="AI10" i="43"/>
  <c r="Z10" i="43"/>
  <c r="AB10" i="43"/>
  <c r="AD10" i="43"/>
  <c r="AF10" i="43"/>
  <c r="AH10" i="43"/>
  <c r="K49" i="9"/>
  <c r="E107" i="9"/>
  <c r="A122" i="9"/>
  <c r="A8" i="52" s="1"/>
  <c r="B54" i="72" s="1"/>
  <c r="E111" i="9"/>
  <c r="A126" i="9" s="1"/>
  <c r="A12" i="52" s="1"/>
  <c r="B56" i="72" s="1"/>
  <c r="E109" i="9"/>
  <c r="A124" i="9" s="1"/>
  <c r="B44" i="72"/>
  <c r="B42" i="72"/>
  <c r="B69" i="72"/>
  <c r="B68" i="72"/>
  <c r="B63" i="72"/>
  <c r="B62" i="72"/>
  <c r="B66" i="72"/>
  <c r="B10" i="72"/>
  <c r="C53" i="10"/>
  <c r="B51" i="10"/>
  <c r="A18" i="51"/>
  <c r="B13" i="72" s="1"/>
  <c r="C8" i="68"/>
  <c r="B49" i="48"/>
  <c r="B5" i="72"/>
  <c r="I19" i="43"/>
  <c r="D83" i="71"/>
  <c r="F82" i="71"/>
  <c r="E82" i="71"/>
  <c r="E81" i="71" s="1"/>
  <c r="E80" i="71"/>
  <c r="C82" i="71"/>
  <c r="D82" i="71" s="1"/>
  <c r="B82" i="71"/>
  <c r="B81" i="71" s="1"/>
  <c r="B80" i="71" s="1"/>
  <c r="F81" i="71"/>
  <c r="F80" i="71" s="1"/>
  <c r="D79" i="71"/>
  <c r="F78" i="71"/>
  <c r="E78" i="71"/>
  <c r="E77" i="71" s="1"/>
  <c r="E76" i="71"/>
  <c r="C78" i="71"/>
  <c r="D78" i="71" s="1"/>
  <c r="B78" i="71"/>
  <c r="F77" i="71"/>
  <c r="F76" i="71" s="1"/>
  <c r="B77" i="71"/>
  <c r="B76" i="71"/>
  <c r="D75" i="71"/>
  <c r="Q74" i="71"/>
  <c r="P74" i="71"/>
  <c r="O74" i="71"/>
  <c r="N74" i="71"/>
  <c r="F74" i="71"/>
  <c r="V74" i="71" s="1"/>
  <c r="E74" i="71"/>
  <c r="C74" i="71"/>
  <c r="T74" i="71"/>
  <c r="B74" i="71"/>
  <c r="S74" i="71" s="1"/>
  <c r="Q73" i="71"/>
  <c r="P73" i="71"/>
  <c r="O73" i="71"/>
  <c r="N73" i="71"/>
  <c r="B73" i="71"/>
  <c r="B72" i="71"/>
  <c r="Q72" i="71"/>
  <c r="P72" i="71"/>
  <c r="O72" i="71"/>
  <c r="N72" i="71"/>
  <c r="Q71" i="71"/>
  <c r="P71" i="71"/>
  <c r="O71" i="71"/>
  <c r="N71" i="71"/>
  <c r="D71" i="71"/>
  <c r="Q70" i="71"/>
  <c r="P70" i="71"/>
  <c r="O70" i="71"/>
  <c r="N70" i="71"/>
  <c r="F70" i="71"/>
  <c r="V70" i="71" s="1"/>
  <c r="E70" i="71"/>
  <c r="U70" i="71"/>
  <c r="C70" i="71"/>
  <c r="T70" i="71" s="1"/>
  <c r="B70" i="71"/>
  <c r="Q69" i="71"/>
  <c r="P69" i="71"/>
  <c r="O69" i="71"/>
  <c r="N69" i="71"/>
  <c r="F69" i="71"/>
  <c r="F68" i="71" s="1"/>
  <c r="Q68" i="71"/>
  <c r="P68" i="71"/>
  <c r="O68" i="71"/>
  <c r="N68" i="71"/>
  <c r="Q67" i="71"/>
  <c r="P67" i="71"/>
  <c r="O67" i="71"/>
  <c r="N67" i="71"/>
  <c r="D67" i="71"/>
  <c r="Q66" i="71"/>
  <c r="P66" i="71"/>
  <c r="O66" i="71"/>
  <c r="N66" i="71"/>
  <c r="F66" i="71"/>
  <c r="V66" i="71"/>
  <c r="E66" i="71"/>
  <c r="C66" i="71"/>
  <c r="T66" i="71" s="1"/>
  <c r="B66" i="71"/>
  <c r="S66" i="71"/>
  <c r="Q65" i="71"/>
  <c r="P65" i="71"/>
  <c r="O65" i="71"/>
  <c r="N65" i="71"/>
  <c r="F65" i="71"/>
  <c r="F64" i="71"/>
  <c r="B65" i="71"/>
  <c r="B64" i="71" s="1"/>
  <c r="Q64" i="71"/>
  <c r="P64" i="71"/>
  <c r="O64" i="71"/>
  <c r="N64" i="71"/>
  <c r="Q63" i="71"/>
  <c r="P63" i="71"/>
  <c r="O63" i="71"/>
  <c r="N63" i="71"/>
  <c r="D63" i="71"/>
  <c r="F62" i="71"/>
  <c r="Q62" i="71" s="1"/>
  <c r="E62" i="71"/>
  <c r="P62" i="71"/>
  <c r="C62" i="71"/>
  <c r="O62" i="71" s="1"/>
  <c r="B62" i="71"/>
  <c r="S62" i="71"/>
  <c r="B61" i="71"/>
  <c r="D59" i="71"/>
  <c r="Q58" i="71"/>
  <c r="P58" i="71"/>
  <c r="O58" i="71"/>
  <c r="N58" i="71"/>
  <c r="Q57" i="71"/>
  <c r="P57" i="71"/>
  <c r="O57" i="71"/>
  <c r="N57" i="71"/>
  <c r="Q56" i="71"/>
  <c r="P56" i="71"/>
  <c r="O56" i="71"/>
  <c r="N56" i="71"/>
  <c r="Q55" i="71"/>
  <c r="F56" i="71"/>
  <c r="F57" i="71" s="1"/>
  <c r="F58" i="71" s="1"/>
  <c r="V58" i="71" s="1"/>
  <c r="P55" i="71"/>
  <c r="E56" i="71"/>
  <c r="O55" i="71"/>
  <c r="C56" i="71" s="1"/>
  <c r="N55" i="71"/>
  <c r="B56" i="71" s="1"/>
  <c r="B57" i="71" s="1"/>
  <c r="B58" i="71" s="1"/>
  <c r="S58" i="71"/>
  <c r="D55" i="71"/>
  <c r="Q54" i="71"/>
  <c r="P54" i="71"/>
  <c r="O54" i="71"/>
  <c r="N54" i="71"/>
  <c r="Q53" i="71"/>
  <c r="P53" i="71"/>
  <c r="O53" i="71"/>
  <c r="N53" i="71"/>
  <c r="Q52" i="71"/>
  <c r="P52" i="71"/>
  <c r="E53" i="71" s="1"/>
  <c r="E54" i="71" s="1"/>
  <c r="U54" i="71" s="1"/>
  <c r="O52" i="71"/>
  <c r="C53" i="71" s="1"/>
  <c r="N52" i="71"/>
  <c r="Q51" i="71"/>
  <c r="F52" i="71"/>
  <c r="F53" i="71" s="1"/>
  <c r="P51" i="71"/>
  <c r="E52" i="71"/>
  <c r="O51" i="71"/>
  <c r="C52" i="71" s="1"/>
  <c r="N51" i="71"/>
  <c r="B52" i="71" s="1"/>
  <c r="B53" i="71" s="1"/>
  <c r="B54" i="71" s="1"/>
  <c r="S54" i="71" s="1"/>
  <c r="D51" i="71"/>
  <c r="Q50" i="71"/>
  <c r="P50" i="71"/>
  <c r="O50" i="71"/>
  <c r="N50" i="71"/>
  <c r="Q49" i="71"/>
  <c r="P49" i="71"/>
  <c r="O49" i="71"/>
  <c r="N49" i="71"/>
  <c r="Q48" i="71"/>
  <c r="P48" i="71"/>
  <c r="O48" i="71"/>
  <c r="C49" i="71" s="1"/>
  <c r="N48" i="71"/>
  <c r="C48" i="71"/>
  <c r="D48" i="71" s="1"/>
  <c r="Q47" i="71"/>
  <c r="F48" i="71" s="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c r="E45" i="71"/>
  <c r="E46" i="71" s="1"/>
  <c r="U46" i="71" s="1"/>
  <c r="O43" i="71"/>
  <c r="C44" i="71" s="1"/>
  <c r="N43" i="71"/>
  <c r="B44" i="71" s="1"/>
  <c r="B45" i="71" s="1"/>
  <c r="B46" i="71" s="1"/>
  <c r="S46" i="71"/>
  <c r="D43" i="71"/>
  <c r="T42" i="71"/>
  <c r="Q42" i="71"/>
  <c r="P42" i="71"/>
  <c r="O42" i="71"/>
  <c r="N42" i="71"/>
  <c r="D42" i="71"/>
  <c r="Q41" i="71"/>
  <c r="P41" i="71"/>
  <c r="O41" i="71"/>
  <c r="N41" i="71"/>
  <c r="Q40" i="71"/>
  <c r="P40" i="71"/>
  <c r="O40" i="71"/>
  <c r="N40" i="71"/>
  <c r="Q39" i="71"/>
  <c r="F40" i="71" s="1"/>
  <c r="P39" i="71"/>
  <c r="E40" i="71" s="1"/>
  <c r="E41" i="71" s="1"/>
  <c r="E42" i="71" s="1"/>
  <c r="U42" i="71" s="1"/>
  <c r="O39" i="71"/>
  <c r="C40" i="71"/>
  <c r="D40" i="71" s="1"/>
  <c r="N39" i="71"/>
  <c r="B40" i="71"/>
  <c r="B41" i="71" s="1"/>
  <c r="B42" i="71" s="1"/>
  <c r="S42" i="71" s="1"/>
  <c r="D39" i="71"/>
  <c r="Q38" i="71"/>
  <c r="P38" i="71"/>
  <c r="O38" i="71"/>
  <c r="N38" i="71"/>
  <c r="Q37" i="71"/>
  <c r="P37" i="71"/>
  <c r="O37" i="71"/>
  <c r="N37" i="71"/>
  <c r="Q36" i="71"/>
  <c r="P36" i="71"/>
  <c r="O36" i="71"/>
  <c r="N36" i="71"/>
  <c r="F37" i="71"/>
  <c r="F38" i="71"/>
  <c r="V38" i="71" s="1"/>
  <c r="Q35" i="71"/>
  <c r="F36" i="71" s="1"/>
  <c r="P35" i="71"/>
  <c r="E36" i="71" s="1"/>
  <c r="E37" i="71"/>
  <c r="E38" i="71" s="1"/>
  <c r="U38" i="71" s="1"/>
  <c r="O35" i="71"/>
  <c r="C36" i="71"/>
  <c r="N35" i="71"/>
  <c r="B36" i="71"/>
  <c r="B37" i="71"/>
  <c r="D35" i="71"/>
  <c r="Q34" i="71"/>
  <c r="P34" i="71"/>
  <c r="O34" i="71"/>
  <c r="N34" i="71"/>
  <c r="Q33" i="71"/>
  <c r="AB33" i="71" s="1"/>
  <c r="P33" i="71"/>
  <c r="AA33" i="71"/>
  <c r="O33" i="71"/>
  <c r="Y33" i="71" s="1"/>
  <c r="Z33" i="71"/>
  <c r="N33" i="71"/>
  <c r="X33" i="71" s="1"/>
  <c r="Q32" i="71"/>
  <c r="AB29" i="71" s="1"/>
  <c r="AB32" i="71"/>
  <c r="P32" i="71"/>
  <c r="O32" i="71"/>
  <c r="Y32" i="71"/>
  <c r="Z32" i="71" s="1"/>
  <c r="N32" i="71"/>
  <c r="X32" i="71" s="1"/>
  <c r="F32" i="71"/>
  <c r="F33" i="71" s="1"/>
  <c r="F34" i="71"/>
  <c r="V34" i="71" s="1"/>
  <c r="Q31" i="71"/>
  <c r="P31" i="71"/>
  <c r="E32" i="71" s="1"/>
  <c r="O31" i="71"/>
  <c r="Y31" i="71" s="1"/>
  <c r="Z31" i="71" s="1"/>
  <c r="N31" i="71"/>
  <c r="D31" i="71"/>
  <c r="Q30" i="71"/>
  <c r="P30" i="71"/>
  <c r="O30" i="71"/>
  <c r="Y30" i="71" s="1"/>
  <c r="Z30" i="71" s="1"/>
  <c r="N30" i="71"/>
  <c r="X30" i="71" s="1"/>
  <c r="Q29" i="71"/>
  <c r="P29" i="71"/>
  <c r="O29" i="71"/>
  <c r="N29" i="71"/>
  <c r="Q28" i="71"/>
  <c r="AB28" i="71" s="1"/>
  <c r="P28" i="71"/>
  <c r="O28" i="71"/>
  <c r="Y28" i="71"/>
  <c r="Z28" i="71" s="1"/>
  <c r="N28" i="71"/>
  <c r="F28" i="71"/>
  <c r="F29" i="71" s="1"/>
  <c r="F30" i="71" s="1"/>
  <c r="V30" i="71" s="1"/>
  <c r="Q27" i="71"/>
  <c r="P27" i="71"/>
  <c r="E28" i="71" s="1"/>
  <c r="E29" i="71" s="1"/>
  <c r="E30" i="71" s="1"/>
  <c r="U30" i="71" s="1"/>
  <c r="O27" i="71"/>
  <c r="C28" i="71" s="1"/>
  <c r="N27" i="71"/>
  <c r="D27" i="71"/>
  <c r="Q26" i="71"/>
  <c r="P26" i="71"/>
  <c r="O26" i="71"/>
  <c r="N26" i="71"/>
  <c r="X25" i="71" s="1"/>
  <c r="Q25" i="71"/>
  <c r="P25" i="71"/>
  <c r="O25" i="71"/>
  <c r="N25" i="71"/>
  <c r="Q24" i="71"/>
  <c r="AB24" i="71" s="1"/>
  <c r="P24" i="71"/>
  <c r="O24" i="71"/>
  <c r="N24" i="71"/>
  <c r="F24" i="71"/>
  <c r="F25" i="71" s="1"/>
  <c r="F26" i="71" s="1"/>
  <c r="V26" i="71" s="1"/>
  <c r="Q23" i="71"/>
  <c r="P23" i="71"/>
  <c r="E24" i="71" s="1"/>
  <c r="O23" i="71"/>
  <c r="N23" i="71"/>
  <c r="D23" i="71"/>
  <c r="O22" i="71"/>
  <c r="N22" i="71"/>
  <c r="B24" i="71"/>
  <c r="B25" i="71" s="1"/>
  <c r="B26" i="71" s="1"/>
  <c r="S26" i="71" s="1"/>
  <c r="E25" i="71"/>
  <c r="E26" i="71"/>
  <c r="U26" i="71" s="1"/>
  <c r="B28" i="71"/>
  <c r="B32" i="71"/>
  <c r="B33" i="71"/>
  <c r="B34" i="71" s="1"/>
  <c r="S34" i="71" s="1"/>
  <c r="E33" i="71"/>
  <c r="E34" i="71" s="1"/>
  <c r="U34" i="71" s="1"/>
  <c r="AA31" i="71"/>
  <c r="N62" i="71"/>
  <c r="C24" i="71"/>
  <c r="AB23" i="71"/>
  <c r="Y27" i="71"/>
  <c r="Z27" i="71" s="1"/>
  <c r="AA30" i="71"/>
  <c r="C32" i="71"/>
  <c r="AA32" i="71"/>
  <c r="C22" i="71"/>
  <c r="B22" i="71"/>
  <c r="D24" i="71"/>
  <c r="D44" i="71"/>
  <c r="P22" i="71"/>
  <c r="E57" i="71"/>
  <c r="E58" i="71" s="1"/>
  <c r="U58" i="71" s="1"/>
  <c r="U62" i="71"/>
  <c r="E61" i="71"/>
  <c r="Q22" i="71"/>
  <c r="D52" i="71"/>
  <c r="D56" i="71"/>
  <c r="T62" i="71"/>
  <c r="D62" i="71"/>
  <c r="C61" i="71"/>
  <c r="O61" i="71" s="1"/>
  <c r="C65" i="71"/>
  <c r="D65" i="71" s="1"/>
  <c r="D66" i="71"/>
  <c r="C69" i="71"/>
  <c r="E69" i="71"/>
  <c r="E68" i="71"/>
  <c r="C73" i="71"/>
  <c r="D74" i="71"/>
  <c r="C77" i="71"/>
  <c r="C81" i="71"/>
  <c r="D81" i="71" s="1"/>
  <c r="E22" i="71"/>
  <c r="E21" i="71"/>
  <c r="E20" i="71" s="1"/>
  <c r="C60" i="71"/>
  <c r="O59" i="71" s="1"/>
  <c r="D61" i="71"/>
  <c r="D77" i="71"/>
  <c r="C76" i="71"/>
  <c r="D76" i="71" s="1"/>
  <c r="D73" i="71"/>
  <c r="C72" i="71"/>
  <c r="D72" i="71"/>
  <c r="P61" i="71"/>
  <c r="E60" i="71"/>
  <c r="V22" i="71"/>
  <c r="O60" i="71"/>
  <c r="D6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c r="D94" i="40"/>
  <c r="E94" i="40" s="1"/>
  <c r="F94" i="40" s="1"/>
  <c r="G94" i="40" s="1"/>
  <c r="F25" i="40"/>
  <c r="AA25" i="40" s="1"/>
  <c r="Q29" i="39"/>
  <c r="Z29" i="39" s="1"/>
  <c r="D103" i="39"/>
  <c r="E103" i="39"/>
  <c r="F29" i="39"/>
  <c r="Q18" i="36"/>
  <c r="Z18" i="36"/>
  <c r="D66" i="36"/>
  <c r="E66" i="36"/>
  <c r="F66" i="36"/>
  <c r="G66" i="36" s="1"/>
  <c r="H18" i="36"/>
  <c r="AB18" i="36" s="1"/>
  <c r="F18" i="36"/>
  <c r="S18" i="36" s="1"/>
  <c r="AA18" i="36"/>
  <c r="C18" i="36"/>
  <c r="Q18" i="35"/>
  <c r="Z18" i="35" s="1"/>
  <c r="D68" i="35"/>
  <c r="E68" i="35"/>
  <c r="F18" i="35"/>
  <c r="AA18" i="35" s="1"/>
  <c r="C18" i="35"/>
  <c r="Z21" i="37"/>
  <c r="Q21" i="37"/>
  <c r="D77" i="37"/>
  <c r="E77" i="37"/>
  <c r="F77" i="37" s="1"/>
  <c r="G77" i="37" s="1"/>
  <c r="C21" i="37"/>
  <c r="Q21" i="34"/>
  <c r="Z21" i="34" s="1"/>
  <c r="D84" i="34"/>
  <c r="E84" i="34"/>
  <c r="F21" i="34"/>
  <c r="AA21" i="34" s="1"/>
  <c r="C21" i="34"/>
  <c r="Z21" i="33"/>
  <c r="Q21" i="33"/>
  <c r="D83" i="33"/>
  <c r="E83" i="33"/>
  <c r="C21" i="33"/>
  <c r="C21" i="21"/>
  <c r="Q21" i="21"/>
  <c r="Z21" i="21" s="1"/>
  <c r="H19" i="21"/>
  <c r="D83" i="21"/>
  <c r="F21" i="21"/>
  <c r="S21" i="21" s="1"/>
  <c r="D81" i="21"/>
  <c r="G20" i="20"/>
  <c r="C22" i="20"/>
  <c r="B55" i="43" s="1"/>
  <c r="B75" i="43"/>
  <c r="B66" i="43"/>
  <c r="C29" i="39"/>
  <c r="S25" i="40"/>
  <c r="U18" i="36"/>
  <c r="S21" i="34"/>
  <c r="H25" i="40"/>
  <c r="AB25" i="40" s="1"/>
  <c r="J25" i="40"/>
  <c r="F103" i="39"/>
  <c r="G103" i="39" s="1"/>
  <c r="H29" i="39"/>
  <c r="J29" i="39"/>
  <c r="J18" i="36"/>
  <c r="F68" i="35"/>
  <c r="H18" i="35"/>
  <c r="AB18" i="35" s="1"/>
  <c r="S18" i="35"/>
  <c r="G68" i="35"/>
  <c r="J18" i="35"/>
  <c r="AC18" i="35" s="1"/>
  <c r="H21" i="37"/>
  <c r="AB21" i="37" s="1"/>
  <c r="F21" i="37"/>
  <c r="F84" i="34"/>
  <c r="H21" i="34"/>
  <c r="AB21" i="34" s="1"/>
  <c r="F83" i="33"/>
  <c r="G83" i="33" s="1"/>
  <c r="H21" i="33"/>
  <c r="U21" i="33" s="1"/>
  <c r="F21" i="33"/>
  <c r="AA21" i="33" s="1"/>
  <c r="E83" i="21"/>
  <c r="F83" i="21" s="1"/>
  <c r="G83" i="21" s="1"/>
  <c r="H1" i="69"/>
  <c r="AC25" i="40"/>
  <c r="W25" i="40"/>
  <c r="U25" i="40"/>
  <c r="AC18" i="36"/>
  <c r="W18" i="36"/>
  <c r="U21" i="37"/>
  <c r="U21" i="34"/>
  <c r="AB21" i="33"/>
  <c r="W18" i="35"/>
  <c r="J21" i="37"/>
  <c r="G84" i="34"/>
  <c r="J21" i="34"/>
  <c r="J21" i="33"/>
  <c r="H21" i="21"/>
  <c r="F38" i="69"/>
  <c r="E37" i="69"/>
  <c r="F36" i="69"/>
  <c r="F35" i="69"/>
  <c r="F21" i="69"/>
  <c r="F40" i="69" s="1"/>
  <c r="F20" i="69"/>
  <c r="F39" i="69" s="1"/>
  <c r="E10" i="69"/>
  <c r="E9" i="69"/>
  <c r="C7" i="69"/>
  <c r="AC21" i="37"/>
  <c r="W21" i="37"/>
  <c r="AB21" i="21"/>
  <c r="U21" i="21"/>
  <c r="J21" i="21"/>
  <c r="F38" i="68"/>
  <c r="E37" i="68"/>
  <c r="F36" i="68"/>
  <c r="F35" i="68"/>
  <c r="F21" i="68"/>
  <c r="F20" i="68"/>
  <c r="F39" i="68" s="1"/>
  <c r="E10" i="68"/>
  <c r="E9" i="68"/>
  <c r="C7" i="68"/>
  <c r="C5" i="68" s="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D99" i="43"/>
  <c r="D108" i="43"/>
  <c r="E99" i="43"/>
  <c r="F99" i="43"/>
  <c r="F108" i="43" s="1"/>
  <c r="G99" i="43"/>
  <c r="G108" i="43"/>
  <c r="H99" i="43"/>
  <c r="H108" i="43" s="1"/>
  <c r="I99" i="43"/>
  <c r="J99" i="43"/>
  <c r="J108" i="43"/>
  <c r="K99" i="43"/>
  <c r="K108" i="43" s="1"/>
  <c r="L99" i="43"/>
  <c r="M99" i="43"/>
  <c r="M108" i="43"/>
  <c r="C99" i="43"/>
  <c r="C108" i="43" s="1"/>
  <c r="D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c r="I12" i="31" s="1"/>
  <c r="J12" i="31" s="1"/>
  <c r="K12" i="31" s="1"/>
  <c r="L12" i="31" s="1"/>
  <c r="M12" i="31" s="1"/>
  <c r="N12" i="31" s="1"/>
  <c r="O12" i="31" s="1"/>
  <c r="P12" i="31" s="1"/>
  <c r="Q12" i="31" s="1"/>
  <c r="R12" i="31" s="1"/>
  <c r="S12" i="31"/>
  <c r="D10" i="31"/>
  <c r="E10" i="31" s="1"/>
  <c r="F10" i="31" s="1"/>
  <c r="G10" i="31" s="1"/>
  <c r="H10" i="31" s="1"/>
  <c r="I10" i="31" s="1"/>
  <c r="J10" i="31" s="1"/>
  <c r="K10" i="31" s="1"/>
  <c r="L10" i="31" s="1"/>
  <c r="M10" i="31" s="1"/>
  <c r="N10" i="31" s="1"/>
  <c r="O10" i="31"/>
  <c r="P10" i="31"/>
  <c r="Q10" i="31" s="1"/>
  <c r="R10" i="31" s="1"/>
  <c r="S10" i="31" s="1"/>
  <c r="D8" i="31"/>
  <c r="E8" i="31"/>
  <c r="F8" i="31"/>
  <c r="G8" i="31" s="1"/>
  <c r="H8" i="3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K10" i="1" s="1"/>
  <c r="M10" i="1" s="1"/>
  <c r="O10" i="1" s="1"/>
  <c r="P10" i="1" s="1"/>
  <c r="A11" i="1"/>
  <c r="A12" i="1"/>
  <c r="A13" i="1"/>
  <c r="K13" i="1" s="1"/>
  <c r="M13" i="1" s="1"/>
  <c r="A6" i="1"/>
  <c r="B11" i="1"/>
  <c r="E11" i="1" s="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L110" i="3" s="1"/>
  <c r="BO110" i="3"/>
  <c r="BN110" i="3"/>
  <c r="BM110" i="3"/>
  <c r="BK110" i="3"/>
  <c r="BJ110" i="3"/>
  <c r="BI110" i="3"/>
  <c r="BH110" i="3"/>
  <c r="BG110" i="3"/>
  <c r="BF110" i="3"/>
  <c r="BE110" i="3"/>
  <c r="BD110" i="3"/>
  <c r="BA110" i="3" s="1"/>
  <c r="BC110" i="3"/>
  <c r="BB110" i="3"/>
  <c r="AX110" i="3"/>
  <c r="AW110" i="3"/>
  <c r="AV110" i="3"/>
  <c r="AC110" i="3"/>
  <c r="H110" i="3"/>
  <c r="G110" i="3"/>
  <c r="BT109" i="3"/>
  <c r="BS109" i="3"/>
  <c r="BR109" i="3"/>
  <c r="BQ109" i="3"/>
  <c r="BL109" i="3" s="1"/>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A108" i="3" s="1"/>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A107" i="3" s="1"/>
  <c r="BC107" i="3"/>
  <c r="BB107" i="3"/>
  <c r="AX107" i="3"/>
  <c r="AW107" i="3"/>
  <c r="AV107" i="3"/>
  <c r="AC107" i="3"/>
  <c r="H107" i="3"/>
  <c r="G107" i="3"/>
  <c r="BT106" i="3"/>
  <c r="BS106" i="3"/>
  <c r="BR106" i="3"/>
  <c r="BQ106" i="3"/>
  <c r="BP106" i="3"/>
  <c r="BO106" i="3"/>
  <c r="BN106" i="3"/>
  <c r="BM106" i="3"/>
  <c r="BL106" i="3"/>
  <c r="BK106" i="3"/>
  <c r="BJ106" i="3"/>
  <c r="BI106" i="3"/>
  <c r="BH106" i="3"/>
  <c r="BG106" i="3"/>
  <c r="BF106" i="3"/>
  <c r="BA106" i="3" s="1"/>
  <c r="BE106" i="3"/>
  <c r="BD106" i="3"/>
  <c r="BC106" i="3"/>
  <c r="BB106" i="3"/>
  <c r="AZ106" i="3"/>
  <c r="AX106" i="3"/>
  <c r="AW106" i="3"/>
  <c r="AV106" i="3"/>
  <c r="AC106" i="3"/>
  <c r="H106" i="3"/>
  <c r="G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c r="BT99" i="3"/>
  <c r="BS99" i="3"/>
  <c r="BR99" i="3"/>
  <c r="BQ99" i="3"/>
  <c r="BP99" i="3"/>
  <c r="BO99" i="3"/>
  <c r="BN99" i="3"/>
  <c r="BM99" i="3"/>
  <c r="BL99" i="3"/>
  <c r="BK99" i="3"/>
  <c r="BJ99" i="3"/>
  <c r="BI99" i="3"/>
  <c r="BH99" i="3"/>
  <c r="BG99" i="3"/>
  <c r="BF99" i="3"/>
  <c r="BA99" i="3" s="1"/>
  <c r="AZ99" i="3" s="1"/>
  <c r="BE99" i="3"/>
  <c r="BD99" i="3"/>
  <c r="BC99" i="3"/>
  <c r="BB99" i="3"/>
  <c r="AX99" i="3"/>
  <c r="AW99" i="3"/>
  <c r="AV99" i="3"/>
  <c r="AC99" i="3"/>
  <c r="H99" i="3"/>
  <c r="G99" i="3"/>
  <c r="BT98" i="3"/>
  <c r="BS98" i="3"/>
  <c r="BR98" i="3"/>
  <c r="BQ98" i="3"/>
  <c r="BP98" i="3"/>
  <c r="BO98" i="3"/>
  <c r="BL98" i="3" s="1"/>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c r="BK97" i="3"/>
  <c r="BJ97" i="3"/>
  <c r="BI97" i="3"/>
  <c r="BH97" i="3"/>
  <c r="BG97" i="3"/>
  <c r="BF97" i="3"/>
  <c r="BA97" i="3" s="1"/>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L95" i="3" s="1"/>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s="1"/>
  <c r="BK89" i="3"/>
  <c r="BJ89" i="3"/>
  <c r="BI89" i="3"/>
  <c r="BH89" i="3"/>
  <c r="BG89" i="3"/>
  <c r="BF89" i="3"/>
  <c r="BE89" i="3"/>
  <c r="BD89" i="3"/>
  <c r="BA89" i="3" s="1"/>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A87" i="3" s="1"/>
  <c r="AZ87" i="3" s="1"/>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A85" i="3" s="1"/>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X73" i="3"/>
  <c r="AW73" i="3"/>
  <c r="AV73" i="3"/>
  <c r="AC73" i="3"/>
  <c r="G73" i="3" s="1"/>
  <c r="H73" i="3"/>
  <c r="BT72" i="3"/>
  <c r="BS72" i="3"/>
  <c r="BR72" i="3"/>
  <c r="BQ72" i="3"/>
  <c r="BL72" i="3" s="1"/>
  <c r="BP72" i="3"/>
  <c r="BO72" i="3"/>
  <c r="BN72" i="3"/>
  <c r="BM72" i="3"/>
  <c r="BK72" i="3"/>
  <c r="BJ72" i="3"/>
  <c r="BI72" i="3"/>
  <c r="BH72" i="3"/>
  <c r="BG72" i="3"/>
  <c r="BF72" i="3"/>
  <c r="BE72" i="3"/>
  <c r="BA72" i="3" s="1"/>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L69" i="3" s="1"/>
  <c r="BO69" i="3"/>
  <c r="BN69" i="3"/>
  <c r="BM69" i="3"/>
  <c r="BK69" i="3"/>
  <c r="BJ69" i="3"/>
  <c r="BI69" i="3"/>
  <c r="BH69" i="3"/>
  <c r="BG69" i="3"/>
  <c r="BF69" i="3"/>
  <c r="BE69" i="3"/>
  <c r="BD69" i="3"/>
  <c r="BA69" i="3" s="1"/>
  <c r="BC69" i="3"/>
  <c r="BB69" i="3"/>
  <c r="AX69" i="3"/>
  <c r="AW69" i="3"/>
  <c r="AV69" i="3"/>
  <c r="AC69" i="3"/>
  <c r="H69" i="3"/>
  <c r="G69" i="3"/>
  <c r="BT68" i="3"/>
  <c r="BS68" i="3"/>
  <c r="BR68" i="3"/>
  <c r="BQ68" i="3"/>
  <c r="BP68" i="3"/>
  <c r="BO68" i="3"/>
  <c r="BN68" i="3"/>
  <c r="BM68" i="3"/>
  <c r="BL68" i="3"/>
  <c r="BK68" i="3"/>
  <c r="BJ68" i="3"/>
  <c r="BI68" i="3"/>
  <c r="BH68" i="3"/>
  <c r="BG68" i="3"/>
  <c r="BF68" i="3"/>
  <c r="BA68" i="3" s="1"/>
  <c r="AZ68" i="3" s="1"/>
  <c r="BE68" i="3"/>
  <c r="BD68" i="3"/>
  <c r="BC68" i="3"/>
  <c r="BB68" i="3"/>
  <c r="AX68" i="3"/>
  <c r="AW68" i="3"/>
  <c r="AV68" i="3"/>
  <c r="AC68" i="3"/>
  <c r="H68" i="3"/>
  <c r="G68" i="3"/>
  <c r="BT67" i="3"/>
  <c r="BS67" i="3"/>
  <c r="BR67" i="3"/>
  <c r="BQ67" i="3"/>
  <c r="BP67" i="3"/>
  <c r="BO67" i="3"/>
  <c r="BL67" i="3" s="1"/>
  <c r="BN67" i="3"/>
  <c r="BM67" i="3"/>
  <c r="BK67" i="3"/>
  <c r="BJ67" i="3"/>
  <c r="BI67" i="3"/>
  <c r="BH67" i="3"/>
  <c r="BG67" i="3"/>
  <c r="BF67" i="3"/>
  <c r="BE67" i="3"/>
  <c r="BD67" i="3"/>
  <c r="BC67" i="3"/>
  <c r="BA67" i="3" s="1"/>
  <c r="BB67" i="3"/>
  <c r="AX67" i="3"/>
  <c r="AW67" i="3"/>
  <c r="AV67" i="3"/>
  <c r="AC67" i="3"/>
  <c r="G67" i="3" s="1"/>
  <c r="H67" i="3"/>
  <c r="BT66" i="3"/>
  <c r="BS66" i="3"/>
  <c r="BR66" i="3"/>
  <c r="BQ66" i="3"/>
  <c r="BL66" i="3" s="1"/>
  <c r="BP66" i="3"/>
  <c r="BO66" i="3"/>
  <c r="BN66" i="3"/>
  <c r="BM66" i="3"/>
  <c r="BK66" i="3"/>
  <c r="BJ66" i="3"/>
  <c r="BI66" i="3"/>
  <c r="BH66" i="3"/>
  <c r="BG66" i="3"/>
  <c r="BF66" i="3"/>
  <c r="BE66" i="3"/>
  <c r="BA66" i="3" s="1"/>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L64" i="3"/>
  <c r="BK64" i="3"/>
  <c r="BJ64" i="3"/>
  <c r="BI64" i="3"/>
  <c r="BH64" i="3"/>
  <c r="BG64" i="3"/>
  <c r="BF64" i="3"/>
  <c r="BA64" i="3" s="1"/>
  <c r="AZ64" i="3" s="1"/>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L62" i="3" s="1"/>
  <c r="BO62" i="3"/>
  <c r="BN62" i="3"/>
  <c r="BM62" i="3"/>
  <c r="BK62" i="3"/>
  <c r="BJ62" i="3"/>
  <c r="BI62" i="3"/>
  <c r="BH62" i="3"/>
  <c r="BG62" i="3"/>
  <c r="BF62" i="3"/>
  <c r="BE62" i="3"/>
  <c r="BD62" i="3"/>
  <c r="BA62" i="3" s="1"/>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L45" i="3" s="1"/>
  <c r="BP45" i="3"/>
  <c r="BO45" i="3"/>
  <c r="BN45" i="3"/>
  <c r="BM45" i="3"/>
  <c r="BK45" i="3"/>
  <c r="BJ45" i="3"/>
  <c r="BI45" i="3"/>
  <c r="BH45" i="3"/>
  <c r="BG45" i="3"/>
  <c r="BF45" i="3"/>
  <c r="BE45" i="3"/>
  <c r="BA45" i="3" s="1"/>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L43" i="3" s="1"/>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A42" i="3" s="1"/>
  <c r="BE42" i="3"/>
  <c r="BD42" i="3"/>
  <c r="BC42" i="3"/>
  <c r="BB42" i="3"/>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BT40" i="3"/>
  <c r="BS40" i="3"/>
  <c r="BR40" i="3"/>
  <c r="BQ40" i="3"/>
  <c r="BP40" i="3"/>
  <c r="BL40" i="3" s="1"/>
  <c r="BO40" i="3"/>
  <c r="BN40" i="3"/>
  <c r="BM40" i="3"/>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A38" i="3" s="1"/>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L35" i="3" s="1"/>
  <c r="BP35" i="3"/>
  <c r="BO35" i="3"/>
  <c r="BN35" i="3"/>
  <c r="BM35" i="3"/>
  <c r="BK35" i="3"/>
  <c r="BJ35" i="3"/>
  <c r="BI35" i="3"/>
  <c r="BH35" i="3"/>
  <c r="BG35" i="3"/>
  <c r="BF35" i="3"/>
  <c r="BE35" i="3"/>
  <c r="BA35" i="3" s="1"/>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A33" i="3" s="1"/>
  <c r="BC33" i="3"/>
  <c r="BB33" i="3"/>
  <c r="AX33" i="3"/>
  <c r="AW33" i="3"/>
  <c r="AV33" i="3"/>
  <c r="AC33" i="3"/>
  <c r="H33" i="3"/>
  <c r="G33" i="3"/>
  <c r="BT32" i="3"/>
  <c r="BS32" i="3"/>
  <c r="BR32" i="3"/>
  <c r="BQ32" i="3"/>
  <c r="BP32" i="3"/>
  <c r="BO32" i="3"/>
  <c r="BN32" i="3"/>
  <c r="BM32" i="3"/>
  <c r="BL32" i="3"/>
  <c r="BK32" i="3"/>
  <c r="BJ32" i="3"/>
  <c r="BI32" i="3"/>
  <c r="BH32" i="3"/>
  <c r="BG32" i="3"/>
  <c r="BF32" i="3"/>
  <c r="BA32" i="3" s="1"/>
  <c r="BE32" i="3"/>
  <c r="BD32" i="3"/>
  <c r="BC32" i="3"/>
  <c r="BB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L28" i="3" s="1"/>
  <c r="BN28" i="3"/>
  <c r="BM28" i="3"/>
  <c r="BK28" i="3"/>
  <c r="BJ28" i="3"/>
  <c r="BI28" i="3"/>
  <c r="BH28" i="3"/>
  <c r="BG28" i="3"/>
  <c r="BF28" i="3"/>
  <c r="BE28" i="3"/>
  <c r="BD28" i="3"/>
  <c r="BC28" i="3"/>
  <c r="BA28" i="3" s="1"/>
  <c r="BB28" i="3"/>
  <c r="AX28" i="3"/>
  <c r="AW28" i="3"/>
  <c r="AV28" i="3"/>
  <c r="AC28" i="3"/>
  <c r="G28" i="3" s="1"/>
  <c r="H28" i="3"/>
  <c r="BT27" i="3"/>
  <c r="BS27" i="3"/>
  <c r="BR27" i="3"/>
  <c r="BQ27" i="3"/>
  <c r="BL27" i="3" s="1"/>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G21" i="3" s="1"/>
  <c r="H21" i="3"/>
  <c r="BT20" i="3"/>
  <c r="BS20" i="3"/>
  <c r="BR20" i="3"/>
  <c r="BQ20" i="3"/>
  <c r="BL20" i="3" s="1"/>
  <c r="BP20" i="3"/>
  <c r="BO20" i="3"/>
  <c r="BN20" i="3"/>
  <c r="BM20" i="3"/>
  <c r="BK20" i="3"/>
  <c r="BJ20" i="3"/>
  <c r="BI20" i="3"/>
  <c r="BH20" i="3"/>
  <c r="BG20" i="3"/>
  <c r="BF20" i="3"/>
  <c r="BE20" i="3"/>
  <c r="BA20" i="3" s="1"/>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G18" i="3"/>
  <c r="BT207" i="3"/>
  <c r="BS207" i="3"/>
  <c r="BR207" i="3"/>
  <c r="BQ207" i="3"/>
  <c r="BP207" i="3"/>
  <c r="BO207" i="3"/>
  <c r="BN207" i="3"/>
  <c r="BM207" i="3"/>
  <c r="BL207" i="3"/>
  <c r="BK207" i="3"/>
  <c r="BJ207" i="3"/>
  <c r="BI207" i="3"/>
  <c r="BH207" i="3"/>
  <c r="BG207" i="3"/>
  <c r="BF207" i="3"/>
  <c r="BA207" i="3" s="1"/>
  <c r="AZ207" i="3" s="1"/>
  <c r="BE207" i="3"/>
  <c r="BD207" i="3"/>
  <c r="BC207" i="3"/>
  <c r="BB207" i="3"/>
  <c r="AX207" i="3"/>
  <c r="AW207" i="3"/>
  <c r="AV207" i="3"/>
  <c r="AC207" i="3"/>
  <c r="H207" i="3"/>
  <c r="G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L205" i="3" s="1"/>
  <c r="BP205" i="3"/>
  <c r="BO205" i="3"/>
  <c r="BN205" i="3"/>
  <c r="BM205" i="3"/>
  <c r="BK205" i="3"/>
  <c r="BJ205" i="3"/>
  <c r="BI205" i="3"/>
  <c r="BH205" i="3"/>
  <c r="BG205" i="3"/>
  <c r="BF205" i="3"/>
  <c r="BE205" i="3"/>
  <c r="BA205" i="3" s="1"/>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BT202" i="3"/>
  <c r="BS202" i="3"/>
  <c r="BR202" i="3"/>
  <c r="BQ202" i="3"/>
  <c r="BP202" i="3"/>
  <c r="BL202" i="3" s="1"/>
  <c r="BO202" i="3"/>
  <c r="BN202" i="3"/>
  <c r="BM202" i="3"/>
  <c r="BK202" i="3"/>
  <c r="BJ202" i="3"/>
  <c r="BI202" i="3"/>
  <c r="BH202" i="3"/>
  <c r="BG202" i="3"/>
  <c r="BF202" i="3"/>
  <c r="BE202" i="3"/>
  <c r="BD202" i="3"/>
  <c r="BA202" i="3" s="1"/>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G194" i="3" s="1"/>
  <c r="H194" i="3"/>
  <c r="BT193" i="3"/>
  <c r="BS193" i="3"/>
  <c r="BR193" i="3"/>
  <c r="BQ193" i="3"/>
  <c r="BL193" i="3" s="1"/>
  <c r="BP193" i="3"/>
  <c r="BO193" i="3"/>
  <c r="BN193" i="3"/>
  <c r="BM193" i="3"/>
  <c r="BK193" i="3"/>
  <c r="BJ193" i="3"/>
  <c r="BI193" i="3"/>
  <c r="BH193" i="3"/>
  <c r="BG193" i="3"/>
  <c r="BF193" i="3"/>
  <c r="BE193" i="3"/>
  <c r="BA193" i="3" s="1"/>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L181" i="3" s="1"/>
  <c r="BP181" i="3"/>
  <c r="BO181" i="3"/>
  <c r="BN181" i="3"/>
  <c r="BM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A178" i="3" s="1"/>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A176" i="3" s="1"/>
  <c r="BE176" i="3"/>
  <c r="BD176" i="3"/>
  <c r="BC176" i="3"/>
  <c r="BB176" i="3"/>
  <c r="AX176" i="3"/>
  <c r="AW176" i="3"/>
  <c r="AV176" i="3"/>
  <c r="AC176" i="3"/>
  <c r="H176" i="3"/>
  <c r="G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A166" i="3" s="1"/>
  <c r="BE166" i="3"/>
  <c r="BD166" i="3"/>
  <c r="BC166" i="3"/>
  <c r="BB166" i="3"/>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L154" i="3" s="1"/>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A142" i="3" s="1"/>
  <c r="BC142" i="3"/>
  <c r="BB142" i="3"/>
  <c r="AX142" i="3"/>
  <c r="AW142" i="3"/>
  <c r="AV142" i="3"/>
  <c r="AC142" i="3"/>
  <c r="H142" i="3"/>
  <c r="G142" i="3"/>
  <c r="BT141" i="3"/>
  <c r="BS141" i="3"/>
  <c r="BR141" i="3"/>
  <c r="BQ141" i="3"/>
  <c r="BP141" i="3"/>
  <c r="BO141" i="3"/>
  <c r="BN141" i="3"/>
  <c r="BM141" i="3"/>
  <c r="BL141" i="3"/>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G138" i="3"/>
  <c r="BT137" i="3"/>
  <c r="BS137" i="3"/>
  <c r="BR137" i="3"/>
  <c r="BQ137" i="3"/>
  <c r="BP137" i="3"/>
  <c r="BO137" i="3"/>
  <c r="BN137" i="3"/>
  <c r="BM137" i="3"/>
  <c r="BL137" i="3"/>
  <c r="BK137" i="3"/>
  <c r="BJ137" i="3"/>
  <c r="BI137" i="3"/>
  <c r="BH137" i="3"/>
  <c r="BG137" i="3"/>
  <c r="BF137" i="3"/>
  <c r="BA137" i="3" s="1"/>
  <c r="AZ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A129" i="3" s="1"/>
  <c r="AZ129" i="3" s="1"/>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c r="BT294" i="3"/>
  <c r="BS294" i="3"/>
  <c r="BR294" i="3"/>
  <c r="BQ294" i="3"/>
  <c r="BP294" i="3"/>
  <c r="BO294" i="3"/>
  <c r="BN294" i="3"/>
  <c r="BM294" i="3"/>
  <c r="BL294" i="3"/>
  <c r="BK294" i="3"/>
  <c r="BJ294" i="3"/>
  <c r="BI294" i="3"/>
  <c r="BH294" i="3"/>
  <c r="BG294" i="3"/>
  <c r="BF294" i="3"/>
  <c r="BA294" i="3" s="1"/>
  <c r="AZ294" i="3" s="1"/>
  <c r="BE294" i="3"/>
  <c r="BD294" i="3"/>
  <c r="BC294" i="3"/>
  <c r="BB294" i="3"/>
  <c r="AX294" i="3"/>
  <c r="AW294" i="3"/>
  <c r="AV294" i="3"/>
  <c r="AC294" i="3"/>
  <c r="H294" i="3"/>
  <c r="G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A292" i="3" s="1"/>
  <c r="AZ292" i="3" s="1"/>
  <c r="BE292" i="3"/>
  <c r="BD292" i="3"/>
  <c r="BC292" i="3"/>
  <c r="BB292" i="3"/>
  <c r="AX292" i="3"/>
  <c r="AW292" i="3"/>
  <c r="AV292" i="3"/>
  <c r="AC292" i="3"/>
  <c r="H292" i="3"/>
  <c r="G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L290" i="3" s="1"/>
  <c r="BP290" i="3"/>
  <c r="BO290" i="3"/>
  <c r="BN290" i="3"/>
  <c r="BM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L288" i="3" s="1"/>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G286" i="3" s="1"/>
  <c r="H286" i="3"/>
  <c r="BT285" i="3"/>
  <c r="BS285" i="3"/>
  <c r="BR285" i="3"/>
  <c r="BQ285" i="3"/>
  <c r="BL285" i="3" s="1"/>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G284" i="3" s="1"/>
  <c r="H284" i="3"/>
  <c r="BT283" i="3"/>
  <c r="BS283" i="3"/>
  <c r="BR283" i="3"/>
  <c r="BQ283" i="3"/>
  <c r="BL283" i="3" s="1"/>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c r="BT280" i="3"/>
  <c r="BS280" i="3"/>
  <c r="BR280" i="3"/>
  <c r="BQ280" i="3"/>
  <c r="BP280" i="3"/>
  <c r="BO280" i="3"/>
  <c r="BN280" i="3"/>
  <c r="BM280" i="3"/>
  <c r="BL280" i="3"/>
  <c r="BK280" i="3"/>
  <c r="BJ280" i="3"/>
  <c r="BI280" i="3"/>
  <c r="BH280" i="3"/>
  <c r="BG280" i="3"/>
  <c r="BF280" i="3"/>
  <c r="BA280" i="3" s="1"/>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L268" i="3" s="1"/>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L266" i="3" s="1"/>
  <c r="BP266" i="3"/>
  <c r="BO266" i="3"/>
  <c r="BN266" i="3"/>
  <c r="BM266" i="3"/>
  <c r="BK266" i="3"/>
  <c r="BJ266" i="3"/>
  <c r="BI266" i="3"/>
  <c r="BH266" i="3"/>
  <c r="BG266" i="3"/>
  <c r="BF266" i="3"/>
  <c r="BE266" i="3"/>
  <c r="BA266" i="3" s="1"/>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s="1"/>
  <c r="BN264" i="3"/>
  <c r="BM264" i="3"/>
  <c r="BK264" i="3"/>
  <c r="BJ264" i="3"/>
  <c r="BI264" i="3"/>
  <c r="BH264" i="3"/>
  <c r="BG264" i="3"/>
  <c r="BF264" i="3"/>
  <c r="BE264" i="3"/>
  <c r="BD264" i="3"/>
  <c r="BC264" i="3"/>
  <c r="BA264" i="3" s="1"/>
  <c r="BB264" i="3"/>
  <c r="AZ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BT262" i="3"/>
  <c r="BS262" i="3"/>
  <c r="BR262" i="3"/>
  <c r="BQ262" i="3"/>
  <c r="BL262" i="3" s="1"/>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A258" i="3" s="1"/>
  <c r="AZ258" i="3" s="1"/>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G257" i="3" s="1"/>
  <c r="H257" i="3"/>
  <c r="BT256" i="3"/>
  <c r="BS256" i="3"/>
  <c r="BR256" i="3"/>
  <c r="BQ256" i="3"/>
  <c r="BL256" i="3" s="1"/>
  <c r="BP256" i="3"/>
  <c r="BO256" i="3"/>
  <c r="BN256" i="3"/>
  <c r="BM256" i="3"/>
  <c r="BK256" i="3"/>
  <c r="BJ256" i="3"/>
  <c r="BI256" i="3"/>
  <c r="BH256" i="3"/>
  <c r="BG256" i="3"/>
  <c r="BF256" i="3"/>
  <c r="BE256" i="3"/>
  <c r="BA256" i="3" s="1"/>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AZ255" i="3" s="1"/>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A254" i="3" s="1"/>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A251" i="3" s="1"/>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G249" i="3" s="1"/>
  <c r="H249" i="3"/>
  <c r="BT248" i="3"/>
  <c r="BS248" i="3"/>
  <c r="BR248" i="3"/>
  <c r="BQ248" i="3"/>
  <c r="BL248" i="3" s="1"/>
  <c r="BP248" i="3"/>
  <c r="BO248" i="3"/>
  <c r="BN248" i="3"/>
  <c r="BM248" i="3"/>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L246" i="3" s="1"/>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L241" i="3" s="1"/>
  <c r="BP241" i="3"/>
  <c r="BO241" i="3"/>
  <c r="BN241" i="3"/>
  <c r="BM241" i="3"/>
  <c r="BK241" i="3"/>
  <c r="BJ241" i="3"/>
  <c r="BI241" i="3"/>
  <c r="BH241" i="3"/>
  <c r="BG241" i="3"/>
  <c r="BF241" i="3"/>
  <c r="BE241" i="3"/>
  <c r="BA241" i="3" s="1"/>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A238" i="3" s="1"/>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L233" i="3" s="1"/>
  <c r="BP233" i="3"/>
  <c r="BO233" i="3"/>
  <c r="BN233" i="3"/>
  <c r="BM233" i="3"/>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L231" i="3" s="1"/>
  <c r="BN231" i="3"/>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L228" i="3" s="1"/>
  <c r="BP228" i="3"/>
  <c r="BO228" i="3"/>
  <c r="BN228" i="3"/>
  <c r="BM228" i="3"/>
  <c r="BK228" i="3"/>
  <c r="BJ228" i="3"/>
  <c r="BI228" i="3"/>
  <c r="BH228" i="3"/>
  <c r="BG228" i="3"/>
  <c r="BF228" i="3"/>
  <c r="BE228" i="3"/>
  <c r="BA228" i="3" s="1"/>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L226" i="3" s="1"/>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A223" i="3" s="1"/>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A216" i="3" s="1"/>
  <c r="AZ216" i="3" s="1"/>
  <c r="BE216" i="3"/>
  <c r="BD216" i="3"/>
  <c r="BC216" i="3"/>
  <c r="BB216" i="3"/>
  <c r="AX216" i="3"/>
  <c r="AW216" i="3"/>
  <c r="AV216" i="3"/>
  <c r="AC216" i="3"/>
  <c r="H216" i="3"/>
  <c r="G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A211" i="3" s="1"/>
  <c r="AZ211" i="3" s="1"/>
  <c r="BE211" i="3"/>
  <c r="BD211" i="3"/>
  <c r="BC211" i="3"/>
  <c r="BB211" i="3"/>
  <c r="AX211" i="3"/>
  <c r="AW211" i="3"/>
  <c r="AV211" i="3"/>
  <c r="AC211" i="3"/>
  <c r="H211" i="3"/>
  <c r="G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L397" i="3" s="1"/>
  <c r="BP397" i="3"/>
  <c r="BO397" i="3"/>
  <c r="BN397" i="3"/>
  <c r="BM397" i="3"/>
  <c r="BK397" i="3"/>
  <c r="BJ397" i="3"/>
  <c r="BI397" i="3"/>
  <c r="BH397" i="3"/>
  <c r="BG397" i="3"/>
  <c r="BF397" i="3"/>
  <c r="BE397" i="3"/>
  <c r="BA397" i="3" s="1"/>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L375" i="3" s="1"/>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G349" i="3" s="1"/>
  <c r="H349" i="3"/>
  <c r="BT348" i="3"/>
  <c r="BS348" i="3"/>
  <c r="BR348" i="3"/>
  <c r="BQ348" i="3"/>
  <c r="BP348" i="3"/>
  <c r="BO348" i="3"/>
  <c r="BN348" i="3"/>
  <c r="BM348" i="3"/>
  <c r="BL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L491" i="3"/>
  <c r="BK491" i="3"/>
  <c r="BJ491" i="3"/>
  <c r="BI491" i="3"/>
  <c r="BH491" i="3"/>
  <c r="BG491" i="3"/>
  <c r="BF491" i="3"/>
  <c r="BA491" i="3" s="1"/>
  <c r="BE491" i="3"/>
  <c r="BD491" i="3"/>
  <c r="BC491" i="3"/>
  <c r="BB491" i="3"/>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A479" i="3" s="1"/>
  <c r="AZ479" i="3" s="1"/>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M475" i="3"/>
  <c r="BL475" i="3"/>
  <c r="BK475" i="3"/>
  <c r="BJ475" i="3"/>
  <c r="BI475" i="3"/>
  <c r="BH475" i="3"/>
  <c r="BG475" i="3"/>
  <c r="BF475" i="3"/>
  <c r="BA475" i="3" s="1"/>
  <c r="AZ475" i="3" s="1"/>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M473" i="3"/>
  <c r="BL473" i="3"/>
  <c r="BK473" i="3"/>
  <c r="BJ473" i="3"/>
  <c r="BI473" i="3"/>
  <c r="BH473" i="3"/>
  <c r="BG473" i="3"/>
  <c r="BF473" i="3"/>
  <c r="BA473" i="3" s="1"/>
  <c r="BE473" i="3"/>
  <c r="BD473" i="3"/>
  <c r="BC473" i="3"/>
  <c r="BB473" i="3"/>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L471" i="3" s="1"/>
  <c r="BP471" i="3"/>
  <c r="BO471" i="3"/>
  <c r="BN471" i="3"/>
  <c r="BM471" i="3"/>
  <c r="BK471" i="3"/>
  <c r="BJ471" i="3"/>
  <c r="BI471" i="3"/>
  <c r="BH471" i="3"/>
  <c r="BG471" i="3"/>
  <c r="BF471" i="3"/>
  <c r="BE471" i="3"/>
  <c r="BD471" i="3"/>
  <c r="BC471" i="3"/>
  <c r="BA471" i="3" s="1"/>
  <c r="AZ471" i="3" s="1"/>
  <c r="BB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L469" i="3" s="1"/>
  <c r="BP469" i="3"/>
  <c r="BO469" i="3"/>
  <c r="BN469" i="3"/>
  <c r="BM469" i="3"/>
  <c r="BK469" i="3"/>
  <c r="BJ469" i="3"/>
  <c r="BI469" i="3"/>
  <c r="BH469" i="3"/>
  <c r="BG469" i="3"/>
  <c r="BF469" i="3"/>
  <c r="BA469" i="3" s="1"/>
  <c r="AZ469" i="3" s="1"/>
  <c r="BE469" i="3"/>
  <c r="BD469" i="3"/>
  <c r="BC469" i="3"/>
  <c r="BB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L467" i="3" s="1"/>
  <c r="BP467" i="3"/>
  <c r="BO467" i="3"/>
  <c r="BN467" i="3"/>
  <c r="BM467" i="3"/>
  <c r="BK467" i="3"/>
  <c r="BJ467" i="3"/>
  <c r="BI467" i="3"/>
  <c r="BH467" i="3"/>
  <c r="BG467" i="3"/>
  <c r="BF467" i="3"/>
  <c r="BE467" i="3"/>
  <c r="BD467" i="3"/>
  <c r="BC467" i="3"/>
  <c r="BA467" i="3" s="1"/>
  <c r="AZ467" i="3" s="1"/>
  <c r="BB467" i="3"/>
  <c r="AX467" i="3"/>
  <c r="AW467" i="3"/>
  <c r="AV467" i="3"/>
  <c r="AC467" i="3"/>
  <c r="H467" i="3"/>
  <c r="G467" i="3"/>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A465" i="3" s="1"/>
  <c r="BB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A456" i="3" s="1"/>
  <c r="AZ456" i="3" s="1"/>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c r="BK452" i="3"/>
  <c r="BJ452" i="3"/>
  <c r="BI452" i="3"/>
  <c r="BH452" i="3"/>
  <c r="BG452" i="3"/>
  <c r="BF452" i="3"/>
  <c r="BA452" i="3" s="1"/>
  <c r="AZ452" i="3" s="1"/>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A448" i="3" s="1"/>
  <c r="AZ448" i="3" s="1"/>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c r="BK444" i="3"/>
  <c r="BJ444" i="3"/>
  <c r="BI444" i="3"/>
  <c r="BH444" i="3"/>
  <c r="BG444" i="3"/>
  <c r="BF444" i="3"/>
  <c r="BA444" i="3" s="1"/>
  <c r="AZ444" i="3" s="1"/>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G441" i="3" s="1"/>
  <c r="H441" i="3"/>
  <c r="BT440" i="3"/>
  <c r="BS440" i="3"/>
  <c r="BR440" i="3"/>
  <c r="BQ440" i="3"/>
  <c r="BL440" i="3" s="1"/>
  <c r="BP440" i="3"/>
  <c r="BO440" i="3"/>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L438" i="3" s="1"/>
  <c r="BP438" i="3"/>
  <c r="BO438" i="3"/>
  <c r="BN438" i="3"/>
  <c r="BM438" i="3"/>
  <c r="BK438" i="3"/>
  <c r="BJ438" i="3"/>
  <c r="BI438" i="3"/>
  <c r="BH438" i="3"/>
  <c r="BG438" i="3"/>
  <c r="BF438" i="3"/>
  <c r="BA438" i="3" s="1"/>
  <c r="AZ438" i="3" s="1"/>
  <c r="BE438" i="3"/>
  <c r="BD438" i="3"/>
  <c r="BC438" i="3"/>
  <c r="BB438" i="3"/>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G428" i="3" s="1"/>
  <c r="H428" i="3"/>
  <c r="BT427" i="3"/>
  <c r="BS427" i="3"/>
  <c r="BR427" i="3"/>
  <c r="BQ427" i="3"/>
  <c r="BL427" i="3" s="1"/>
  <c r="BP427" i="3"/>
  <c r="BO427" i="3"/>
  <c r="BN427" i="3"/>
  <c r="BM427" i="3"/>
  <c r="BK427" i="3"/>
  <c r="BJ427" i="3"/>
  <c r="BI427" i="3"/>
  <c r="BH427" i="3"/>
  <c r="BG427" i="3"/>
  <c r="BF427" i="3"/>
  <c r="BE427" i="3"/>
  <c r="BD427" i="3"/>
  <c r="BC427" i="3"/>
  <c r="BA427" i="3" s="1"/>
  <c r="BB427" i="3"/>
  <c r="AX427" i="3"/>
  <c r="AW427" i="3"/>
  <c r="AV427" i="3"/>
  <c r="AC427" i="3"/>
  <c r="H427" i="3"/>
  <c r="G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A425" i="3" s="1"/>
  <c r="AZ425" i="3" s="1"/>
  <c r="BB425" i="3"/>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L423" i="3" s="1"/>
  <c r="BP423" i="3"/>
  <c r="BO423" i="3"/>
  <c r="BN423" i="3"/>
  <c r="BM423" i="3"/>
  <c r="BK423" i="3"/>
  <c r="BJ423" i="3"/>
  <c r="BI423" i="3"/>
  <c r="BH423" i="3"/>
  <c r="BG423" i="3"/>
  <c r="BF423" i="3"/>
  <c r="BE423" i="3"/>
  <c r="BD423" i="3"/>
  <c r="BC423" i="3"/>
  <c r="BA423" i="3" s="1"/>
  <c r="AZ423" i="3" s="1"/>
  <c r="BB423" i="3"/>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L421" i="3" s="1"/>
  <c r="BP421" i="3"/>
  <c r="BO421" i="3"/>
  <c r="BN421" i="3"/>
  <c r="BM421" i="3"/>
  <c r="BK421" i="3"/>
  <c r="BJ421" i="3"/>
  <c r="BI421" i="3"/>
  <c r="BH421" i="3"/>
  <c r="BG421" i="3"/>
  <c r="BF421" i="3"/>
  <c r="BE421" i="3"/>
  <c r="BD421" i="3"/>
  <c r="BC421" i="3"/>
  <c r="BA421" i="3" s="1"/>
  <c r="AZ421" i="3" s="1"/>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L419" i="3" s="1"/>
  <c r="BP419" i="3"/>
  <c r="BO419" i="3"/>
  <c r="BN419" i="3"/>
  <c r="BM419" i="3"/>
  <c r="BK419" i="3"/>
  <c r="BJ419" i="3"/>
  <c r="BI419" i="3"/>
  <c r="BH419" i="3"/>
  <c r="BG419" i="3"/>
  <c r="BF419" i="3"/>
  <c r="BA419" i="3" s="1"/>
  <c r="AZ419" i="3" s="1"/>
  <c r="BE419" i="3"/>
  <c r="BD419" i="3"/>
  <c r="BC419" i="3"/>
  <c r="BB419" i="3"/>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G418" i="3" s="1"/>
  <c r="H418" i="3"/>
  <c r="BT417" i="3"/>
  <c r="BS417" i="3"/>
  <c r="BR417" i="3"/>
  <c r="BQ417" i="3"/>
  <c r="BL417" i="3" s="1"/>
  <c r="BP417" i="3"/>
  <c r="BO417" i="3"/>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L406" i="3" s="1"/>
  <c r="BP406" i="3"/>
  <c r="BO406" i="3"/>
  <c r="BN406" i="3"/>
  <c r="BM406" i="3"/>
  <c r="BK406" i="3"/>
  <c r="BJ406" i="3"/>
  <c r="BI406" i="3"/>
  <c r="BH406" i="3"/>
  <c r="BG406" i="3"/>
  <c r="BF406" i="3"/>
  <c r="BA406" i="3" s="1"/>
  <c r="AZ406" i="3" s="1"/>
  <c r="BE406" i="3"/>
  <c r="BD406" i="3"/>
  <c r="BC406" i="3"/>
  <c r="BB406" i="3"/>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L404" i="3" s="1"/>
  <c r="BP404" i="3"/>
  <c r="BO404" i="3"/>
  <c r="BN404" i="3"/>
  <c r="BM404" i="3"/>
  <c r="BK404" i="3"/>
  <c r="BJ404" i="3"/>
  <c r="BI404" i="3"/>
  <c r="BH404" i="3"/>
  <c r="BG404" i="3"/>
  <c r="BF404" i="3"/>
  <c r="BE404" i="3"/>
  <c r="BD404" i="3"/>
  <c r="BC404" i="3"/>
  <c r="BA404" i="3" s="1"/>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G403" i="3" s="1"/>
  <c r="H403" i="3"/>
  <c r="BT402" i="3"/>
  <c r="BS402" i="3"/>
  <c r="BR402" i="3"/>
  <c r="BQ402" i="3"/>
  <c r="BL402" i="3" s="1"/>
  <c r="BP402" i="3"/>
  <c r="BO402" i="3"/>
  <c r="BN402" i="3"/>
  <c r="BM402" i="3"/>
  <c r="BK402" i="3"/>
  <c r="BJ402" i="3"/>
  <c r="BI402" i="3"/>
  <c r="BH402" i="3"/>
  <c r="BG402" i="3"/>
  <c r="BF402" i="3"/>
  <c r="BA402" i="3" s="1"/>
  <c r="AZ402" i="3" s="1"/>
  <c r="BE402" i="3"/>
  <c r="BD402" i="3"/>
  <c r="BC402" i="3"/>
  <c r="BB402" i="3"/>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L15" i="3" s="1"/>
  <c r="BP16" i="3"/>
  <c r="BP17" i="3"/>
  <c r="E19" i="6"/>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c r="I55" i="34"/>
  <c r="J55" i="34" s="1"/>
  <c r="G55" i="34"/>
  <c r="H55" i="34"/>
  <c r="E55" i="34"/>
  <c r="F55" i="34"/>
  <c r="I48" i="40"/>
  <c r="J48" i="40" s="1"/>
  <c r="G48" i="40"/>
  <c r="H48" i="40"/>
  <c r="E48" i="40"/>
  <c r="F48" i="40"/>
  <c r="I53" i="39"/>
  <c r="J53" i="39" s="1"/>
  <c r="G53" i="39"/>
  <c r="H53" i="39"/>
  <c r="E53" i="39"/>
  <c r="F53" i="39"/>
  <c r="I42" i="36"/>
  <c r="J42" i="36" s="1"/>
  <c r="G42" i="36"/>
  <c r="H42" i="36"/>
  <c r="E42" i="36"/>
  <c r="F42" i="36"/>
  <c r="I44" i="35"/>
  <c r="J44" i="35" s="1"/>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L494" i="3" s="1"/>
  <c r="AZ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A502"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L504" i="3" s="1"/>
  <c r="BR504" i="3"/>
  <c r="BS504" i="3"/>
  <c r="BT504" i="3"/>
  <c r="H505" i="3"/>
  <c r="AC505" i="3"/>
  <c r="BB505" i="3"/>
  <c r="BA505" i="3" s="1"/>
  <c r="BC505" i="3"/>
  <c r="BD505" i="3"/>
  <c r="BE505" i="3"/>
  <c r="BF505" i="3"/>
  <c r="BG505" i="3"/>
  <c r="BH505" i="3"/>
  <c r="BI505" i="3"/>
  <c r="BJ505" i="3"/>
  <c r="BK505" i="3"/>
  <c r="BM505" i="3"/>
  <c r="BN505" i="3"/>
  <c r="BO505" i="3"/>
  <c r="BL505" i="3" s="1"/>
  <c r="BP505" i="3"/>
  <c r="BR505" i="3"/>
  <c r="BS505" i="3"/>
  <c r="BT505" i="3"/>
  <c r="H506" i="3"/>
  <c r="AC506" i="3"/>
  <c r="G506" i="3" s="1"/>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L507" i="3" s="1"/>
  <c r="BT507" i="3"/>
  <c r="H508" i="3"/>
  <c r="AC508" i="3"/>
  <c r="BB508" i="3"/>
  <c r="BC508" i="3"/>
  <c r="BD508" i="3"/>
  <c r="BE508" i="3"/>
  <c r="BF508" i="3"/>
  <c r="BG508" i="3"/>
  <c r="BH508" i="3"/>
  <c r="BI508" i="3"/>
  <c r="BJ508" i="3"/>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A511" i="3" s="1"/>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L516" i="3" s="1"/>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A523" i="3" s="1"/>
  <c r="BH523" i="3"/>
  <c r="BI523" i="3"/>
  <c r="BJ523" i="3"/>
  <c r="BK523" i="3"/>
  <c r="BM523" i="3"/>
  <c r="BN523" i="3"/>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S5" i="3" s="1"/>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L556" i="3" s="1"/>
  <c r="BP556" i="3"/>
  <c r="BQ556" i="3"/>
  <c r="BR556" i="3"/>
  <c r="BS556" i="3"/>
  <c r="BT556" i="3"/>
  <c r="H557" i="3"/>
  <c r="G557" i="3" s="1"/>
  <c r="BB557" i="3"/>
  <c r="BC557" i="3"/>
  <c r="BD557" i="3"/>
  <c r="BE557" i="3"/>
  <c r="BF557" i="3"/>
  <c r="BG557" i="3"/>
  <c r="BA557" i="3" s="1"/>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A574" i="3" s="1"/>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A577" i="3" s="1"/>
  <c r="BH577" i="3"/>
  <c r="BI577" i="3"/>
  <c r="BJ577" i="3"/>
  <c r="BK577" i="3"/>
  <c r="BM577" i="3"/>
  <c r="BN577" i="3"/>
  <c r="BL577" i="3" s="1"/>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c r="H31" i="35"/>
  <c r="F31" i="35"/>
  <c r="D87" i="35"/>
  <c r="E87" i="35" s="1"/>
  <c r="F87" i="35" s="1"/>
  <c r="G87" i="35" s="1"/>
  <c r="H87" i="35" s="1"/>
  <c r="I87" i="35" s="1"/>
  <c r="J87" i="35"/>
  <c r="K87" i="35" s="1"/>
  <c r="L87" i="35" s="1"/>
  <c r="M87" i="35" s="1"/>
  <c r="H34" i="37"/>
  <c r="D101" i="37"/>
  <c r="F34" i="37"/>
  <c r="D99" i="37"/>
  <c r="E99" i="37" s="1"/>
  <c r="F99" i="37" s="1"/>
  <c r="G99" i="37"/>
  <c r="H99" i="37" s="1"/>
  <c r="I99" i="37" s="1"/>
  <c r="J99" i="37" s="1"/>
  <c r="K99" i="37" s="1"/>
  <c r="L99" i="37"/>
  <c r="M99" i="37"/>
  <c r="H42" i="34"/>
  <c r="J42" i="34"/>
  <c r="W42" i="34"/>
  <c r="F42" i="34"/>
  <c r="J38" i="34"/>
  <c r="AC38" i="34" s="1"/>
  <c r="W38" i="34"/>
  <c r="D114" i="34"/>
  <c r="F38" i="34"/>
  <c r="S38" i="34"/>
  <c r="D112" i="34"/>
  <c r="E112" i="34"/>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c r="H41" i="21"/>
  <c r="U41" i="21"/>
  <c r="D81" i="39"/>
  <c r="E81" i="39" s="1"/>
  <c r="F81" i="39"/>
  <c r="G81" i="39" s="1"/>
  <c r="H81" i="39" s="1"/>
  <c r="I81" i="39" s="1"/>
  <c r="J81" i="39" s="1"/>
  <c r="K81" i="39" s="1"/>
  <c r="L81" i="39" s="1"/>
  <c r="M81" i="39"/>
  <c r="D76" i="40"/>
  <c r="E76" i="40"/>
  <c r="F76" i="40"/>
  <c r="G76" i="40" s="1"/>
  <c r="H76" i="40" s="1"/>
  <c r="I76" i="40" s="1"/>
  <c r="J76" i="40" s="1"/>
  <c r="K76" i="40" s="1"/>
  <c r="L76" i="40" s="1"/>
  <c r="M76" i="40" s="1"/>
  <c r="B120" i="40"/>
  <c r="F40" i="40" s="1"/>
  <c r="B118" i="40"/>
  <c r="B116" i="40"/>
  <c r="D115" i="40"/>
  <c r="E115" i="40"/>
  <c r="F115" i="40" s="1"/>
  <c r="G115" i="40" s="1"/>
  <c r="H115" i="40"/>
  <c r="I115" i="40" s="1"/>
  <c r="J115" i="40" s="1"/>
  <c r="K115" i="40" s="1"/>
  <c r="L115" i="40" s="1"/>
  <c r="M115" i="40"/>
  <c r="D113" i="40"/>
  <c r="E113" i="40" s="1"/>
  <c r="F113" i="40" s="1"/>
  <c r="G113" i="40" s="1"/>
  <c r="H113" i="40" s="1"/>
  <c r="I113" i="40" s="1"/>
  <c r="J113" i="40" s="1"/>
  <c r="K113" i="40" s="1"/>
  <c r="L113" i="40"/>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c r="F100" i="40" s="1"/>
  <c r="G100" i="40" s="1"/>
  <c r="H100" i="40" s="1"/>
  <c r="I100" i="40" s="1"/>
  <c r="J100" i="40" s="1"/>
  <c r="K100" i="40" s="1"/>
  <c r="L100" i="40" s="1"/>
  <c r="M100" i="40" s="1"/>
  <c r="D98" i="40"/>
  <c r="J28" i="40"/>
  <c r="AC28" i="40" s="1"/>
  <c r="D96" i="40"/>
  <c r="E96" i="40"/>
  <c r="F96" i="40" s="1"/>
  <c r="G96" i="40"/>
  <c r="H96" i="40" s="1"/>
  <c r="I96" i="40" s="1"/>
  <c r="J96" i="40"/>
  <c r="K96" i="40" s="1"/>
  <c r="L96" i="40" s="1"/>
  <c r="M96" i="40" s="1"/>
  <c r="B95" i="40"/>
  <c r="D92" i="40"/>
  <c r="E92" i="40"/>
  <c r="F92" i="40"/>
  <c r="G92" i="40" s="1"/>
  <c r="D90" i="40"/>
  <c r="E90" i="40" s="1"/>
  <c r="F90" i="40" s="1"/>
  <c r="G90" i="40" s="1"/>
  <c r="D88" i="40"/>
  <c r="E88" i="40" s="1"/>
  <c r="D86" i="40"/>
  <c r="E86" i="40"/>
  <c r="F86" i="40" s="1"/>
  <c r="G86" i="40"/>
  <c r="D84" i="40"/>
  <c r="E84" i="40" s="1"/>
  <c r="F84" i="40"/>
  <c r="G84" i="40"/>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s="1"/>
  <c r="AA40" i="40"/>
  <c r="Q39" i="40"/>
  <c r="Z39" i="40" s="1"/>
  <c r="Q38" i="40"/>
  <c r="Z38" i="40"/>
  <c r="Q37" i="40"/>
  <c r="Z37" i="40"/>
  <c r="Q36" i="40"/>
  <c r="Z36" i="40" s="1"/>
  <c r="Q35" i="40"/>
  <c r="Z35" i="40"/>
  <c r="Q34" i="40"/>
  <c r="Z34" i="40"/>
  <c r="J34" i="40"/>
  <c r="AC34" i="40" s="1"/>
  <c r="H34" i="40"/>
  <c r="AB34" i="40"/>
  <c r="F34" i="40"/>
  <c r="AA34" i="40"/>
  <c r="Q33" i="40"/>
  <c r="Z33" i="40" s="1"/>
  <c r="Q32" i="40"/>
  <c r="Z32" i="40" s="1"/>
  <c r="Q31" i="40"/>
  <c r="Z31" i="40"/>
  <c r="Q30" i="40"/>
  <c r="Z30" i="40" s="1"/>
  <c r="Q28" i="40"/>
  <c r="Z28" i="40" s="1"/>
  <c r="Q27" i="40"/>
  <c r="Z27" i="40"/>
  <c r="Q23" i="40"/>
  <c r="Z23" i="40" s="1"/>
  <c r="Q21" i="40"/>
  <c r="Z21" i="40"/>
  <c r="Q19" i="40"/>
  <c r="Z19" i="40"/>
  <c r="Q17" i="40"/>
  <c r="Z17" i="40" s="1"/>
  <c r="Q15" i="40"/>
  <c r="Z15" i="40" s="1"/>
  <c r="Q14" i="40"/>
  <c r="Z14" i="40"/>
  <c r="Q13" i="40"/>
  <c r="Z13" i="40" s="1"/>
  <c r="Q12" i="40"/>
  <c r="Z12" i="40" s="1"/>
  <c r="Q11" i="40"/>
  <c r="Z11" i="40"/>
  <c r="Q10" i="40"/>
  <c r="Z10" i="40" s="1"/>
  <c r="Q9" i="40"/>
  <c r="Z9" i="40"/>
  <c r="J9" i="40"/>
  <c r="W9" i="40"/>
  <c r="H9" i="40"/>
  <c r="AB9" i="40" s="1"/>
  <c r="F9" i="40"/>
  <c r="J8" i="40"/>
  <c r="AC8" i="40"/>
  <c r="H8" i="40"/>
  <c r="AB8" i="40" s="1"/>
  <c r="F8" i="40"/>
  <c r="AA8" i="40"/>
  <c r="J38" i="39"/>
  <c r="W38" i="39"/>
  <c r="H38" i="39"/>
  <c r="F38" i="39"/>
  <c r="AA38" i="39"/>
  <c r="D124" i="39"/>
  <c r="E124" i="39"/>
  <c r="F124" i="39"/>
  <c r="G124" i="39" s="1"/>
  <c r="H124" i="39"/>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c r="D105" i="39"/>
  <c r="E105" i="39"/>
  <c r="F105" i="39"/>
  <c r="G105" i="39" s="1"/>
  <c r="H105" i="39" s="1"/>
  <c r="I105" i="39"/>
  <c r="J105" i="39" s="1"/>
  <c r="K105" i="39" s="1"/>
  <c r="L105" i="39" s="1"/>
  <c r="M105" i="39" s="1"/>
  <c r="D101" i="39"/>
  <c r="D99" i="39"/>
  <c r="E99" i="39" s="1"/>
  <c r="F99" i="39" s="1"/>
  <c r="G99" i="39" s="1"/>
  <c r="Q39" i="39"/>
  <c r="Z39" i="39"/>
  <c r="Q40" i="39"/>
  <c r="Z40" i="39" s="1"/>
  <c r="Q41" i="39"/>
  <c r="Z41" i="39" s="1"/>
  <c r="Q42" i="39"/>
  <c r="Z42" i="39"/>
  <c r="Q43" i="39"/>
  <c r="Z43" i="39" s="1"/>
  <c r="Q44" i="39"/>
  <c r="Z44" i="39" s="1"/>
  <c r="Q45" i="39"/>
  <c r="Z45" i="39"/>
  <c r="Q38" i="39"/>
  <c r="Z38" i="39" s="1"/>
  <c r="Q36" i="39"/>
  <c r="Z36" i="39"/>
  <c r="Q37" i="39"/>
  <c r="Z37" i="39"/>
  <c r="B131" i="39"/>
  <c r="H45" i="39" s="1"/>
  <c r="B129" i="39"/>
  <c r="B127" i="39"/>
  <c r="J43" i="39"/>
  <c r="D126" i="39"/>
  <c r="E126" i="39" s="1"/>
  <c r="F126" i="39"/>
  <c r="G126" i="39" s="1"/>
  <c r="H126" i="39" s="1"/>
  <c r="I126" i="39" s="1"/>
  <c r="J126" i="39" s="1"/>
  <c r="K126" i="39" s="1"/>
  <c r="L126" i="39" s="1"/>
  <c r="M126" i="39" s="1"/>
  <c r="D122" i="39"/>
  <c r="E122" i="39"/>
  <c r="F122" i="39" s="1"/>
  <c r="G122" i="39" s="1"/>
  <c r="H122" i="39"/>
  <c r="I122" i="39"/>
  <c r="J122" i="39" s="1"/>
  <c r="K122" i="39" s="1"/>
  <c r="L122" i="39" s="1"/>
  <c r="M122" i="39" s="1"/>
  <c r="H35" i="39"/>
  <c r="AB35" i="39" s="1"/>
  <c r="B104" i="39"/>
  <c r="D97" i="39"/>
  <c r="J23" i="39"/>
  <c r="AC23" i="39" s="1"/>
  <c r="D95" i="39"/>
  <c r="E95" i="39" s="1"/>
  <c r="F95" i="39" s="1"/>
  <c r="D93" i="39"/>
  <c r="E93" i="39"/>
  <c r="F93" i="39" s="1"/>
  <c r="G93" i="39" s="1"/>
  <c r="D91" i="39"/>
  <c r="E91" i="39" s="1"/>
  <c r="F91" i="39"/>
  <c r="G91" i="39" s="1"/>
  <c r="D89" i="39"/>
  <c r="E89" i="39"/>
  <c r="F89" i="39" s="1"/>
  <c r="G89" i="39" s="1"/>
  <c r="B86" i="39"/>
  <c r="H14" i="39" s="1"/>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c r="Q32" i="39"/>
  <c r="Z32" i="39" s="1"/>
  <c r="Q31" i="39"/>
  <c r="Z31" i="39"/>
  <c r="Q27" i="39"/>
  <c r="Z27" i="39"/>
  <c r="Q25" i="39"/>
  <c r="Z25" i="39" s="1"/>
  <c r="Q23" i="39"/>
  <c r="Z23" i="39" s="1"/>
  <c r="Q21" i="39"/>
  <c r="Z21" i="39"/>
  <c r="Q19" i="39"/>
  <c r="Z19" i="39" s="1"/>
  <c r="Q17" i="39"/>
  <c r="Z17" i="39"/>
  <c r="Q15" i="39"/>
  <c r="Z15" i="39"/>
  <c r="Q14" i="39"/>
  <c r="Z14" i="39" s="1"/>
  <c r="Q13" i="39"/>
  <c r="Z13" i="39"/>
  <c r="Q12" i="39"/>
  <c r="Z12" i="39"/>
  <c r="Q11" i="39"/>
  <c r="Z11" i="39" s="1"/>
  <c r="Q10" i="39"/>
  <c r="Z10" i="39"/>
  <c r="Q9" i="39"/>
  <c r="Z9" i="39"/>
  <c r="J9" i="39"/>
  <c r="AC9" i="39" s="1"/>
  <c r="H9" i="39"/>
  <c r="AB9" i="39" s="1"/>
  <c r="F9" i="39"/>
  <c r="AA9" i="39"/>
  <c r="J8" i="39"/>
  <c r="AC8" i="39" s="1"/>
  <c r="H8" i="39"/>
  <c r="U8" i="39" s="1"/>
  <c r="F8" i="39"/>
  <c r="AA8" i="39"/>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F27" i="37" s="1"/>
  <c r="AA27" i="37" s="1"/>
  <c r="H27" i="37"/>
  <c r="B82" i="37"/>
  <c r="D79" i="37"/>
  <c r="E79" i="37"/>
  <c r="D75" i="37"/>
  <c r="E75" i="37"/>
  <c r="D73" i="37"/>
  <c r="E73" i="37" s="1"/>
  <c r="F73" i="37" s="1"/>
  <c r="D71" i="37"/>
  <c r="H15" i="37"/>
  <c r="B68" i="37"/>
  <c r="H14" i="37"/>
  <c r="AB14" i="37" s="1"/>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c r="Q39" i="37"/>
  <c r="Z39" i="37" s="1"/>
  <c r="Q38" i="37"/>
  <c r="Z38" i="37" s="1"/>
  <c r="Q37" i="37"/>
  <c r="Z37" i="37" s="1"/>
  <c r="Q36" i="37"/>
  <c r="Z36" i="37"/>
  <c r="Q35" i="37"/>
  <c r="Z35" i="37" s="1"/>
  <c r="Q34" i="37"/>
  <c r="Z34" i="37"/>
  <c r="Q33" i="37"/>
  <c r="Z33" i="37"/>
  <c r="Q32" i="37"/>
  <c r="Z32" i="37" s="1"/>
  <c r="Q31" i="37"/>
  <c r="Z31" i="37" s="1"/>
  <c r="J31" i="37"/>
  <c r="AC31" i="37" s="1"/>
  <c r="Q30" i="37"/>
  <c r="Z30" i="37" s="1"/>
  <c r="J30" i="37"/>
  <c r="AC30" i="37"/>
  <c r="H30" i="37"/>
  <c r="AB30" i="37" s="1"/>
  <c r="F30" i="37"/>
  <c r="AA30" i="37" s="1"/>
  <c r="Q29" i="37"/>
  <c r="Z29" i="37" s="1"/>
  <c r="H29" i="37"/>
  <c r="AB29" i="37"/>
  <c r="Q28" i="37"/>
  <c r="Z28" i="37" s="1"/>
  <c r="Q27" i="37"/>
  <c r="Z27" i="37"/>
  <c r="Q26" i="37"/>
  <c r="Z26" i="37"/>
  <c r="J26" i="37"/>
  <c r="AC26" i="37" s="1"/>
  <c r="H26" i="37"/>
  <c r="AB26" i="37" s="1"/>
  <c r="F26" i="37"/>
  <c r="AA26" i="37"/>
  <c r="Q25" i="37"/>
  <c r="Z25" i="37" s="1"/>
  <c r="J25" i="37"/>
  <c r="AC25" i="37"/>
  <c r="Q23" i="37"/>
  <c r="Z23" i="37" s="1"/>
  <c r="Q19" i="37"/>
  <c r="Z19" i="37" s="1"/>
  <c r="Q17" i="37"/>
  <c r="Z17" i="37" s="1"/>
  <c r="Q15" i="37"/>
  <c r="Z15" i="37" s="1"/>
  <c r="Q14" i="37"/>
  <c r="Z14" i="37"/>
  <c r="Q13" i="37"/>
  <c r="Z13" i="37" s="1"/>
  <c r="Q12" i="37"/>
  <c r="Z12" i="37" s="1"/>
  <c r="Q11" i="37"/>
  <c r="Z11" i="37" s="1"/>
  <c r="Q10" i="37"/>
  <c r="Z10" i="37" s="1"/>
  <c r="F10" i="37"/>
  <c r="AA10" i="37" s="1"/>
  <c r="Q9" i="37"/>
  <c r="Z9" i="37"/>
  <c r="J8" i="37"/>
  <c r="W8" i="37"/>
  <c r="H8" i="37"/>
  <c r="AB8" i="37" s="1"/>
  <c r="F8" i="37"/>
  <c r="S8" i="37" s="1"/>
  <c r="J31" i="36"/>
  <c r="H31" i="36"/>
  <c r="AB31" i="36" s="1"/>
  <c r="F31" i="36"/>
  <c r="S31" i="36"/>
  <c r="M86" i="36"/>
  <c r="L86" i="36"/>
  <c r="K86" i="36"/>
  <c r="J86" i="36"/>
  <c r="I86" i="36"/>
  <c r="H86" i="36"/>
  <c r="G86" i="36"/>
  <c r="F86" i="36"/>
  <c r="E86" i="36"/>
  <c r="D86" i="36"/>
  <c r="C86" i="36"/>
  <c r="D85" i="36"/>
  <c r="E85" i="36" s="1"/>
  <c r="F85" i="36" s="1"/>
  <c r="H29" i="36"/>
  <c r="D81" i="36"/>
  <c r="E81" i="36"/>
  <c r="F81" i="36" s="1"/>
  <c r="G81" i="36" s="1"/>
  <c r="H81" i="36"/>
  <c r="I81" i="36"/>
  <c r="J81" i="36" s="1"/>
  <c r="K81" i="36" s="1"/>
  <c r="L81" i="36" s="1"/>
  <c r="M81" i="36" s="1"/>
  <c r="F79" i="36"/>
  <c r="E79" i="36"/>
  <c r="D79" i="36"/>
  <c r="C79" i="36"/>
  <c r="B93" i="36"/>
  <c r="B91" i="36"/>
  <c r="F32" i="36"/>
  <c r="B95" i="36"/>
  <c r="H34" i="36"/>
  <c r="D83" i="36"/>
  <c r="E83" i="36" s="1"/>
  <c r="F83" i="36"/>
  <c r="G83" i="36" s="1"/>
  <c r="H83" i="36" s="1"/>
  <c r="I83" i="36" s="1"/>
  <c r="J83" i="36" s="1"/>
  <c r="K83" i="36" s="1"/>
  <c r="L83" i="36" s="1"/>
  <c r="M83" i="36" s="1"/>
  <c r="D78" i="36"/>
  <c r="E78" i="36" s="1"/>
  <c r="F78" i="36"/>
  <c r="G78" i="36" s="1"/>
  <c r="H78" i="36" s="1"/>
  <c r="I78" i="36" s="1"/>
  <c r="J78" i="36"/>
  <c r="K78" i="36"/>
  <c r="L78" i="36" s="1"/>
  <c r="M78" i="36" s="1"/>
  <c r="B75" i="36"/>
  <c r="B73" i="36"/>
  <c r="J24" i="36" s="1"/>
  <c r="AC24" i="36" s="1"/>
  <c r="B71" i="36"/>
  <c r="D70" i="36"/>
  <c r="H22" i="36"/>
  <c r="AB22" i="36" s="1"/>
  <c r="D68" i="36"/>
  <c r="E68" i="36"/>
  <c r="F68" i="36"/>
  <c r="G68" i="36" s="1"/>
  <c r="D64" i="36"/>
  <c r="E64" i="36"/>
  <c r="F64" i="36" s="1"/>
  <c r="G64" i="36" s="1"/>
  <c r="J16" i="36"/>
  <c r="D62" i="36"/>
  <c r="E62" i="36"/>
  <c r="F62" i="36" s="1"/>
  <c r="G62" i="36" s="1"/>
  <c r="B59" i="36"/>
  <c r="B57" i="36"/>
  <c r="J12" i="36"/>
  <c r="B55" i="36"/>
  <c r="J11" i="36" s="1"/>
  <c r="F54" i="36"/>
  <c r="G54" i="36"/>
  <c r="H54" i="36" s="1"/>
  <c r="I54" i="36" s="1"/>
  <c r="C51" i="36"/>
  <c r="J9" i="36" s="1"/>
  <c r="AC9" i="36" s="1"/>
  <c r="P37" i="36"/>
  <c r="P36" i="36"/>
  <c r="V35" i="36"/>
  <c r="T35" i="36"/>
  <c r="R35" i="36"/>
  <c r="P35" i="36"/>
  <c r="Q34" i="36"/>
  <c r="Z34" i="36" s="1"/>
  <c r="Q33" i="36"/>
  <c r="Z33" i="36"/>
  <c r="Q32" i="36"/>
  <c r="Z32" i="36"/>
  <c r="Q31" i="36"/>
  <c r="Z31" i="36" s="1"/>
  <c r="Q30" i="36"/>
  <c r="Z30" i="36" s="1"/>
  <c r="AC30" i="36"/>
  <c r="Q29" i="36"/>
  <c r="Z29" i="36"/>
  <c r="Q28" i="36"/>
  <c r="Z28" i="36"/>
  <c r="J28" i="36"/>
  <c r="Q27" i="36"/>
  <c r="Z27" i="36"/>
  <c r="Q26" i="36"/>
  <c r="Z26" i="36" s="1"/>
  <c r="H26" i="36"/>
  <c r="AB26" i="36" s="1"/>
  <c r="Q25" i="36"/>
  <c r="Z25" i="36" s="1"/>
  <c r="Q24" i="36"/>
  <c r="Z24" i="36" s="1"/>
  <c r="H24" i="36"/>
  <c r="Q23" i="36"/>
  <c r="Z23" i="36"/>
  <c r="H23" i="36"/>
  <c r="AB23" i="36" s="1"/>
  <c r="Q22" i="36"/>
  <c r="Z22" i="36" s="1"/>
  <c r="J22" i="36"/>
  <c r="AC22" i="36" s="1"/>
  <c r="Q20" i="36"/>
  <c r="Z20" i="36"/>
  <c r="Q16" i="36"/>
  <c r="Z16" i="36"/>
  <c r="Q14" i="36"/>
  <c r="Z14" i="36" s="1"/>
  <c r="Q13" i="36"/>
  <c r="Z13" i="36"/>
  <c r="Q12" i="36"/>
  <c r="Z12" i="36" s="1"/>
  <c r="H12" i="36"/>
  <c r="U12" i="36" s="1"/>
  <c r="Q11" i="36"/>
  <c r="Z11" i="36"/>
  <c r="Q10" i="36"/>
  <c r="Z10" i="36"/>
  <c r="F10" i="36"/>
  <c r="AA10" i="36" s="1"/>
  <c r="Q9" i="36"/>
  <c r="Z9" i="36" s="1"/>
  <c r="H9" i="36"/>
  <c r="AB9" i="36" s="1"/>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J22" i="35"/>
  <c r="AC22" i="35"/>
  <c r="B101" i="35"/>
  <c r="J36" i="35" s="1"/>
  <c r="H36" i="35"/>
  <c r="AB36" i="35" s="1"/>
  <c r="B99" i="35"/>
  <c r="B97" i="35"/>
  <c r="B77" i="35"/>
  <c r="B75" i="35"/>
  <c r="B73" i="35"/>
  <c r="H23" i="35"/>
  <c r="U23" i="35"/>
  <c r="B57" i="35"/>
  <c r="B61" i="35"/>
  <c r="B59" i="35"/>
  <c r="B131" i="34"/>
  <c r="B129" i="34"/>
  <c r="B127" i="34"/>
  <c r="B99" i="34"/>
  <c r="B97" i="34"/>
  <c r="B95" i="34"/>
  <c r="B93" i="34"/>
  <c r="B75" i="34"/>
  <c r="B73" i="34"/>
  <c r="B71" i="34"/>
  <c r="B130" i="33"/>
  <c r="J46" i="33" s="1"/>
  <c r="B128" i="33"/>
  <c r="B126" i="33"/>
  <c r="B98" i="33"/>
  <c r="B96" i="33"/>
  <c r="B94" i="33"/>
  <c r="B74" i="33"/>
  <c r="F14" i="33" s="1"/>
  <c r="B72" i="33"/>
  <c r="B70" i="33"/>
  <c r="J12" i="33"/>
  <c r="D96" i="35"/>
  <c r="E96" i="35" s="1"/>
  <c r="F96" i="35"/>
  <c r="G96" i="35" s="1"/>
  <c r="D94" i="35"/>
  <c r="E94" i="35"/>
  <c r="F94" i="35" s="1"/>
  <c r="G94" i="35"/>
  <c r="H94" i="35" s="1"/>
  <c r="I94" i="35" s="1"/>
  <c r="J94" i="35" s="1"/>
  <c r="K94" i="35" s="1"/>
  <c r="L94" i="35" s="1"/>
  <c r="M94" i="35"/>
  <c r="D84" i="35"/>
  <c r="E84" i="35"/>
  <c r="F84" i="35" s="1"/>
  <c r="G84" i="35" s="1"/>
  <c r="H84" i="35" s="1"/>
  <c r="I84" i="35"/>
  <c r="J84" i="35" s="1"/>
  <c r="K84" i="35" s="1"/>
  <c r="L84" i="35" s="1"/>
  <c r="M84" i="35" s="1"/>
  <c r="D80" i="35"/>
  <c r="E80" i="35"/>
  <c r="F80" i="35"/>
  <c r="G80" i="35"/>
  <c r="H80" i="35" s="1"/>
  <c r="I80" i="35" s="1"/>
  <c r="J80" i="35" s="1"/>
  <c r="K80" i="35" s="1"/>
  <c r="L80" i="35" s="1"/>
  <c r="M80" i="35" s="1"/>
  <c r="D72" i="35"/>
  <c r="E72" i="35"/>
  <c r="F72" i="35" s="1"/>
  <c r="G72" i="35" s="1"/>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AC36" i="35"/>
  <c r="Q35" i="35"/>
  <c r="Z35" i="35"/>
  <c r="Q34" i="35"/>
  <c r="Z34" i="35"/>
  <c r="Q33" i="35"/>
  <c r="Z33" i="35"/>
  <c r="Q32" i="35"/>
  <c r="Z32" i="35" s="1"/>
  <c r="H32" i="35"/>
  <c r="AB32" i="35"/>
  <c r="F32" i="35"/>
  <c r="Q31" i="35"/>
  <c r="Z31" i="35" s="1"/>
  <c r="AC31" i="35"/>
  <c r="AB31" i="35"/>
  <c r="AA31" i="35"/>
  <c r="Q30" i="35"/>
  <c r="Z30" i="35" s="1"/>
  <c r="Q29" i="35"/>
  <c r="Z29" i="35" s="1"/>
  <c r="Q28" i="35"/>
  <c r="Z28" i="35"/>
  <c r="J28" i="35"/>
  <c r="AC28" i="35"/>
  <c r="H28" i="35"/>
  <c r="AB28" i="35" s="1"/>
  <c r="F28" i="35"/>
  <c r="AA28" i="35"/>
  <c r="Q27" i="35"/>
  <c r="Z27" i="35"/>
  <c r="Q26" i="35"/>
  <c r="Z26" i="35" s="1"/>
  <c r="Q25" i="35"/>
  <c r="Z25" i="35" s="1"/>
  <c r="Q24" i="35"/>
  <c r="Z24" i="35" s="1"/>
  <c r="Q23" i="35"/>
  <c r="Z23" i="35" s="1"/>
  <c r="J23" i="35"/>
  <c r="AC23" i="35"/>
  <c r="Q22" i="35"/>
  <c r="Z22" i="35"/>
  <c r="Q20" i="35"/>
  <c r="Z20" i="35" s="1"/>
  <c r="Q16" i="35"/>
  <c r="Z16" i="35"/>
  <c r="Q14" i="35"/>
  <c r="Z14" i="35" s="1"/>
  <c r="Q13" i="35"/>
  <c r="Z13" i="35" s="1"/>
  <c r="Q12" i="35"/>
  <c r="Z12" i="35" s="1"/>
  <c r="J12" i="35"/>
  <c r="W12" i="35" s="1"/>
  <c r="H12" i="35"/>
  <c r="U12" i="35" s="1"/>
  <c r="F12" i="35"/>
  <c r="S12" i="35"/>
  <c r="Q11" i="35"/>
  <c r="Z11" i="35"/>
  <c r="Q10" i="35"/>
  <c r="Z10" i="35" s="1"/>
  <c r="Q9" i="35"/>
  <c r="Z9" i="35"/>
  <c r="J8" i="35"/>
  <c r="W8" i="35" s="1"/>
  <c r="H8" i="35"/>
  <c r="AB8" i="35" s="1"/>
  <c r="F8" i="35"/>
  <c r="AA8" i="35" s="1"/>
  <c r="D120" i="34"/>
  <c r="E120" i="34" s="1"/>
  <c r="F120" i="34"/>
  <c r="G120" i="34" s="1"/>
  <c r="H120" i="34"/>
  <c r="I120" i="34" s="1"/>
  <c r="J120" i="34" s="1"/>
  <c r="K120" i="34" s="1"/>
  <c r="L120" i="34" s="1"/>
  <c r="M120" i="34" s="1"/>
  <c r="D90" i="34"/>
  <c r="E90" i="34" s="1"/>
  <c r="F90" i="34"/>
  <c r="G90" i="34"/>
  <c r="H90" i="34"/>
  <c r="I90" i="34" s="1"/>
  <c r="J90" i="34" s="1"/>
  <c r="K90" i="34" s="1"/>
  <c r="L90" i="34" s="1"/>
  <c r="M90" i="34" s="1"/>
  <c r="C15" i="34"/>
  <c r="F67" i="34"/>
  <c r="G67" i="34" s="1"/>
  <c r="D126" i="34"/>
  <c r="E126" i="34"/>
  <c r="F126" i="34"/>
  <c r="G126" i="34"/>
  <c r="D124" i="34"/>
  <c r="E124" i="34" s="1"/>
  <c r="F124" i="34" s="1"/>
  <c r="G124" i="34"/>
  <c r="H124" i="34" s="1"/>
  <c r="I124" i="34"/>
  <c r="J124" i="34" s="1"/>
  <c r="K124" i="34" s="1"/>
  <c r="L124" i="34" s="1"/>
  <c r="M124" i="34" s="1"/>
  <c r="H43" i="34"/>
  <c r="D118" i="34"/>
  <c r="E118" i="34"/>
  <c r="F118" i="34" s="1"/>
  <c r="G118" i="34"/>
  <c r="D116" i="34"/>
  <c r="E116" i="34"/>
  <c r="F116" i="34" s="1"/>
  <c r="G116" i="34"/>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c r="F82" i="34" s="1"/>
  <c r="G82" i="34" s="1"/>
  <c r="D80" i="34"/>
  <c r="E80" i="34"/>
  <c r="F80" i="34"/>
  <c r="G80" i="34"/>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c r="Q10" i="34"/>
  <c r="Z10" i="34" s="1"/>
  <c r="F10" i="34"/>
  <c r="AA10" i="34" s="1"/>
  <c r="Q9" i="34"/>
  <c r="Z9" i="34"/>
  <c r="J8" i="34"/>
  <c r="H8" i="34"/>
  <c r="F8" i="34"/>
  <c r="D121" i="33"/>
  <c r="E121" i="33"/>
  <c r="F109" i="33"/>
  <c r="E109" i="33"/>
  <c r="D109" i="33"/>
  <c r="C109" i="33"/>
  <c r="D91" i="33"/>
  <c r="E91" i="33"/>
  <c r="F91" i="33" s="1"/>
  <c r="B88" i="33"/>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c r="F108" i="33" s="1"/>
  <c r="D106" i="33"/>
  <c r="E106" i="33"/>
  <c r="F106" i="33" s="1"/>
  <c r="M102" i="33"/>
  <c r="L102" i="33"/>
  <c r="K102" i="33"/>
  <c r="J102" i="33"/>
  <c r="I102" i="33"/>
  <c r="H102" i="33"/>
  <c r="G102" i="33"/>
  <c r="F102" i="33"/>
  <c r="E102" i="33"/>
  <c r="D102" i="33"/>
  <c r="C102" i="33"/>
  <c r="D101" i="33"/>
  <c r="E101" i="33" s="1"/>
  <c r="B92" i="33"/>
  <c r="B90" i="33"/>
  <c r="F27" i="33" s="1"/>
  <c r="AA27" i="33" s="1"/>
  <c r="D87" i="33"/>
  <c r="E87" i="33"/>
  <c r="D85" i="33"/>
  <c r="E85" i="33" s="1"/>
  <c r="D81" i="33"/>
  <c r="E81" i="33"/>
  <c r="F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H38" i="33"/>
  <c r="AB38" i="33" s="1"/>
  <c r="F38" i="33"/>
  <c r="AA38" i="33" s="1"/>
  <c r="Q37" i="33"/>
  <c r="Z37" i="33"/>
  <c r="Q36" i="33"/>
  <c r="Z36" i="33" s="1"/>
  <c r="Q35" i="33"/>
  <c r="Z35" i="33" s="1"/>
  <c r="H35" i="33"/>
  <c r="Q34" i="33"/>
  <c r="Z34" i="33" s="1"/>
  <c r="Q33" i="33"/>
  <c r="Z33" i="33" s="1"/>
  <c r="J33" i="33"/>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Q11" i="33"/>
  <c r="Z11" i="33" s="1"/>
  <c r="Q10" i="33"/>
  <c r="Z10" i="33"/>
  <c r="Q9" i="33"/>
  <c r="Z9" i="33" s="1"/>
  <c r="J9" i="33"/>
  <c r="AC9" i="33" s="1"/>
  <c r="H9" i="33"/>
  <c r="AB9" i="33" s="1"/>
  <c r="F9" i="33"/>
  <c r="AA9" i="33" s="1"/>
  <c r="J8" i="33"/>
  <c r="AC8" i="33" s="1"/>
  <c r="H8" i="33"/>
  <c r="F8" i="33"/>
  <c r="M102" i="21"/>
  <c r="D102" i="21"/>
  <c r="E102" i="21"/>
  <c r="F102" i="21"/>
  <c r="G102" i="21"/>
  <c r="H102" i="21"/>
  <c r="I102" i="21"/>
  <c r="J102" i="21"/>
  <c r="K102" i="21"/>
  <c r="L102" i="21"/>
  <c r="C102" i="21"/>
  <c r="C63" i="21"/>
  <c r="F9" i="21"/>
  <c r="G18" i="20"/>
  <c r="B88" i="43"/>
  <c r="G19" i="20"/>
  <c r="B85" i="43" s="1"/>
  <c r="G16" i="20"/>
  <c r="B82" i="43"/>
  <c r="G15" i="20"/>
  <c r="B81" i="43"/>
  <c r="C24" i="20"/>
  <c r="C21" i="20"/>
  <c r="C27" i="39" s="1"/>
  <c r="C20" i="20"/>
  <c r="B77" i="43" s="1"/>
  <c r="C18" i="20"/>
  <c r="B71" i="43" s="1"/>
  <c r="C17" i="20"/>
  <c r="B59" i="43"/>
  <c r="C16" i="20"/>
  <c r="C17" i="39" s="1"/>
  <c r="C15" i="20"/>
  <c r="B70" i="43" s="1"/>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E119" i="21" s="1"/>
  <c r="F119" i="21" s="1"/>
  <c r="F40" i="21"/>
  <c r="S40" i="21" s="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s="1"/>
  <c r="I110" i="21" s="1"/>
  <c r="J110" i="21"/>
  <c r="K110" i="21" s="1"/>
  <c r="L110" i="21" s="1"/>
  <c r="M110" i="21" s="1"/>
  <c r="J36" i="21"/>
  <c r="D108" i="21"/>
  <c r="E108" i="21" s="1"/>
  <c r="F108" i="21"/>
  <c r="G108" i="21"/>
  <c r="H108" i="21"/>
  <c r="I108" i="21" s="1"/>
  <c r="J108" i="21" s="1"/>
  <c r="K108" i="21" s="1"/>
  <c r="L108" i="21" s="1"/>
  <c r="M108" i="21" s="1"/>
  <c r="D106" i="21"/>
  <c r="E106" i="21" s="1"/>
  <c r="F106" i="21"/>
  <c r="G106" i="21" s="1"/>
  <c r="H106" i="21"/>
  <c r="I106" i="21" s="1"/>
  <c r="J106" i="21" s="1"/>
  <c r="K106" i="21" s="1"/>
  <c r="L106" i="21" s="1"/>
  <c r="M106" i="21" s="1"/>
  <c r="D101" i="21"/>
  <c r="E101" i="21"/>
  <c r="F101" i="21"/>
  <c r="G101" i="21" s="1"/>
  <c r="H101" i="21" s="1"/>
  <c r="I101" i="21" s="1"/>
  <c r="J101" i="21" s="1"/>
  <c r="K101" i="21" s="1"/>
  <c r="L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s="1"/>
  <c r="F69" i="21"/>
  <c r="G69" i="21" s="1"/>
  <c r="H69" i="21"/>
  <c r="I69" i="21" s="1"/>
  <c r="J69" i="21" s="1"/>
  <c r="K69" i="21" s="1"/>
  <c r="L69" i="21" s="1"/>
  <c r="M69" i="21" s="1"/>
  <c r="D66" i="21"/>
  <c r="E66" i="21"/>
  <c r="F66" i="21"/>
  <c r="G66" i="21" s="1"/>
  <c r="H66" i="21"/>
  <c r="I66" i="21" s="1"/>
  <c r="D111" i="21"/>
  <c r="E111" i="21"/>
  <c r="F111" i="21"/>
  <c r="C111" i="21"/>
  <c r="D79" i="21"/>
  <c r="E79" i="21" s="1"/>
  <c r="F79" i="21"/>
  <c r="G79" i="21" s="1"/>
  <c r="D85" i="21"/>
  <c r="F19" i="21"/>
  <c r="AA19" i="21"/>
  <c r="E81" i="21"/>
  <c r="F81" i="21"/>
  <c r="G81" i="21" s="1"/>
  <c r="D77" i="21"/>
  <c r="E77" i="21" s="1"/>
  <c r="B130" i="21"/>
  <c r="H46" i="21" s="1"/>
  <c r="B128" i="21"/>
  <c r="J45" i="21"/>
  <c r="W45" i="21" s="1"/>
  <c r="B126" i="21"/>
  <c r="J44" i="21" s="1"/>
  <c r="B98" i="21"/>
  <c r="H31" i="21"/>
  <c r="B96" i="21"/>
  <c r="B94" i="21"/>
  <c r="H29" i="21" s="1"/>
  <c r="B92" i="21"/>
  <c r="B90" i="21"/>
  <c r="J27" i="21" s="1"/>
  <c r="W27" i="21"/>
  <c r="B74" i="21"/>
  <c r="F14" i="21" s="1"/>
  <c r="S14" i="21" s="1"/>
  <c r="B72" i="21"/>
  <c r="J13" i="21" s="1"/>
  <c r="B70" i="2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F38" i="21"/>
  <c r="F36" i="21"/>
  <c r="S36" i="21" s="1"/>
  <c r="F39" i="21"/>
  <c r="AA39" i="21" s="1"/>
  <c r="J40" i="21"/>
  <c r="W40" i="21"/>
  <c r="H35" i="21"/>
  <c r="J8" i="21"/>
  <c r="AC8" i="21" s="1"/>
  <c r="H8" i="21"/>
  <c r="H10" i="21"/>
  <c r="AB10" i="21" s="1"/>
  <c r="H39" i="21"/>
  <c r="U39" i="21" s="1"/>
  <c r="J34" i="21"/>
  <c r="W34" i="21" s="1"/>
  <c r="H36" i="21"/>
  <c r="U36" i="21" s="1"/>
  <c r="F35" i="21"/>
  <c r="AA35" i="21" s="1"/>
  <c r="J10" i="21"/>
  <c r="AC10" i="21"/>
  <c r="H26" i="21"/>
  <c r="AB26" i="21" s="1"/>
  <c r="AB19" i="21"/>
  <c r="J19" i="21"/>
  <c r="W19" i="21"/>
  <c r="J12" i="21"/>
  <c r="AC12" i="21"/>
  <c r="J26" i="21"/>
  <c r="W26" i="21"/>
  <c r="F26" i="21"/>
  <c r="S26" i="21"/>
  <c r="AB41" i="21"/>
  <c r="S41" i="21"/>
  <c r="AA41" i="21"/>
  <c r="F45" i="39"/>
  <c r="J45" i="39"/>
  <c r="W45" i="39" s="1"/>
  <c r="J44" i="39"/>
  <c r="F36" i="39"/>
  <c r="S36" i="39" s="1"/>
  <c r="H36" i="39"/>
  <c r="AB36" i="39" s="1"/>
  <c r="J35" i="39"/>
  <c r="AC35" i="39" s="1"/>
  <c r="F35" i="39"/>
  <c r="S35" i="39" s="1"/>
  <c r="AA35" i="39"/>
  <c r="J36" i="39"/>
  <c r="W40" i="39"/>
  <c r="W25" i="37"/>
  <c r="U30" i="37"/>
  <c r="W31" i="37"/>
  <c r="E103" i="37"/>
  <c r="F103" i="37"/>
  <c r="G103" i="37" s="1"/>
  <c r="H103" i="37"/>
  <c r="I103" i="37" s="1"/>
  <c r="J103" i="37" s="1"/>
  <c r="K103" i="37" s="1"/>
  <c r="L103" i="37"/>
  <c r="M103" i="37" s="1"/>
  <c r="F39" i="37"/>
  <c r="S39" i="37" s="1"/>
  <c r="U14" i="37"/>
  <c r="F29" i="36"/>
  <c r="AA29" i="36"/>
  <c r="W8" i="36"/>
  <c r="F16" i="36"/>
  <c r="U9" i="36"/>
  <c r="S30" i="36"/>
  <c r="AA31" i="36"/>
  <c r="AC31" i="36"/>
  <c r="W31" i="36"/>
  <c r="H22" i="35"/>
  <c r="AB22" i="35"/>
  <c r="AC27" i="35"/>
  <c r="W28" i="35"/>
  <c r="U31" i="35"/>
  <c r="W36" i="35"/>
  <c r="W22" i="35"/>
  <c r="S31" i="35"/>
  <c r="F36" i="34"/>
  <c r="AA36" i="34" s="1"/>
  <c r="J35" i="34"/>
  <c r="S34" i="34"/>
  <c r="U34" i="34"/>
  <c r="H39" i="33"/>
  <c r="AB39" i="33"/>
  <c r="S9" i="33"/>
  <c r="S40" i="33"/>
  <c r="W39" i="33"/>
  <c r="H39" i="37"/>
  <c r="F11" i="40"/>
  <c r="H11" i="40"/>
  <c r="AB11" i="40"/>
  <c r="W8" i="40"/>
  <c r="AC40" i="40"/>
  <c r="AC9" i="40"/>
  <c r="U9" i="40"/>
  <c r="S34" i="40"/>
  <c r="S40" i="40"/>
  <c r="U34" i="40"/>
  <c r="U40" i="40"/>
  <c r="F42" i="39"/>
  <c r="AA42" i="39"/>
  <c r="F41" i="39"/>
  <c r="S41" i="39"/>
  <c r="H40" i="39"/>
  <c r="H39" i="39"/>
  <c r="U39" i="39"/>
  <c r="S38" i="39"/>
  <c r="S34" i="39"/>
  <c r="H34" i="39"/>
  <c r="U34" i="39" s="1"/>
  <c r="E109" i="39"/>
  <c r="H31" i="39"/>
  <c r="AB31" i="39" s="1"/>
  <c r="F31" i="39"/>
  <c r="AA31" i="39"/>
  <c r="E101" i="39"/>
  <c r="H19" i="39"/>
  <c r="AB19" i="39"/>
  <c r="F19" i="39"/>
  <c r="AA19" i="39"/>
  <c r="H17" i="39"/>
  <c r="AB17" i="39" s="1"/>
  <c r="F17" i="39"/>
  <c r="AA17" i="39"/>
  <c r="J23" i="40"/>
  <c r="AC23" i="40"/>
  <c r="F21" i="40"/>
  <c r="S21" i="40" s="1"/>
  <c r="J21" i="40"/>
  <c r="W21" i="40"/>
  <c r="H42" i="39"/>
  <c r="AB42" i="39"/>
  <c r="J34" i="39"/>
  <c r="AC34" i="39" s="1"/>
  <c r="F109" i="39"/>
  <c r="G109" i="39"/>
  <c r="H109" i="39" s="1"/>
  <c r="I109" i="39" s="1"/>
  <c r="J109" i="39" s="1"/>
  <c r="K109" i="39"/>
  <c r="L109" i="39" s="1"/>
  <c r="M109" i="39" s="1"/>
  <c r="J31" i="39"/>
  <c r="F101" i="39"/>
  <c r="H27" i="39"/>
  <c r="U27" i="39"/>
  <c r="J19" i="39"/>
  <c r="AC19" i="39"/>
  <c r="J17" i="39"/>
  <c r="J27" i="39"/>
  <c r="F27" i="39"/>
  <c r="F11" i="21"/>
  <c r="S11" i="21" s="1"/>
  <c r="U34" i="21"/>
  <c r="S34" i="21"/>
  <c r="C25" i="39"/>
  <c r="H11" i="39"/>
  <c r="C15" i="39"/>
  <c r="H32" i="33"/>
  <c r="AB32" i="33"/>
  <c r="H11" i="21"/>
  <c r="U11" i="21" s="1"/>
  <c r="J11" i="21"/>
  <c r="W11" i="21" s="1"/>
  <c r="H37" i="40"/>
  <c r="H36" i="40"/>
  <c r="AB36" i="40" s="1"/>
  <c r="F35" i="40"/>
  <c r="AA35" i="40" s="1"/>
  <c r="H23" i="40"/>
  <c r="AB23" i="40"/>
  <c r="H17" i="40"/>
  <c r="U17" i="40" s="1"/>
  <c r="J15" i="40"/>
  <c r="W15" i="40"/>
  <c r="J11" i="40"/>
  <c r="AB8" i="39"/>
  <c r="AA12" i="34"/>
  <c r="AB12" i="35"/>
  <c r="AB12" i="36"/>
  <c r="F37" i="39"/>
  <c r="J34" i="36"/>
  <c r="AC34" i="36" s="1"/>
  <c r="W34" i="36"/>
  <c r="U30" i="36"/>
  <c r="J30" i="35"/>
  <c r="W30" i="35"/>
  <c r="H30" i="35"/>
  <c r="AB30" i="35"/>
  <c r="F22" i="35"/>
  <c r="AA22" i="35" s="1"/>
  <c r="H10" i="35"/>
  <c r="U10" i="35"/>
  <c r="W30" i="36"/>
  <c r="H16" i="36"/>
  <c r="AB16" i="36"/>
  <c r="G85" i="36"/>
  <c r="H85" i="36" s="1"/>
  <c r="I85" i="36" s="1"/>
  <c r="J85" i="36" s="1"/>
  <c r="K85" i="36" s="1"/>
  <c r="L85" i="36" s="1"/>
  <c r="M85" i="36" s="1"/>
  <c r="J29" i="36"/>
  <c r="F12" i="36"/>
  <c r="AA12" i="36" s="1"/>
  <c r="F34" i="36"/>
  <c r="S34" i="36"/>
  <c r="S10" i="36"/>
  <c r="S8" i="36"/>
  <c r="U8" i="35"/>
  <c r="F14" i="35"/>
  <c r="AA14" i="35"/>
  <c r="F23" i="35"/>
  <c r="AA23" i="35"/>
  <c r="J32" i="35"/>
  <c r="AC32" i="35"/>
  <c r="J16" i="35"/>
  <c r="AC16" i="35"/>
  <c r="H16" i="35"/>
  <c r="U16" i="35"/>
  <c r="F16" i="35"/>
  <c r="S16" i="35"/>
  <c r="H14" i="35"/>
  <c r="AB14" i="35" s="1"/>
  <c r="J29" i="35"/>
  <c r="H33" i="35"/>
  <c r="AB33" i="35" s="1"/>
  <c r="AC8" i="35"/>
  <c r="J20" i="35"/>
  <c r="W20" i="35" s="1"/>
  <c r="F35" i="37"/>
  <c r="S35" i="37"/>
  <c r="E101" i="37"/>
  <c r="F101" i="37"/>
  <c r="G101" i="37" s="1"/>
  <c r="H101" i="37" s="1"/>
  <c r="I101" i="37" s="1"/>
  <c r="J101" i="37" s="1"/>
  <c r="K101" i="37" s="1"/>
  <c r="L101" i="37" s="1"/>
  <c r="M101" i="37" s="1"/>
  <c r="J34" i="37"/>
  <c r="W34" i="37" s="1"/>
  <c r="S10" i="37"/>
  <c r="AA39" i="37"/>
  <c r="J33" i="37"/>
  <c r="W33" i="37" s="1"/>
  <c r="AC33" i="37"/>
  <c r="U42" i="34"/>
  <c r="H40" i="34"/>
  <c r="U40" i="34"/>
  <c r="E114" i="34"/>
  <c r="F114" i="34" s="1"/>
  <c r="H36" i="34"/>
  <c r="U36" i="34"/>
  <c r="F37" i="34"/>
  <c r="AA37" i="34"/>
  <c r="S35" i="34"/>
  <c r="F28" i="34"/>
  <c r="F27" i="34"/>
  <c r="AA27" i="34" s="1"/>
  <c r="F25" i="34"/>
  <c r="S25" i="34" s="1"/>
  <c r="H23" i="34"/>
  <c r="J23" i="34"/>
  <c r="F19" i="34"/>
  <c r="H17" i="34"/>
  <c r="AB17" i="34" s="1"/>
  <c r="F15" i="34"/>
  <c r="S15" i="34" s="1"/>
  <c r="J15" i="34"/>
  <c r="H15" i="34"/>
  <c r="AB15" i="34" s="1"/>
  <c r="J28" i="34"/>
  <c r="W28" i="34"/>
  <c r="F41" i="33"/>
  <c r="S38" i="33"/>
  <c r="E113" i="33"/>
  <c r="F113" i="33" s="1"/>
  <c r="F32" i="33"/>
  <c r="AA32" i="33" s="1"/>
  <c r="J19" i="33"/>
  <c r="J15" i="33"/>
  <c r="AC15" i="33" s="1"/>
  <c r="F11" i="33"/>
  <c r="AA11" i="33" s="1"/>
  <c r="U40" i="33"/>
  <c r="W40" i="33"/>
  <c r="F37" i="40"/>
  <c r="AA37" i="40" s="1"/>
  <c r="F36" i="40"/>
  <c r="AA36" i="40"/>
  <c r="H28" i="40"/>
  <c r="U28" i="40"/>
  <c r="F23" i="40"/>
  <c r="AA23" i="40" s="1"/>
  <c r="F17" i="40"/>
  <c r="AA17" i="40"/>
  <c r="J17" i="40"/>
  <c r="W17" i="40"/>
  <c r="F15" i="40"/>
  <c r="S15" i="40" s="1"/>
  <c r="H15" i="40"/>
  <c r="AB15" i="40"/>
  <c r="S12" i="36"/>
  <c r="AB30" i="36"/>
  <c r="U30" i="35"/>
  <c r="F29" i="35"/>
  <c r="S29" i="35"/>
  <c r="H29" i="35"/>
  <c r="AB29" i="35" s="1"/>
  <c r="H33" i="37"/>
  <c r="AB33" i="37"/>
  <c r="F33" i="37"/>
  <c r="AA33" i="37" s="1"/>
  <c r="S34" i="37"/>
  <c r="AA34" i="37"/>
  <c r="J43" i="34"/>
  <c r="AC43" i="34" s="1"/>
  <c r="AB42" i="34"/>
  <c r="J40" i="34"/>
  <c r="G114" i="34"/>
  <c r="H114" i="34" s="1"/>
  <c r="I114" i="34" s="1"/>
  <c r="J114" i="34" s="1"/>
  <c r="K114" i="34" s="1"/>
  <c r="L114" i="34" s="1"/>
  <c r="M114" i="34" s="1"/>
  <c r="H38" i="34"/>
  <c r="AB38" i="34" s="1"/>
  <c r="J36" i="34"/>
  <c r="W36" i="34"/>
  <c r="H37" i="34"/>
  <c r="U37" i="34"/>
  <c r="H25" i="34"/>
  <c r="AB25" i="34" s="1"/>
  <c r="J25" i="34"/>
  <c r="AC25" i="34"/>
  <c r="F23" i="34"/>
  <c r="J19" i="34"/>
  <c r="AC19" i="34" s="1"/>
  <c r="F17" i="34"/>
  <c r="AA17" i="34" s="1"/>
  <c r="J17" i="34"/>
  <c r="W17" i="34" s="1"/>
  <c r="AA15" i="34"/>
  <c r="G113" i="33"/>
  <c r="H113" i="33"/>
  <c r="I113" i="33" s="1"/>
  <c r="J113" i="33" s="1"/>
  <c r="K113" i="33" s="1"/>
  <c r="L113" i="33" s="1"/>
  <c r="M113" i="33" s="1"/>
  <c r="H37" i="33"/>
  <c r="U37" i="33" s="1"/>
  <c r="H15" i="33"/>
  <c r="AB15" i="33" s="1"/>
  <c r="H11" i="33"/>
  <c r="AB11" i="33" s="1"/>
  <c r="F28" i="40"/>
  <c r="AA28" i="40"/>
  <c r="AA29" i="35"/>
  <c r="AA42" i="34"/>
  <c r="S42" i="34"/>
  <c r="AA38" i="34"/>
  <c r="J37" i="34"/>
  <c r="W37" i="34" s="1"/>
  <c r="J11" i="33"/>
  <c r="W11" i="33"/>
  <c r="U23" i="40"/>
  <c r="J42" i="21"/>
  <c r="AC42" i="21" s="1"/>
  <c r="H42" i="21"/>
  <c r="J44" i="34"/>
  <c r="W44" i="34" s="1"/>
  <c r="F44" i="34"/>
  <c r="AA44" i="34" s="1"/>
  <c r="J10" i="35"/>
  <c r="W10" i="35"/>
  <c r="J14" i="21"/>
  <c r="W14" i="21" s="1"/>
  <c r="H14" i="21"/>
  <c r="U14" i="21"/>
  <c r="H28" i="21"/>
  <c r="AB28" i="21" s="1"/>
  <c r="F28" i="21"/>
  <c r="AA28" i="21" s="1"/>
  <c r="J28" i="21"/>
  <c r="AC28" i="21" s="1"/>
  <c r="W28" i="21"/>
  <c r="H30" i="21"/>
  <c r="F30" i="21"/>
  <c r="S30" i="21" s="1"/>
  <c r="J30" i="21"/>
  <c r="AC30" i="21" s="1"/>
  <c r="F44" i="21"/>
  <c r="F46" i="21"/>
  <c r="AA46" i="21" s="1"/>
  <c r="G119" i="21"/>
  <c r="H119" i="21" s="1"/>
  <c r="I119" i="21" s="1"/>
  <c r="J119" i="21" s="1"/>
  <c r="K119" i="21" s="1"/>
  <c r="L119" i="21" s="1"/>
  <c r="M119" i="21" s="1"/>
  <c r="H28" i="33"/>
  <c r="U28" i="33" s="1"/>
  <c r="F28" i="33"/>
  <c r="AA28" i="33" s="1"/>
  <c r="J28" i="33"/>
  <c r="W28" i="33"/>
  <c r="F33" i="35"/>
  <c r="S33" i="35" s="1"/>
  <c r="J33" i="35"/>
  <c r="AC33" i="35" s="1"/>
  <c r="F30" i="35"/>
  <c r="S30" i="35"/>
  <c r="E89" i="35"/>
  <c r="F89" i="35" s="1"/>
  <c r="G89" i="35" s="1"/>
  <c r="H89" i="35" s="1"/>
  <c r="I89" i="35" s="1"/>
  <c r="J89" i="35" s="1"/>
  <c r="K89" i="35" s="1"/>
  <c r="L89" i="35" s="1"/>
  <c r="M89" i="35" s="1"/>
  <c r="H10" i="36"/>
  <c r="AB10" i="36" s="1"/>
  <c r="J14" i="36"/>
  <c r="AC14" i="36" s="1"/>
  <c r="H14" i="36"/>
  <c r="U14" i="36" s="1"/>
  <c r="F28" i="36"/>
  <c r="AA28" i="36" s="1"/>
  <c r="H27" i="21"/>
  <c r="AB27" i="21" s="1"/>
  <c r="F27" i="21"/>
  <c r="U29" i="21"/>
  <c r="J31" i="21"/>
  <c r="AC31" i="21" s="1"/>
  <c r="F31" i="21"/>
  <c r="S31" i="21"/>
  <c r="F45" i="21"/>
  <c r="AA45" i="21" s="1"/>
  <c r="J13" i="33"/>
  <c r="H13" i="33"/>
  <c r="AB13" i="33" s="1"/>
  <c r="F13" i="33"/>
  <c r="J29" i="33"/>
  <c r="AC29" i="33"/>
  <c r="H29" i="33"/>
  <c r="U29" i="33" s="1"/>
  <c r="F29" i="33"/>
  <c r="S29" i="33" s="1"/>
  <c r="J31" i="33"/>
  <c r="W31" i="33"/>
  <c r="H31" i="33"/>
  <c r="F31" i="33"/>
  <c r="H45" i="33"/>
  <c r="J45" i="33"/>
  <c r="W45" i="33"/>
  <c r="F45" i="33"/>
  <c r="J14" i="34"/>
  <c r="W14" i="34" s="1"/>
  <c r="F14" i="34"/>
  <c r="S14" i="34"/>
  <c r="H14" i="34"/>
  <c r="H30" i="34"/>
  <c r="F30" i="34"/>
  <c r="S30" i="34" s="1"/>
  <c r="J30" i="34"/>
  <c r="W30" i="34"/>
  <c r="H32" i="34"/>
  <c r="AB32" i="34" s="1"/>
  <c r="F32" i="34"/>
  <c r="J32" i="34"/>
  <c r="W32" i="34" s="1"/>
  <c r="H46" i="34"/>
  <c r="U46" i="34"/>
  <c r="F46" i="34"/>
  <c r="S46" i="34" s="1"/>
  <c r="J46" i="34"/>
  <c r="H11" i="35"/>
  <c r="J11" i="35"/>
  <c r="AC11" i="35"/>
  <c r="F11" i="35"/>
  <c r="S11" i="35" s="1"/>
  <c r="J26" i="36"/>
  <c r="W26" i="36" s="1"/>
  <c r="H28" i="36"/>
  <c r="U28" i="36"/>
  <c r="H32" i="36"/>
  <c r="AB32" i="36" s="1"/>
  <c r="J32" i="36"/>
  <c r="W32" i="36" s="1"/>
  <c r="AC11" i="36"/>
  <c r="H11" i="36"/>
  <c r="F11" i="36"/>
  <c r="H13" i="36"/>
  <c r="AB13" i="36"/>
  <c r="J13" i="36"/>
  <c r="AC13" i="36" s="1"/>
  <c r="F13" i="36"/>
  <c r="S13" i="36"/>
  <c r="E89" i="37"/>
  <c r="F89" i="37" s="1"/>
  <c r="G89" i="37" s="1"/>
  <c r="H89" i="37" s="1"/>
  <c r="I89" i="37" s="1"/>
  <c r="J89" i="37" s="1"/>
  <c r="K89" i="37" s="1"/>
  <c r="L89" i="37" s="1"/>
  <c r="M89" i="37" s="1"/>
  <c r="J29" i="37"/>
  <c r="F29" i="37"/>
  <c r="F105" i="37"/>
  <c r="H36" i="37"/>
  <c r="U36" i="37" s="1"/>
  <c r="J37" i="37"/>
  <c r="AC37" i="37" s="1"/>
  <c r="H37" i="37"/>
  <c r="U37" i="37"/>
  <c r="H40" i="37"/>
  <c r="U40" i="37" s="1"/>
  <c r="J40" i="37"/>
  <c r="AC40" i="37" s="1"/>
  <c r="F40" i="37"/>
  <c r="AA40" i="37"/>
  <c r="AC12" i="40"/>
  <c r="W12" i="40"/>
  <c r="H14" i="33"/>
  <c r="U14" i="33" s="1"/>
  <c r="S14" i="33"/>
  <c r="J14" i="33"/>
  <c r="H30" i="33"/>
  <c r="AB30" i="33"/>
  <c r="F30" i="33"/>
  <c r="J30" i="33"/>
  <c r="H44" i="33"/>
  <c r="J44" i="33"/>
  <c r="F44" i="33"/>
  <c r="AC46" i="33"/>
  <c r="F46" i="33"/>
  <c r="H46" i="33"/>
  <c r="H13" i="34"/>
  <c r="U13" i="34"/>
  <c r="J13" i="34"/>
  <c r="W13" i="34" s="1"/>
  <c r="F13" i="34"/>
  <c r="J29" i="34"/>
  <c r="F29" i="34"/>
  <c r="S29" i="34"/>
  <c r="H29" i="34"/>
  <c r="AB29" i="34"/>
  <c r="H31" i="34"/>
  <c r="U31" i="34" s="1"/>
  <c r="AB31" i="34"/>
  <c r="H45" i="34"/>
  <c r="U45" i="34" s="1"/>
  <c r="J45" i="34"/>
  <c r="AC45" i="34" s="1"/>
  <c r="W45" i="34"/>
  <c r="F45" i="34"/>
  <c r="S45" i="34"/>
  <c r="H47" i="34"/>
  <c r="U47" i="34" s="1"/>
  <c r="F47" i="34"/>
  <c r="AA47" i="34" s="1"/>
  <c r="J47" i="34"/>
  <c r="AC47" i="34"/>
  <c r="J13" i="35"/>
  <c r="J25" i="35"/>
  <c r="W25" i="35" s="1"/>
  <c r="F25" i="35"/>
  <c r="S25" i="35" s="1"/>
  <c r="H25" i="35"/>
  <c r="AB25" i="35"/>
  <c r="J35" i="35"/>
  <c r="AC35" i="35" s="1"/>
  <c r="F35" i="35"/>
  <c r="AA35" i="35"/>
  <c r="H35" i="35"/>
  <c r="AB35" i="35"/>
  <c r="J25" i="36"/>
  <c r="W25" i="36" s="1"/>
  <c r="F25" i="36"/>
  <c r="S25" i="36" s="1"/>
  <c r="H25" i="36"/>
  <c r="AB25" i="36"/>
  <c r="H13" i="37"/>
  <c r="U13" i="37" s="1"/>
  <c r="F13" i="37"/>
  <c r="S13" i="37"/>
  <c r="J13" i="37"/>
  <c r="W13" i="37"/>
  <c r="F28" i="37"/>
  <c r="AA28" i="37" s="1"/>
  <c r="J28" i="37"/>
  <c r="H28" i="37"/>
  <c r="U28" i="37"/>
  <c r="J38" i="37"/>
  <c r="AC38" i="37" s="1"/>
  <c r="F43" i="39"/>
  <c r="AA43" i="39" s="1"/>
  <c r="H43" i="39"/>
  <c r="J14" i="39"/>
  <c r="AC14" i="39" s="1"/>
  <c r="F14" i="39"/>
  <c r="F12" i="40"/>
  <c r="S12" i="40"/>
  <c r="H12" i="40"/>
  <c r="AB12" i="40"/>
  <c r="H30" i="40"/>
  <c r="AB30" i="40" s="1"/>
  <c r="F33" i="40"/>
  <c r="AA33" i="40" s="1"/>
  <c r="H33" i="40"/>
  <c r="U33" i="40"/>
  <c r="J35" i="40"/>
  <c r="W35" i="40" s="1"/>
  <c r="J37" i="40"/>
  <c r="AC37" i="40"/>
  <c r="H13" i="40"/>
  <c r="U13" i="40"/>
  <c r="J13" i="40"/>
  <c r="W13" i="40" s="1"/>
  <c r="F13" i="40"/>
  <c r="AA13" i="40" s="1"/>
  <c r="F14" i="37"/>
  <c r="S14" i="37"/>
  <c r="F13" i="39"/>
  <c r="J13" i="39"/>
  <c r="W13" i="39" s="1"/>
  <c r="H13" i="39"/>
  <c r="H14" i="40"/>
  <c r="U14" i="40" s="1"/>
  <c r="J14" i="40"/>
  <c r="W14" i="40" s="1"/>
  <c r="F14" i="40"/>
  <c r="AA14" i="40"/>
  <c r="J14" i="37"/>
  <c r="W14" i="37" s="1"/>
  <c r="J27" i="37"/>
  <c r="W27" i="37" s="1"/>
  <c r="AC27" i="37"/>
  <c r="AA14" i="33"/>
  <c r="J36" i="37"/>
  <c r="AC36" i="37" s="1"/>
  <c r="G105" i="37"/>
  <c r="J10" i="36"/>
  <c r="W10" i="36" s="1"/>
  <c r="AC10" i="36"/>
  <c r="AA14" i="37"/>
  <c r="W13" i="36"/>
  <c r="W11" i="36"/>
  <c r="W11" i="35"/>
  <c r="AB46" i="34"/>
  <c r="AC30" i="34"/>
  <c r="AA14" i="34"/>
  <c r="W29" i="33"/>
  <c r="S44" i="34"/>
  <c r="F17" i="21"/>
  <c r="H17" i="21"/>
  <c r="AB17" i="21"/>
  <c r="F15" i="21"/>
  <c r="S15" i="21" s="1"/>
  <c r="AB11" i="21"/>
  <c r="J41" i="39"/>
  <c r="AC45" i="39"/>
  <c r="W35" i="39"/>
  <c r="U36" i="39"/>
  <c r="G544" i="3"/>
  <c r="G540" i="3"/>
  <c r="G536" i="3"/>
  <c r="G535" i="3"/>
  <c r="G532" i="3"/>
  <c r="G531" i="3"/>
  <c r="G528" i="3"/>
  <c r="G527" i="3"/>
  <c r="G518" i="3"/>
  <c r="G514" i="3"/>
  <c r="G510" i="3"/>
  <c r="G508" i="3"/>
  <c r="G504" i="3"/>
  <c r="G500" i="3"/>
  <c r="G496" i="3"/>
  <c r="G584" i="3"/>
  <c r="G576" i="3"/>
  <c r="G572" i="3"/>
  <c r="G568" i="3"/>
  <c r="G564" i="3"/>
  <c r="G560" i="3"/>
  <c r="G554" i="3"/>
  <c r="G550" i="3"/>
  <c r="BL584" i="3"/>
  <c r="BL576" i="3"/>
  <c r="BL572" i="3"/>
  <c r="BL568" i="3"/>
  <c r="BL564" i="3"/>
  <c r="BL560" i="3"/>
  <c r="BL554" i="3"/>
  <c r="BL546" i="3"/>
  <c r="AZ546" i="3" s="1"/>
  <c r="BL542" i="3"/>
  <c r="BL538" i="3"/>
  <c r="BL534" i="3"/>
  <c r="BL530" i="3"/>
  <c r="BL526" i="3"/>
  <c r="BL522" i="3"/>
  <c r="BL506" i="3"/>
  <c r="AZ506" i="3" s="1"/>
  <c r="BL582" i="3"/>
  <c r="AZ582" i="3" s="1"/>
  <c r="BL570" i="3"/>
  <c r="BL566" i="3"/>
  <c r="BL562" i="3"/>
  <c r="BL552" i="3"/>
  <c r="BL544" i="3"/>
  <c r="BL540" i="3"/>
  <c r="BL536" i="3"/>
  <c r="G533" i="3"/>
  <c r="BL532" i="3"/>
  <c r="G529" i="3"/>
  <c r="BL528" i="3"/>
  <c r="G525" i="3"/>
  <c r="BL514" i="3"/>
  <c r="G493" i="3"/>
  <c r="BA584" i="3"/>
  <c r="BA582" i="3"/>
  <c r="BA578" i="3"/>
  <c r="BA572" i="3"/>
  <c r="AZ572" i="3"/>
  <c r="BA570" i="3"/>
  <c r="AZ570" i="3"/>
  <c r="BA568" i="3"/>
  <c r="AZ568" i="3" s="1"/>
  <c r="BA566" i="3"/>
  <c r="AZ566" i="3" s="1"/>
  <c r="BA564" i="3"/>
  <c r="AZ564" i="3"/>
  <c r="BA562" i="3"/>
  <c r="AZ562" i="3" s="1"/>
  <c r="BA560" i="3"/>
  <c r="AZ560" i="3" s="1"/>
  <c r="BA558" i="3"/>
  <c r="AZ558" i="3" s="1"/>
  <c r="BA554" i="3"/>
  <c r="AZ554" i="3"/>
  <c r="BA552" i="3"/>
  <c r="AZ552" i="3" s="1"/>
  <c r="BA548" i="3"/>
  <c r="AZ548" i="3" s="1"/>
  <c r="BA546" i="3"/>
  <c r="BA544" i="3"/>
  <c r="AZ544" i="3"/>
  <c r="BA542" i="3"/>
  <c r="AZ542" i="3" s="1"/>
  <c r="BA540" i="3"/>
  <c r="AZ540" i="3" s="1"/>
  <c r="BA538" i="3"/>
  <c r="AZ538" i="3"/>
  <c r="BA536" i="3"/>
  <c r="AZ536" i="3" s="1"/>
  <c r="BA534" i="3"/>
  <c r="AZ534" i="3" s="1"/>
  <c r="BA532" i="3"/>
  <c r="AZ532" i="3"/>
  <c r="BA530" i="3"/>
  <c r="AZ530" i="3" s="1"/>
  <c r="BA528" i="3"/>
  <c r="AZ528" i="3"/>
  <c r="BA526" i="3"/>
  <c r="AZ526" i="3" s="1"/>
  <c r="BA516" i="3"/>
  <c r="AZ516" i="3" s="1"/>
  <c r="BA512" i="3"/>
  <c r="BA508" i="3"/>
  <c r="BA500" i="3"/>
  <c r="BA496" i="3"/>
  <c r="BA583" i="3"/>
  <c r="AZ583" i="3" s="1"/>
  <c r="BA575" i="3"/>
  <c r="BA573" i="3"/>
  <c r="BA571" i="3"/>
  <c r="BA569" i="3"/>
  <c r="BA567" i="3"/>
  <c r="AZ567" i="3" s="1"/>
  <c r="BA565" i="3"/>
  <c r="BA563" i="3"/>
  <c r="AZ563" i="3" s="1"/>
  <c r="BA561" i="3"/>
  <c r="BA559" i="3"/>
  <c r="BA555" i="3"/>
  <c r="AZ555" i="3" s="1"/>
  <c r="BA553" i="3"/>
  <c r="BA549" i="3"/>
  <c r="BA547" i="3"/>
  <c r="BA545" i="3"/>
  <c r="BA543" i="3"/>
  <c r="BA541" i="3"/>
  <c r="BA539" i="3"/>
  <c r="BA537" i="3"/>
  <c r="BA535" i="3"/>
  <c r="AZ535" i="3" s="1"/>
  <c r="BA533" i="3"/>
  <c r="BA531" i="3"/>
  <c r="BA529" i="3"/>
  <c r="BA527" i="3"/>
  <c r="AZ527" i="3" s="1"/>
  <c r="BA519" i="3"/>
  <c r="BA507" i="3"/>
  <c r="BA501" i="3"/>
  <c r="BA493" i="3"/>
  <c r="G583" i="3"/>
  <c r="G577" i="3"/>
  <c r="G575" i="3"/>
  <c r="G573" i="3"/>
  <c r="G571" i="3"/>
  <c r="G569" i="3"/>
  <c r="G567" i="3"/>
  <c r="G565" i="3"/>
  <c r="G563" i="3"/>
  <c r="G561" i="3"/>
  <c r="BL558" i="3"/>
  <c r="AC557" i="3"/>
  <c r="BQ557" i="3"/>
  <c r="BQ583" i="3"/>
  <c r="BL583" i="3" s="1"/>
  <c r="BQ581" i="3"/>
  <c r="BQ579" i="3"/>
  <c r="BQ577" i="3"/>
  <c r="BQ575" i="3"/>
  <c r="BL575" i="3" s="1"/>
  <c r="BQ573" i="3"/>
  <c r="BL573" i="3"/>
  <c r="BQ571" i="3"/>
  <c r="BL571" i="3" s="1"/>
  <c r="AZ571" i="3" s="1"/>
  <c r="BQ569" i="3"/>
  <c r="BL569" i="3" s="1"/>
  <c r="BQ567" i="3"/>
  <c r="BL567" i="3" s="1"/>
  <c r="BQ565" i="3"/>
  <c r="BL565" i="3"/>
  <c r="BQ563" i="3"/>
  <c r="BL563" i="3" s="1"/>
  <c r="BQ561" i="3"/>
  <c r="BL561" i="3"/>
  <c r="AZ561" i="3"/>
  <c r="BQ559" i="3"/>
  <c r="BL559" i="3"/>
  <c r="AZ559" i="3" s="1"/>
  <c r="G559" i="3"/>
  <c r="G555" i="3"/>
  <c r="G553" i="3"/>
  <c r="G549" i="3"/>
  <c r="G547" i="3"/>
  <c r="G545" i="3"/>
  <c r="G543" i="3"/>
  <c r="G541" i="3"/>
  <c r="G539" i="3"/>
  <c r="G537" i="3"/>
  <c r="BQ555" i="3"/>
  <c r="BL555" i="3" s="1"/>
  <c r="BQ553" i="3"/>
  <c r="BL553" i="3" s="1"/>
  <c r="BQ551" i="3"/>
  <c r="BQ549" i="3"/>
  <c r="BQ547" i="3"/>
  <c r="BL547" i="3" s="1"/>
  <c r="BQ545" i="3"/>
  <c r="BL545" i="3" s="1"/>
  <c r="BQ543" i="3"/>
  <c r="BL543" i="3"/>
  <c r="AZ543" i="3" s="1"/>
  <c r="BQ541" i="3"/>
  <c r="BL541" i="3" s="1"/>
  <c r="BQ539" i="3"/>
  <c r="BL539" i="3" s="1"/>
  <c r="BQ537" i="3"/>
  <c r="BL537" i="3" s="1"/>
  <c r="AZ537" i="3" s="1"/>
  <c r="BQ535" i="3"/>
  <c r="BL535" i="3"/>
  <c r="BQ533" i="3"/>
  <c r="BL533" i="3" s="1"/>
  <c r="BQ531" i="3"/>
  <c r="BL531" i="3" s="1"/>
  <c r="AZ531" i="3" s="1"/>
  <c r="BQ529" i="3"/>
  <c r="BL529" i="3" s="1"/>
  <c r="BQ527" i="3"/>
  <c r="BL527" i="3"/>
  <c r="BQ525" i="3"/>
  <c r="BQ523" i="3"/>
  <c r="BA521" i="3"/>
  <c r="AC521" i="3"/>
  <c r="G521" i="3"/>
  <c r="BQ521" i="3"/>
  <c r="BL520" i="3"/>
  <c r="G517" i="3"/>
  <c r="G515" i="3"/>
  <c r="G513" i="3"/>
  <c r="G511" i="3"/>
  <c r="BQ519" i="3"/>
  <c r="BQ517" i="3"/>
  <c r="BQ515" i="3"/>
  <c r="BQ513" i="3"/>
  <c r="BQ511" i="3"/>
  <c r="AC509" i="3"/>
  <c r="BQ509" i="3"/>
  <c r="AZ508" i="3"/>
  <c r="G507" i="3"/>
  <c r="G505" i="3"/>
  <c r="G503" i="3"/>
  <c r="G501" i="3"/>
  <c r="G499" i="3"/>
  <c r="G497" i="3"/>
  <c r="G495" i="3"/>
  <c r="BQ507" i="3"/>
  <c r="BQ505" i="3"/>
  <c r="AZ505" i="3"/>
  <c r="BQ503" i="3"/>
  <c r="BL503" i="3"/>
  <c r="BQ501" i="3"/>
  <c r="BL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c r="E125" i="33"/>
  <c r="F125" i="33" s="1"/>
  <c r="H43" i="33"/>
  <c r="U43" i="33" s="1"/>
  <c r="AB43" i="33"/>
  <c r="H17" i="37"/>
  <c r="U17" i="37"/>
  <c r="U32" i="33"/>
  <c r="AA36" i="39"/>
  <c r="F39" i="33"/>
  <c r="E123" i="33"/>
  <c r="F123" i="33" s="1"/>
  <c r="G123" i="33" s="1"/>
  <c r="H123" i="33" s="1"/>
  <c r="I123" i="33" s="1"/>
  <c r="J123" i="33" s="1"/>
  <c r="K123" i="33" s="1"/>
  <c r="L123" i="33" s="1"/>
  <c r="M123" i="33" s="1"/>
  <c r="F42" i="33"/>
  <c r="AA42" i="33" s="1"/>
  <c r="H28" i="34"/>
  <c r="AB28" i="34" s="1"/>
  <c r="F14" i="36"/>
  <c r="AA14" i="36"/>
  <c r="F22" i="36"/>
  <c r="S22" i="36" s="1"/>
  <c r="F26" i="36"/>
  <c r="S26" i="36"/>
  <c r="H35" i="34"/>
  <c r="U35" i="34" s="1"/>
  <c r="F41" i="34"/>
  <c r="S41" i="34"/>
  <c r="H41" i="34"/>
  <c r="U41" i="34"/>
  <c r="J41" i="34"/>
  <c r="AC41" i="34" s="1"/>
  <c r="F10" i="35"/>
  <c r="S10" i="35" s="1"/>
  <c r="H23" i="37"/>
  <c r="AB23" i="37"/>
  <c r="J32" i="37"/>
  <c r="AC32" i="37"/>
  <c r="F36" i="37"/>
  <c r="AA36" i="37" s="1"/>
  <c r="F37" i="37"/>
  <c r="F31" i="40"/>
  <c r="AA31" i="40"/>
  <c r="H31" i="40"/>
  <c r="U31" i="40" s="1"/>
  <c r="F32" i="40"/>
  <c r="S32" i="40"/>
  <c r="H32" i="40"/>
  <c r="AB32" i="40"/>
  <c r="J36" i="40"/>
  <c r="AC36" i="40" s="1"/>
  <c r="AA41" i="34"/>
  <c r="H19" i="37"/>
  <c r="AB19" i="37" s="1"/>
  <c r="H42" i="33"/>
  <c r="AB42" i="33"/>
  <c r="G125" i="33"/>
  <c r="J43" i="33"/>
  <c r="AC43" i="33"/>
  <c r="S28" i="31"/>
  <c r="S27" i="31"/>
  <c r="S26" i="31"/>
  <c r="AC32" i="36"/>
  <c r="U35" i="35"/>
  <c r="AA12" i="35"/>
  <c r="W23" i="35"/>
  <c r="AB28" i="37"/>
  <c r="U33" i="37"/>
  <c r="W26" i="37"/>
  <c r="AC8" i="37"/>
  <c r="U26" i="37"/>
  <c r="W47" i="34"/>
  <c r="AB13" i="34"/>
  <c r="AB37" i="34"/>
  <c r="AC36" i="34"/>
  <c r="AC31" i="33"/>
  <c r="AC45" i="33"/>
  <c r="U11" i="33"/>
  <c r="U19" i="21"/>
  <c r="U26" i="21"/>
  <c r="AB38" i="21"/>
  <c r="F43" i="33"/>
  <c r="W16" i="35"/>
  <c r="G107" i="37"/>
  <c r="H107" i="37" s="1"/>
  <c r="I107" i="37"/>
  <c r="J107" i="37" s="1"/>
  <c r="K107" i="37" s="1"/>
  <c r="L107" i="37" s="1"/>
  <c r="M107" i="37"/>
  <c r="H37" i="21"/>
  <c r="U37" i="21" s="1"/>
  <c r="S42" i="21"/>
  <c r="H19" i="34"/>
  <c r="AB19" i="34"/>
  <c r="F36" i="35"/>
  <c r="J9" i="37"/>
  <c r="W9" i="37" s="1"/>
  <c r="H9" i="37"/>
  <c r="AB9" i="37"/>
  <c r="F9" i="37"/>
  <c r="S9" i="37" s="1"/>
  <c r="J12" i="37"/>
  <c r="W12" i="37" s="1"/>
  <c r="H12" i="37"/>
  <c r="AB12" i="37"/>
  <c r="F12" i="37"/>
  <c r="E71" i="37"/>
  <c r="F71" i="37" s="1"/>
  <c r="G71" i="37" s="1"/>
  <c r="F15" i="37"/>
  <c r="AA15" i="37" s="1"/>
  <c r="E94" i="37"/>
  <c r="F94" i="37" s="1"/>
  <c r="G94" i="37" s="1"/>
  <c r="F31" i="37"/>
  <c r="F12" i="39"/>
  <c r="S12" i="39" s="1"/>
  <c r="J42" i="39"/>
  <c r="AC42" i="39"/>
  <c r="H21" i="40"/>
  <c r="AC12" i="37"/>
  <c r="H94" i="37"/>
  <c r="I94" i="37" s="1"/>
  <c r="J94" i="37" s="1"/>
  <c r="K94" i="37" s="1"/>
  <c r="L94" i="37" s="1"/>
  <c r="M94" i="37" s="1"/>
  <c r="H31" i="37"/>
  <c r="AB31" i="37" s="1"/>
  <c r="U31" i="37"/>
  <c r="J15" i="37"/>
  <c r="W15" i="37" s="1"/>
  <c r="U12" i="37"/>
  <c r="AT6" i="3"/>
  <c r="C12" i="43"/>
  <c r="H19" i="40"/>
  <c r="U19" i="40"/>
  <c r="F88" i="40"/>
  <c r="G88" i="40" s="1"/>
  <c r="F19" i="40"/>
  <c r="S14" i="40"/>
  <c r="AC13" i="40"/>
  <c r="AB33" i="40"/>
  <c r="W23" i="39"/>
  <c r="AC43" i="39"/>
  <c r="W43" i="39"/>
  <c r="U45" i="39"/>
  <c r="AB45" i="39"/>
  <c r="G101" i="39"/>
  <c r="H37" i="39"/>
  <c r="AB37" i="39" s="1"/>
  <c r="AC37" i="39"/>
  <c r="W37" i="39"/>
  <c r="H25" i="39"/>
  <c r="AB25" i="39"/>
  <c r="J25" i="39"/>
  <c r="F25" i="39"/>
  <c r="AA25" i="39"/>
  <c r="F15" i="39"/>
  <c r="AA15" i="39" s="1"/>
  <c r="H15" i="39"/>
  <c r="J15" i="39"/>
  <c r="W15" i="39"/>
  <c r="H41" i="39"/>
  <c r="U41" i="39" s="1"/>
  <c r="AB34" i="39"/>
  <c r="S42" i="39"/>
  <c r="W14" i="39"/>
  <c r="AA41" i="39"/>
  <c r="W9" i="39"/>
  <c r="W8" i="39"/>
  <c r="J19" i="40"/>
  <c r="AC19" i="40" s="1"/>
  <c r="J50" i="40"/>
  <c r="H103" i="9"/>
  <c r="D8" i="53" s="1"/>
  <c r="B16" i="53"/>
  <c r="B33" i="72" s="1"/>
  <c r="C7" i="37"/>
  <c r="C7" i="34"/>
  <c r="C7" i="36"/>
  <c r="C46" i="36" s="1"/>
  <c r="D46" i="36" s="1"/>
  <c r="E46" i="36" s="1"/>
  <c r="F46" i="36" s="1"/>
  <c r="G46" i="36" s="1"/>
  <c r="H46" i="36" s="1"/>
  <c r="I46" i="36" s="1"/>
  <c r="A118" i="9"/>
  <c r="J11" i="39"/>
  <c r="F11" i="39"/>
  <c r="AA11" i="39"/>
  <c r="S11" i="39"/>
  <c r="G4" i="4"/>
  <c r="I4" i="4"/>
  <c r="F59" i="43"/>
  <c r="H63" i="43" s="1"/>
  <c r="AZ20" i="3"/>
  <c r="AZ28" i="3"/>
  <c r="AZ32" i="3"/>
  <c r="BL549" i="3"/>
  <c r="G546" i="3"/>
  <c r="G303" i="3"/>
  <c r="BL304" i="3"/>
  <c r="G305" i="3"/>
  <c r="BL306" i="3"/>
  <c r="BA308" i="3"/>
  <c r="AZ308" i="3" s="1"/>
  <c r="BA309" i="3"/>
  <c r="BL309" i="3"/>
  <c r="AZ309" i="3" s="1"/>
  <c r="G310" i="3"/>
  <c r="BA311" i="3"/>
  <c r="G319" i="3"/>
  <c r="BL320" i="3"/>
  <c r="G321" i="3"/>
  <c r="BL322" i="3"/>
  <c r="BA324" i="3"/>
  <c r="AZ324" i="3" s="1"/>
  <c r="BA325" i="3"/>
  <c r="BL325" i="3"/>
  <c r="AZ325" i="3" s="1"/>
  <c r="G326" i="3"/>
  <c r="BA327" i="3"/>
  <c r="AZ327" i="3" s="1"/>
  <c r="G335" i="3"/>
  <c r="BL336" i="3"/>
  <c r="G337" i="3"/>
  <c r="BL338" i="3"/>
  <c r="BA340" i="3"/>
  <c r="AZ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AZ394" i="3" s="1"/>
  <c r="G113" i="3"/>
  <c r="BA115" i="3"/>
  <c r="AZ115" i="3"/>
  <c r="BL116" i="3"/>
  <c r="AZ116" i="3" s="1"/>
  <c r="G117" i="3"/>
  <c r="BA119" i="3"/>
  <c r="AZ119" i="3" s="1"/>
  <c r="BL120" i="3"/>
  <c r="G121" i="3"/>
  <c r="BA123" i="3"/>
  <c r="BL124" i="3"/>
  <c r="AZ124" i="3" s="1"/>
  <c r="G125" i="3"/>
  <c r="BA127" i="3"/>
  <c r="AZ127" i="3" s="1"/>
  <c r="BL128" i="3"/>
  <c r="AZ128" i="3" s="1"/>
  <c r="G129" i="3"/>
  <c r="BA131" i="3"/>
  <c r="AZ131" i="3"/>
  <c r="BL132" i="3"/>
  <c r="AZ132" i="3" s="1"/>
  <c r="G133" i="3"/>
  <c r="BA135" i="3"/>
  <c r="AZ135" i="3" s="1"/>
  <c r="BL136" i="3"/>
  <c r="AZ136" i="3" s="1"/>
  <c r="G137" i="3"/>
  <c r="BA139" i="3"/>
  <c r="BL140" i="3"/>
  <c r="AZ140" i="3" s="1"/>
  <c r="G141" i="3"/>
  <c r="BA143" i="3"/>
  <c r="BL144" i="3"/>
  <c r="G145" i="3"/>
  <c r="BA147" i="3"/>
  <c r="AZ147" i="3"/>
  <c r="BL148" i="3"/>
  <c r="AZ148" i="3" s="1"/>
  <c r="G149" i="3"/>
  <c r="BA151" i="3"/>
  <c r="AZ151" i="3" s="1"/>
  <c r="BL152" i="3"/>
  <c r="AZ152" i="3" s="1"/>
  <c r="G153" i="3"/>
  <c r="BA155" i="3"/>
  <c r="BL156" i="3"/>
  <c r="G157" i="3"/>
  <c r="BA159" i="3"/>
  <c r="AZ159" i="3" s="1"/>
  <c r="BL160" i="3"/>
  <c r="G161" i="3"/>
  <c r="BA163" i="3"/>
  <c r="AZ163" i="3"/>
  <c r="BL164" i="3"/>
  <c r="AZ164" i="3" s="1"/>
  <c r="G165" i="3"/>
  <c r="BA167" i="3"/>
  <c r="AZ167" i="3" s="1"/>
  <c r="BL168" i="3"/>
  <c r="G169" i="3"/>
  <c r="BA171" i="3"/>
  <c r="AZ171" i="3"/>
  <c r="BL172" i="3"/>
  <c r="AZ172" i="3" s="1"/>
  <c r="G173" i="3"/>
  <c r="BA175" i="3"/>
  <c r="AZ175" i="3" s="1"/>
  <c r="BL176" i="3"/>
  <c r="AZ176" i="3" s="1"/>
  <c r="G177" i="3"/>
  <c r="BA179" i="3"/>
  <c r="AZ179" i="3"/>
  <c r="BL180" i="3"/>
  <c r="AZ180" i="3" s="1"/>
  <c r="G181" i="3"/>
  <c r="BA183" i="3"/>
  <c r="BL184" i="3"/>
  <c r="G185" i="3"/>
  <c r="BA187" i="3"/>
  <c r="AZ187" i="3"/>
  <c r="BL188" i="3"/>
  <c r="AZ188" i="3" s="1"/>
  <c r="G189" i="3"/>
  <c r="BA191" i="3"/>
  <c r="BL192" i="3"/>
  <c r="AZ192" i="3" s="1"/>
  <c r="G193" i="3"/>
  <c r="BA195" i="3"/>
  <c r="AZ195" i="3"/>
  <c r="BL196" i="3"/>
  <c r="AZ196" i="3" s="1"/>
  <c r="G197" i="3"/>
  <c r="BA199" i="3"/>
  <c r="BL200" i="3"/>
  <c r="AZ200" i="3" s="1"/>
  <c r="G201" i="3"/>
  <c r="BA203" i="3"/>
  <c r="AZ203" i="3"/>
  <c r="BL204" i="3"/>
  <c r="AZ204" i="3" s="1"/>
  <c r="AZ39" i="3"/>
  <c r="AZ47" i="3"/>
  <c r="AZ51" i="3"/>
  <c r="AZ55" i="3"/>
  <c r="AZ59" i="3"/>
  <c r="AZ67" i="3"/>
  <c r="AZ79" i="3"/>
  <c r="AZ144" i="3"/>
  <c r="AZ160" i="3"/>
  <c r="AZ184" i="3"/>
  <c r="AZ85" i="3"/>
  <c r="AZ89" i="3"/>
  <c r="AZ93" i="3"/>
  <c r="AZ97" i="3"/>
  <c r="AZ105" i="3"/>
  <c r="G534" i="3"/>
  <c r="G530" i="3"/>
  <c r="G522" i="3"/>
  <c r="G516" i="3"/>
  <c r="G512" i="3"/>
  <c r="G498" i="3"/>
  <c r="G494" i="3"/>
  <c r="G16" i="3"/>
  <c r="G15" i="3"/>
  <c r="BA304" i="3"/>
  <c r="AZ304" i="3" s="1"/>
  <c r="BA305" i="3"/>
  <c r="AZ305" i="3"/>
  <c r="BL305" i="3"/>
  <c r="G306" i="3"/>
  <c r="G309" i="3"/>
  <c r="BL310" i="3"/>
  <c r="BA312" i="3"/>
  <c r="AZ312" i="3"/>
  <c r="BA313" i="3"/>
  <c r="BL313" i="3"/>
  <c r="AZ313" i="3" s="1"/>
  <c r="G314" i="3"/>
  <c r="G317" i="3"/>
  <c r="BL318" i="3"/>
  <c r="BA320" i="3"/>
  <c r="AZ320" i="3"/>
  <c r="BA321" i="3"/>
  <c r="AZ321" i="3" s="1"/>
  <c r="BL321" i="3"/>
  <c r="G322" i="3"/>
  <c r="G325" i="3"/>
  <c r="BL326" i="3"/>
  <c r="AZ326" i="3" s="1"/>
  <c r="BA328" i="3"/>
  <c r="AZ328" i="3" s="1"/>
  <c r="BA329" i="3"/>
  <c r="AZ329" i="3" s="1"/>
  <c r="BL329" i="3"/>
  <c r="G330" i="3"/>
  <c r="G333" i="3"/>
  <c r="BL334" i="3"/>
  <c r="BA336" i="3"/>
  <c r="AZ336" i="3"/>
  <c r="BA337" i="3"/>
  <c r="AZ337" i="3"/>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BA371" i="3"/>
  <c r="AZ371" i="3"/>
  <c r="BA372" i="3"/>
  <c r="BL372" i="3"/>
  <c r="G373" i="3"/>
  <c r="G376" i="3"/>
  <c r="BL377" i="3"/>
  <c r="BL379" i="3"/>
  <c r="BA381" i="3"/>
  <c r="BA382" i="3"/>
  <c r="BL382" i="3"/>
  <c r="G383" i="3"/>
  <c r="G386" i="3"/>
  <c r="BL387" i="3"/>
  <c r="BA389" i="3"/>
  <c r="AZ389" i="3" s="1"/>
  <c r="BA390" i="3"/>
  <c r="BL390" i="3"/>
  <c r="AZ390" i="3" s="1"/>
  <c r="G391" i="3"/>
  <c r="G394" i="3"/>
  <c r="AZ154" i="3"/>
  <c r="AZ158" i="3"/>
  <c r="AZ162" i="3"/>
  <c r="AZ166" i="3"/>
  <c r="AZ170" i="3"/>
  <c r="AZ202" i="3"/>
  <c r="AZ206" i="3"/>
  <c r="AZ500" i="3"/>
  <c r="BA16" i="3"/>
  <c r="AZ16" i="3" s="1"/>
  <c r="BL303" i="3"/>
  <c r="AZ303" i="3" s="1"/>
  <c r="G304" i="3"/>
  <c r="BA306" i="3"/>
  <c r="AZ306" i="3"/>
  <c r="BL307" i="3"/>
  <c r="AZ307" i="3" s="1"/>
  <c r="G308" i="3"/>
  <c r="BA310" i="3"/>
  <c r="AZ310" i="3" s="1"/>
  <c r="BL311" i="3"/>
  <c r="AZ311" i="3"/>
  <c r="G312" i="3"/>
  <c r="BA314" i="3"/>
  <c r="AZ314" i="3" s="1"/>
  <c r="BL315" i="3"/>
  <c r="G316" i="3"/>
  <c r="BA318" i="3"/>
  <c r="AZ318" i="3"/>
  <c r="BL319" i="3"/>
  <c r="G320" i="3"/>
  <c r="BA322" i="3"/>
  <c r="AZ322" i="3" s="1"/>
  <c r="BL323" i="3"/>
  <c r="AZ323" i="3"/>
  <c r="G324" i="3"/>
  <c r="BA326" i="3"/>
  <c r="BL327" i="3"/>
  <c r="G328" i="3"/>
  <c r="BA330" i="3"/>
  <c r="AZ330" i="3" s="1"/>
  <c r="BL331" i="3"/>
  <c r="G332" i="3"/>
  <c r="BA334" i="3"/>
  <c r="AZ334" i="3" s="1"/>
  <c r="BL335" i="3"/>
  <c r="G336" i="3"/>
  <c r="BA338" i="3"/>
  <c r="AZ338" i="3" s="1"/>
  <c r="BL339" i="3"/>
  <c r="AZ339" i="3" s="1"/>
  <c r="G340" i="3"/>
  <c r="BL343" i="3"/>
  <c r="G344" i="3"/>
  <c r="G348" i="3"/>
  <c r="G355" i="3"/>
  <c r="AZ209" i="3"/>
  <c r="AZ214" i="3"/>
  <c r="AZ218" i="3"/>
  <c r="AZ319" i="3"/>
  <c r="AZ335" i="3"/>
  <c r="G342" i="3"/>
  <c r="BL345" i="3"/>
  <c r="G346" i="3"/>
  <c r="AZ348" i="3"/>
  <c r="BL349" i="3"/>
  <c r="AZ349" i="3" s="1"/>
  <c r="BL352" i="3"/>
  <c r="G353" i="3"/>
  <c r="BA357" i="3"/>
  <c r="AZ357" i="3"/>
  <c r="BL358" i="3"/>
  <c r="G359" i="3"/>
  <c r="BA361" i="3"/>
  <c r="BL362" i="3"/>
  <c r="G363" i="3"/>
  <c r="BA365" i="3"/>
  <c r="AZ365" i="3"/>
  <c r="BL366" i="3"/>
  <c r="AZ366" i="3" s="1"/>
  <c r="G367" i="3"/>
  <c r="BA369" i="3"/>
  <c r="AZ369" i="3" s="1"/>
  <c r="BL370" i="3"/>
  <c r="G371" i="3"/>
  <c r="BA373" i="3"/>
  <c r="AZ373" i="3"/>
  <c r="BL374" i="3"/>
  <c r="AZ374" i="3" s="1"/>
  <c r="G375" i="3"/>
  <c r="BA377" i="3"/>
  <c r="AZ377" i="3" s="1"/>
  <c r="AZ233" i="3"/>
  <c r="AZ241" i="3"/>
  <c r="AZ249" i="3"/>
  <c r="AZ257" i="3"/>
  <c r="AZ261" i="3"/>
  <c r="AZ265" i="3"/>
  <c r="AZ273" i="3"/>
  <c r="BA379" i="3"/>
  <c r="AZ379" i="3" s="1"/>
  <c r="BL380" i="3"/>
  <c r="G381" i="3"/>
  <c r="BA383" i="3"/>
  <c r="AZ383" i="3"/>
  <c r="BL384" i="3"/>
  <c r="G385" i="3"/>
  <c r="BA387" i="3"/>
  <c r="AZ387" i="3"/>
  <c r="BL388" i="3"/>
  <c r="G389" i="3"/>
  <c r="BA391" i="3"/>
  <c r="AZ391" i="3" s="1"/>
  <c r="BL392" i="3"/>
  <c r="AZ392" i="3" s="1"/>
  <c r="G393" i="3"/>
  <c r="AZ291" i="3"/>
  <c r="AZ299" i="3"/>
  <c r="BJ5" i="3"/>
  <c r="BF5" i="3"/>
  <c r="AZ341" i="3"/>
  <c r="AZ549" i="3"/>
  <c r="G548" i="3"/>
  <c r="G538" i="3"/>
  <c r="G520" i="3"/>
  <c r="G502" i="3"/>
  <c r="BI5" i="3"/>
  <c r="G17" i="3"/>
  <c r="BA17" i="3"/>
  <c r="BT5" i="3"/>
  <c r="AZ368" i="3"/>
  <c r="BA15" i="3"/>
  <c r="AZ15" i="3" s="1"/>
  <c r="AZ380" i="3"/>
  <c r="AZ384" i="3"/>
  <c r="G509" i="3"/>
  <c r="AZ491" i="3"/>
  <c r="AZ382" i="3"/>
  <c r="U36" i="40"/>
  <c r="F36" i="43"/>
  <c r="F81" i="43"/>
  <c r="H113" i="43"/>
  <c r="F48" i="43"/>
  <c r="H52" i="43" s="1"/>
  <c r="F70" i="43"/>
  <c r="H73" i="43"/>
  <c r="M11" i="43"/>
  <c r="D17" i="43"/>
  <c r="F39" i="43"/>
  <c r="I17" i="43"/>
  <c r="F35" i="43"/>
  <c r="J17" i="43"/>
  <c r="F6" i="1"/>
  <c r="G6" i="1" s="1"/>
  <c r="U17" i="39"/>
  <c r="S14" i="35"/>
  <c r="AC35" i="21"/>
  <c r="U10" i="21"/>
  <c r="G10" i="1"/>
  <c r="AZ501" i="3"/>
  <c r="AC44" i="34"/>
  <c r="S15" i="37"/>
  <c r="U12" i="40"/>
  <c r="AA12" i="40"/>
  <c r="J37" i="33"/>
  <c r="W37" i="33"/>
  <c r="AC17" i="34"/>
  <c r="G106" i="33"/>
  <c r="H106" i="33"/>
  <c r="I106" i="33" s="1"/>
  <c r="J106" i="33" s="1"/>
  <c r="K106" i="33" s="1"/>
  <c r="L106" i="33" s="1"/>
  <c r="M106" i="33" s="1"/>
  <c r="J34" i="33"/>
  <c r="W34" i="33" s="1"/>
  <c r="F33" i="34"/>
  <c r="S33" i="34"/>
  <c r="W12" i="36"/>
  <c r="AC12" i="36"/>
  <c r="H20" i="36"/>
  <c r="U20" i="36" s="1"/>
  <c r="J20" i="36"/>
  <c r="W24" i="36"/>
  <c r="J27" i="36"/>
  <c r="W27" i="36"/>
  <c r="AC33" i="40"/>
  <c r="F111" i="40"/>
  <c r="G111" i="40" s="1"/>
  <c r="H111" i="40" s="1"/>
  <c r="I111" i="40" s="1"/>
  <c r="J111" i="40" s="1"/>
  <c r="K111" i="40" s="1"/>
  <c r="L111" i="40"/>
  <c r="M111" i="40" s="1"/>
  <c r="H35" i="40"/>
  <c r="AB35" i="40"/>
  <c r="AC29" i="35"/>
  <c r="W29" i="35"/>
  <c r="H35" i="37"/>
  <c r="AC14" i="35"/>
  <c r="H20" i="35"/>
  <c r="U20" i="35" s="1"/>
  <c r="F20" i="35"/>
  <c r="AB23" i="35"/>
  <c r="AB29" i="36"/>
  <c r="U29" i="36"/>
  <c r="H32" i="37"/>
  <c r="AB32" i="37"/>
  <c r="F96" i="37"/>
  <c r="H27" i="40"/>
  <c r="U27" i="40"/>
  <c r="J27" i="40"/>
  <c r="F27" i="40"/>
  <c r="S27" i="40"/>
  <c r="J30" i="40"/>
  <c r="AC30" i="40"/>
  <c r="F30" i="40"/>
  <c r="AA30" i="40" s="1"/>
  <c r="AC21" i="40"/>
  <c r="S31" i="39"/>
  <c r="E98" i="40"/>
  <c r="F98" i="40" s="1"/>
  <c r="G98" i="40" s="1"/>
  <c r="H98" i="40" s="1"/>
  <c r="I98" i="40" s="1"/>
  <c r="J98" i="40" s="1"/>
  <c r="K98" i="40"/>
  <c r="L98" i="40" s="1"/>
  <c r="M98" i="40" s="1"/>
  <c r="F10" i="33"/>
  <c r="F34" i="33"/>
  <c r="S34" i="33"/>
  <c r="H34" i="33"/>
  <c r="U34" i="33" s="1"/>
  <c r="F35" i="33"/>
  <c r="S35" i="33"/>
  <c r="F39" i="34"/>
  <c r="S39" i="34"/>
  <c r="J39" i="34"/>
  <c r="W39" i="34" s="1"/>
  <c r="F40" i="34"/>
  <c r="S40" i="34" s="1"/>
  <c r="F43" i="34"/>
  <c r="AA43" i="34"/>
  <c r="H44" i="34"/>
  <c r="AB44" i="34" s="1"/>
  <c r="AC38" i="39"/>
  <c r="F39" i="39"/>
  <c r="S39" i="39" s="1"/>
  <c r="J39" i="39"/>
  <c r="AC39" i="39"/>
  <c r="E97" i="39"/>
  <c r="F97" i="39"/>
  <c r="G97" i="39" s="1"/>
  <c r="AZ223" i="3"/>
  <c r="AZ227" i="3"/>
  <c r="AZ235" i="3"/>
  <c r="AZ240" i="3"/>
  <c r="AZ243" i="3"/>
  <c r="AZ248" i="3"/>
  <c r="AZ251" i="3"/>
  <c r="AZ256" i="3"/>
  <c r="AZ268" i="3"/>
  <c r="AZ271" i="3"/>
  <c r="AZ280" i="3"/>
  <c r="AZ288" i="3"/>
  <c r="AZ114" i="3"/>
  <c r="AZ117" i="3"/>
  <c r="AZ133" i="3"/>
  <c r="AZ37" i="3"/>
  <c r="AZ42" i="3"/>
  <c r="AZ45" i="3"/>
  <c r="AZ61" i="3"/>
  <c r="AZ66" i="3"/>
  <c r="AZ69" i="3"/>
  <c r="AZ72" i="3"/>
  <c r="AZ74" i="3"/>
  <c r="AZ77" i="3"/>
  <c r="AZ110" i="3"/>
  <c r="H50" i="43"/>
  <c r="I20" i="43"/>
  <c r="F23" i="39"/>
  <c r="AA23" i="39"/>
  <c r="H27" i="36"/>
  <c r="F27" i="36"/>
  <c r="S27" i="36" s="1"/>
  <c r="AA27" i="36"/>
  <c r="H33" i="34"/>
  <c r="U33" i="34"/>
  <c r="F32" i="37"/>
  <c r="AA32" i="37" s="1"/>
  <c r="G96" i="37"/>
  <c r="H96" i="37" s="1"/>
  <c r="I96" i="37" s="1"/>
  <c r="J96" i="37" s="1"/>
  <c r="K96" i="37" s="1"/>
  <c r="L96" i="37" s="1"/>
  <c r="M96" i="37"/>
  <c r="F20" i="36"/>
  <c r="AA20" i="36" s="1"/>
  <c r="J33" i="34"/>
  <c r="H23" i="39"/>
  <c r="U23" i="39"/>
  <c r="K9" i="1"/>
  <c r="M9" i="1" s="1"/>
  <c r="O9" i="1" s="1"/>
  <c r="AE9" i="1"/>
  <c r="D93" i="9"/>
  <c r="K6" i="1"/>
  <c r="M6" i="1" s="1"/>
  <c r="O6" i="1" s="1"/>
  <c r="AB34" i="36"/>
  <c r="U34" i="36"/>
  <c r="AC12" i="39"/>
  <c r="W12" i="39"/>
  <c r="AZ401" i="3"/>
  <c r="AZ412" i="3"/>
  <c r="AZ417" i="3"/>
  <c r="AZ428" i="3"/>
  <c r="AZ433" i="3"/>
  <c r="AZ465" i="3"/>
  <c r="W12" i="33"/>
  <c r="AC12" i="33"/>
  <c r="AA32" i="36"/>
  <c r="S32" i="36"/>
  <c r="AZ408" i="3"/>
  <c r="AZ437" i="3"/>
  <c r="AZ441" i="3"/>
  <c r="AZ457" i="3"/>
  <c r="AZ473" i="3"/>
  <c r="AZ490" i="3"/>
  <c r="AA39" i="34"/>
  <c r="BL14" i="3"/>
  <c r="AZ266" i="3"/>
  <c r="U30" i="33"/>
  <c r="AC13" i="34"/>
  <c r="S19" i="39"/>
  <c r="F12" i="33"/>
  <c r="H12" i="39"/>
  <c r="BA14" i="3"/>
  <c r="AZ14" i="3" s="1"/>
  <c r="AZ213" i="3"/>
  <c r="AZ234" i="3"/>
  <c r="AZ238" i="3"/>
  <c r="AZ254" i="3"/>
  <c r="AZ297" i="3"/>
  <c r="AZ149" i="3"/>
  <c r="AZ157" i="3"/>
  <c r="AZ165" i="3"/>
  <c r="AZ181" i="3"/>
  <c r="AZ197" i="3"/>
  <c r="AZ35" i="3"/>
  <c r="AZ41" i="3"/>
  <c r="S12" i="1"/>
  <c r="AQ12" i="1" s="1"/>
  <c r="R12" i="1"/>
  <c r="B12" i="1"/>
  <c r="E12" i="1" s="1"/>
  <c r="S10" i="1"/>
  <c r="AQ10" i="1" s="1"/>
  <c r="R10" i="1"/>
  <c r="B10" i="1"/>
  <c r="E10" i="1"/>
  <c r="AZ80" i="3"/>
  <c r="AZ84" i="3"/>
  <c r="K12" i="1"/>
  <c r="M12" i="1" s="1"/>
  <c r="S13" i="1"/>
  <c r="T13" i="1" s="1"/>
  <c r="R13" i="1"/>
  <c r="S11" i="1"/>
  <c r="AQ11" i="1" s="1"/>
  <c r="R11" i="1"/>
  <c r="S9" i="1"/>
  <c r="R9" i="1"/>
  <c r="J51" i="67"/>
  <c r="C42" i="1"/>
  <c r="H100" i="43"/>
  <c r="C30" i="66"/>
  <c r="E26" i="66" s="1"/>
  <c r="AA34" i="33"/>
  <c r="B41" i="1"/>
  <c r="F28" i="67" s="1"/>
  <c r="C28" i="67" s="1"/>
  <c r="J100" i="43"/>
  <c r="S35" i="40"/>
  <c r="U35" i="40"/>
  <c r="AA32" i="40"/>
  <c r="S17" i="40"/>
  <c r="S23" i="40"/>
  <c r="AC17" i="40"/>
  <c r="AC15" i="40"/>
  <c r="AB27" i="40"/>
  <c r="S30" i="40"/>
  <c r="S28" i="40"/>
  <c r="AA27" i="40"/>
  <c r="AB19" i="40"/>
  <c r="W42" i="39"/>
  <c r="U37" i="39"/>
  <c r="W39" i="39"/>
  <c r="S43" i="39"/>
  <c r="U35" i="39"/>
  <c r="F32" i="39"/>
  <c r="F107" i="39"/>
  <c r="G107" i="39"/>
  <c r="U25" i="39"/>
  <c r="AB27" i="39"/>
  <c r="U31" i="39"/>
  <c r="S25" i="39"/>
  <c r="J21" i="39"/>
  <c r="F21" i="39"/>
  <c r="G95" i="39"/>
  <c r="H21" i="39"/>
  <c r="W19" i="39"/>
  <c r="U19" i="39"/>
  <c r="S17" i="39"/>
  <c r="AC15" i="39"/>
  <c r="S15" i="39"/>
  <c r="AA12" i="39"/>
  <c r="S9" i="39"/>
  <c r="AC13" i="39"/>
  <c r="U13" i="36"/>
  <c r="AC27" i="36"/>
  <c r="U26" i="36"/>
  <c r="AA26" i="36"/>
  <c r="AA34" i="36"/>
  <c r="S29" i="36"/>
  <c r="AC26" i="36"/>
  <c r="AA22" i="36"/>
  <c r="W14" i="36"/>
  <c r="AB14" i="36"/>
  <c r="U22" i="36"/>
  <c r="U23" i="36"/>
  <c r="AB20" i="36"/>
  <c r="U16" i="36"/>
  <c r="S14" i="36"/>
  <c r="U10" i="36"/>
  <c r="AA25" i="35"/>
  <c r="S23" i="35"/>
  <c r="U29" i="35"/>
  <c r="U28" i="35"/>
  <c r="AB27" i="35"/>
  <c r="U36" i="35"/>
  <c r="U32" i="35"/>
  <c r="AC30" i="35"/>
  <c r="W32" i="35"/>
  <c r="S28" i="35"/>
  <c r="AB16" i="35"/>
  <c r="U22" i="35"/>
  <c r="AC20" i="35"/>
  <c r="S22" i="35"/>
  <c r="U14" i="35"/>
  <c r="AC10" i="35"/>
  <c r="AA10" i="35"/>
  <c r="AB10" i="35"/>
  <c r="AA11" i="35"/>
  <c r="S8" i="35"/>
  <c r="AC9" i="35"/>
  <c r="W9" i="35"/>
  <c r="AC12" i="35"/>
  <c r="F9" i="35"/>
  <c r="H9" i="35"/>
  <c r="AB40" i="37"/>
  <c r="S26" i="37"/>
  <c r="AC9" i="37"/>
  <c r="U29" i="37"/>
  <c r="S32" i="37"/>
  <c r="W30" i="37"/>
  <c r="S36" i="37"/>
  <c r="U32" i="37"/>
  <c r="W38" i="37"/>
  <c r="AC35" i="37"/>
  <c r="W39" i="37"/>
  <c r="S30" i="37"/>
  <c r="AC15" i="37"/>
  <c r="J17" i="37"/>
  <c r="W17" i="37" s="1"/>
  <c r="G73" i="37"/>
  <c r="F17" i="37"/>
  <c r="AA17" i="37" s="1"/>
  <c r="AB17" i="37"/>
  <c r="F75" i="37"/>
  <c r="F19" i="37"/>
  <c r="F79" i="37"/>
  <c r="G79" i="37" s="1"/>
  <c r="F23" i="37"/>
  <c r="S23" i="37" s="1"/>
  <c r="U23" i="37"/>
  <c r="AC13" i="37"/>
  <c r="U9" i="37"/>
  <c r="AA13" i="37"/>
  <c r="H10" i="37"/>
  <c r="U10" i="37" s="1"/>
  <c r="F63" i="37"/>
  <c r="F11" i="37"/>
  <c r="S11" i="37" s="1"/>
  <c r="S27" i="34"/>
  <c r="W25" i="34"/>
  <c r="AA33" i="34"/>
  <c r="AC39" i="34"/>
  <c r="W41" i="34"/>
  <c r="AC42" i="34"/>
  <c r="AB35" i="34"/>
  <c r="U39" i="34"/>
  <c r="S43" i="34"/>
  <c r="AB41" i="34"/>
  <c r="AA45" i="34"/>
  <c r="W34" i="34"/>
  <c r="AA25" i="34"/>
  <c r="U28" i="34"/>
  <c r="S17" i="34"/>
  <c r="AA29" i="34"/>
  <c r="U15" i="34"/>
  <c r="S10" i="34"/>
  <c r="H67" i="34"/>
  <c r="I67" i="34" s="1"/>
  <c r="H10" i="34"/>
  <c r="F11" i="34"/>
  <c r="S11" i="34"/>
  <c r="W42" i="33"/>
  <c r="AA35" i="33"/>
  <c r="S27" i="33"/>
  <c r="S32" i="33"/>
  <c r="AA29" i="33"/>
  <c r="AB29" i="33"/>
  <c r="H41" i="33"/>
  <c r="F121" i="33"/>
  <c r="G121" i="33" s="1"/>
  <c r="H121" i="33" s="1"/>
  <c r="I121" i="33" s="1"/>
  <c r="J121" i="33" s="1"/>
  <c r="K121" i="33" s="1"/>
  <c r="L121" i="33" s="1"/>
  <c r="M121" i="33" s="1"/>
  <c r="U42" i="33"/>
  <c r="S42" i="33"/>
  <c r="F36" i="33"/>
  <c r="G111" i="33"/>
  <c r="G108" i="33"/>
  <c r="H108" i="33" s="1"/>
  <c r="I108" i="33"/>
  <c r="J108" i="33" s="1"/>
  <c r="K108" i="33" s="1"/>
  <c r="L108" i="33"/>
  <c r="M108" i="33" s="1"/>
  <c r="J35" i="33"/>
  <c r="S37" i="33"/>
  <c r="AA37" i="33"/>
  <c r="F101" i="33"/>
  <c r="G101" i="33"/>
  <c r="H101" i="33" s="1"/>
  <c r="I101" i="33" s="1"/>
  <c r="J101" i="33" s="1"/>
  <c r="K101" i="33" s="1"/>
  <c r="L101" i="33"/>
  <c r="M101" i="33" s="1"/>
  <c r="J32" i="33"/>
  <c r="W43" i="33"/>
  <c r="H27" i="33"/>
  <c r="F87" i="33"/>
  <c r="H25" i="33"/>
  <c r="F25" i="33"/>
  <c r="J23" i="33"/>
  <c r="F85" i="33"/>
  <c r="H23" i="33"/>
  <c r="U23" i="33" s="1"/>
  <c r="F19" i="33"/>
  <c r="S19" i="33" s="1"/>
  <c r="J17" i="33"/>
  <c r="F79" i="33"/>
  <c r="S15" i="33"/>
  <c r="W15" i="33"/>
  <c r="U9" i="33"/>
  <c r="J10" i="33"/>
  <c r="H10" i="33"/>
  <c r="AB10" i="33" s="1"/>
  <c r="AC11" i="33"/>
  <c r="AB14" i="33"/>
  <c r="W43" i="21"/>
  <c r="W41" i="21"/>
  <c r="AB39" i="21"/>
  <c r="AA43" i="21"/>
  <c r="S39" i="21"/>
  <c r="AA36" i="21"/>
  <c r="AC40" i="21"/>
  <c r="J15" i="21"/>
  <c r="W15" i="21" s="1"/>
  <c r="F77" i="21"/>
  <c r="G77" i="21" s="1"/>
  <c r="F23" i="21"/>
  <c r="S23" i="21"/>
  <c r="E85" i="21"/>
  <c r="AC11" i="21"/>
  <c r="AA14" i="21"/>
  <c r="M3" i="43"/>
  <c r="M1" i="43"/>
  <c r="N8" i="43"/>
  <c r="D120" i="9"/>
  <c r="D121" i="9" s="1"/>
  <c r="D7" i="52" s="1"/>
  <c r="C18" i="9"/>
  <c r="D18" i="9" s="1"/>
  <c r="F34" i="67"/>
  <c r="F62" i="67" s="1"/>
  <c r="M20" i="67"/>
  <c r="F34" i="15"/>
  <c r="F62" i="15" s="1"/>
  <c r="G13" i="3"/>
  <c r="BL17" i="3"/>
  <c r="AZ17" i="3"/>
  <c r="BL13" i="3"/>
  <c r="J56" i="9"/>
  <c r="J57" i="9" s="1"/>
  <c r="J59" i="9" s="1"/>
  <c r="J61" i="9" s="1"/>
  <c r="A24" i="51"/>
  <c r="B18" i="72" s="1"/>
  <c r="U29" i="34"/>
  <c r="E32" i="6"/>
  <c r="L19" i="6"/>
  <c r="G1" i="68"/>
  <c r="K1" i="12"/>
  <c r="AR10" i="1"/>
  <c r="E19" i="69"/>
  <c r="E19" i="68"/>
  <c r="E19" i="11"/>
  <c r="E1" i="73"/>
  <c r="G22" i="69"/>
  <c r="G22" i="68"/>
  <c r="G26" i="12"/>
  <c r="G22" i="11"/>
  <c r="C100" i="43"/>
  <c r="E11" i="43"/>
  <c r="E10" i="43"/>
  <c r="E9" i="43"/>
  <c r="E8" i="43"/>
  <c r="C7" i="43" s="1"/>
  <c r="E81" i="43"/>
  <c r="B79" i="43" s="1"/>
  <c r="E48" i="43"/>
  <c r="B46" i="43"/>
  <c r="E70" i="43"/>
  <c r="B68" i="43" s="1"/>
  <c r="F100" i="43"/>
  <c r="H17" i="43"/>
  <c r="H53" i="43"/>
  <c r="H78" i="43"/>
  <c r="C17" i="43"/>
  <c r="F33" i="43"/>
  <c r="K17" i="43"/>
  <c r="F34" i="43"/>
  <c r="N6" i="43"/>
  <c r="C6" i="43"/>
  <c r="N3" i="43"/>
  <c r="F38" i="43"/>
  <c r="F37" i="43"/>
  <c r="M9" i="43"/>
  <c r="N5" i="43"/>
  <c r="M12" i="43"/>
  <c r="C7" i="39"/>
  <c r="C68" i="39" s="1"/>
  <c r="C7" i="35"/>
  <c r="C7" i="33"/>
  <c r="C58" i="33" s="1"/>
  <c r="C7" i="21"/>
  <c r="C58" i="21" s="1"/>
  <c r="C7" i="40"/>
  <c r="C63" i="40" s="1"/>
  <c r="M47" i="9"/>
  <c r="G19" i="43"/>
  <c r="O19" i="43" s="1"/>
  <c r="C19" i="43" s="1"/>
  <c r="T35" i="4"/>
  <c r="A19" i="51" s="1"/>
  <c r="B14" i="72" s="1"/>
  <c r="C59" i="34"/>
  <c r="D59" i="34" s="1"/>
  <c r="E59" i="34" s="1"/>
  <c r="F59" i="34" s="1"/>
  <c r="G59" i="34" s="1"/>
  <c r="H59" i="34" s="1"/>
  <c r="I59" i="34" s="1"/>
  <c r="J59" i="34" s="1"/>
  <c r="C52" i="37"/>
  <c r="D52" i="37" s="1"/>
  <c r="A4" i="51"/>
  <c r="B6" i="72" s="1"/>
  <c r="C48" i="35"/>
  <c r="D48" i="35" s="1"/>
  <c r="C4" i="12"/>
  <c r="H66" i="43"/>
  <c r="H65" i="43"/>
  <c r="H64" i="43"/>
  <c r="H55" i="43"/>
  <c r="H56" i="43"/>
  <c r="H72" i="43"/>
  <c r="L20" i="6"/>
  <c r="B6" i="1"/>
  <c r="E6" i="1" s="1"/>
  <c r="S8" i="1"/>
  <c r="AR8" i="1" s="1"/>
  <c r="K11" i="1"/>
  <c r="M11" i="1" s="1"/>
  <c r="O11" i="1" s="1"/>
  <c r="P11" i="1" s="1"/>
  <c r="AP6" i="1"/>
  <c r="B9" i="1"/>
  <c r="E9" i="1"/>
  <c r="K7" i="1"/>
  <c r="M7" i="1" s="1"/>
  <c r="O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U42" i="39"/>
  <c r="AB23" i="39"/>
  <c r="AB41" i="39"/>
  <c r="W25" i="39"/>
  <c r="AC25" i="39"/>
  <c r="U13" i="39"/>
  <c r="AB13" i="39"/>
  <c r="S14" i="39"/>
  <c r="AA14" i="39"/>
  <c r="U43" i="39"/>
  <c r="AB43" i="39"/>
  <c r="AB11" i="39"/>
  <c r="U11" i="39"/>
  <c r="AA27" i="39"/>
  <c r="S27" i="39"/>
  <c r="W17" i="39"/>
  <c r="AC17" i="39"/>
  <c r="W31" i="39"/>
  <c r="AC31" i="39"/>
  <c r="S23" i="39"/>
  <c r="AB39" i="39"/>
  <c r="W34" i="39"/>
  <c r="S8" i="39"/>
  <c r="S20" i="36"/>
  <c r="AC25" i="36"/>
  <c r="S28" i="36"/>
  <c r="U32" i="36"/>
  <c r="U25" i="36"/>
  <c r="AB28" i="36"/>
  <c r="AA13" i="36"/>
  <c r="W9" i="36"/>
  <c r="W22" i="36"/>
  <c r="S9" i="36"/>
  <c r="AB20" i="35"/>
  <c r="AC25" i="35"/>
  <c r="U25" i="35"/>
  <c r="W33" i="35"/>
  <c r="AA30" i="35"/>
  <c r="S35" i="35"/>
  <c r="W35" i="35"/>
  <c r="AA16" i="35"/>
  <c r="AA35" i="37"/>
  <c r="W36" i="37"/>
  <c r="S27" i="37"/>
  <c r="S28" i="37"/>
  <c r="W32" i="37"/>
  <c r="S40" i="37"/>
  <c r="AB37" i="37"/>
  <c r="S33" i="37"/>
  <c r="AC34" i="37"/>
  <c r="AA11" i="37"/>
  <c r="U19" i="37"/>
  <c r="AA8" i="37"/>
  <c r="U8" i="37"/>
  <c r="AA40" i="34"/>
  <c r="AB40" i="34"/>
  <c r="U19" i="34"/>
  <c r="W19" i="34"/>
  <c r="AB33" i="34"/>
  <c r="AA30" i="34"/>
  <c r="AB45" i="34"/>
  <c r="AB47" i="34"/>
  <c r="U25" i="34"/>
  <c r="AB36" i="34"/>
  <c r="AC14" i="34"/>
  <c r="AC32" i="34"/>
  <c r="AC29" i="34"/>
  <c r="W29" i="34"/>
  <c r="W46" i="34"/>
  <c r="AC46" i="34"/>
  <c r="S32" i="34"/>
  <c r="AA32" i="34"/>
  <c r="U30" i="34"/>
  <c r="AB30" i="34"/>
  <c r="S37" i="34"/>
  <c r="U38" i="34"/>
  <c r="AC40" i="34"/>
  <c r="W40" i="34"/>
  <c r="AA19" i="34"/>
  <c r="S19" i="34"/>
  <c r="S36" i="34"/>
  <c r="AA8" i="34"/>
  <c r="S8" i="34"/>
  <c r="AA46" i="34"/>
  <c r="U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AC28" i="33"/>
  <c r="S28" i="33"/>
  <c r="W9" i="33"/>
  <c r="W8" i="33"/>
  <c r="U28" i="21"/>
  <c r="AA11" i="21"/>
  <c r="S45" i="21"/>
  <c r="M101" i="21"/>
  <c r="F33" i="21"/>
  <c r="S33" i="21" s="1"/>
  <c r="J33" i="21"/>
  <c r="H33" i="21"/>
  <c r="AB33" i="21" s="1"/>
  <c r="F37" i="21"/>
  <c r="AA37" i="21" s="1"/>
  <c r="AA26" i="21"/>
  <c r="AB14" i="21"/>
  <c r="U40" i="21"/>
  <c r="AB31" i="21"/>
  <c r="U31" i="21"/>
  <c r="AC15" i="21"/>
  <c r="W8" i="21"/>
  <c r="S35" i="21"/>
  <c r="AB37" i="21"/>
  <c r="J37" i="21"/>
  <c r="W37" i="21" s="1"/>
  <c r="H15" i="21"/>
  <c r="U15" i="21" s="1"/>
  <c r="J17" i="21"/>
  <c r="AC17" i="21"/>
  <c r="AC19" i="21"/>
  <c r="W39" i="21"/>
  <c r="AC14" i="21"/>
  <c r="W30" i="21"/>
  <c r="S46" i="21"/>
  <c r="H45" i="21"/>
  <c r="U45" i="21" s="1"/>
  <c r="F29" i="21"/>
  <c r="AC38" i="21"/>
  <c r="H32" i="21"/>
  <c r="H9" i="21"/>
  <c r="J9" i="21"/>
  <c r="J32" i="21"/>
  <c r="F32" i="21"/>
  <c r="AA31" i="21"/>
  <c r="U17" i="21"/>
  <c r="S19" i="21"/>
  <c r="S9" i="21"/>
  <c r="AA9" i="21"/>
  <c r="K141" i="21"/>
  <c r="K144" i="21"/>
  <c r="K143" i="21"/>
  <c r="U27" i="21"/>
  <c r="AB25" i="21"/>
  <c r="AA30" i="21"/>
  <c r="W42" i="21"/>
  <c r="AC45" i="21"/>
  <c r="F10" i="21"/>
  <c r="K145" i="21"/>
  <c r="W17" i="21"/>
  <c r="W25" i="21"/>
  <c r="W31" i="21"/>
  <c r="AA15" i="21"/>
  <c r="AC27" i="21"/>
  <c r="AC26" i="21"/>
  <c r="AB29" i="21"/>
  <c r="S28" i="21"/>
  <c r="AC34" i="21"/>
  <c r="W10" i="21"/>
  <c r="W12" i="21"/>
  <c r="AB36" i="21"/>
  <c r="W30" i="40"/>
  <c r="C19" i="39"/>
  <c r="C15" i="40"/>
  <c r="C17" i="40"/>
  <c r="C21" i="40"/>
  <c r="U30" i="40"/>
  <c r="B65" i="43"/>
  <c r="B49" i="43"/>
  <c r="B52" i="43"/>
  <c r="B56" i="43"/>
  <c r="B60" i="43"/>
  <c r="B67" i="43"/>
  <c r="D23" i="15"/>
  <c r="D22" i="15"/>
  <c r="E4" i="4"/>
  <c r="B5" i="62" s="1"/>
  <c r="B73" i="72" s="1"/>
  <c r="C4" i="4"/>
  <c r="S7" i="1"/>
  <c r="AR7" i="1" s="1"/>
  <c r="E7" i="70"/>
  <c r="S12" i="33"/>
  <c r="AA12" i="33"/>
  <c r="J32" i="39"/>
  <c r="H107" i="39"/>
  <c r="I107" i="39"/>
  <c r="J107" i="39" s="1"/>
  <c r="K107" i="39"/>
  <c r="L107" i="39" s="1"/>
  <c r="M107" i="39" s="1"/>
  <c r="H32" i="39"/>
  <c r="AB21" i="39"/>
  <c r="U21" i="39"/>
  <c r="AA21" i="39"/>
  <c r="S21" i="39"/>
  <c r="AC21" i="39"/>
  <c r="W21" i="39"/>
  <c r="U9" i="35"/>
  <c r="AB9" i="35"/>
  <c r="AA9" i="35"/>
  <c r="S9" i="35"/>
  <c r="AC17" i="37"/>
  <c r="S17" i="37"/>
  <c r="J19" i="37"/>
  <c r="G75" i="37"/>
  <c r="S19" i="37"/>
  <c r="AA19" i="37"/>
  <c r="AA23" i="37"/>
  <c r="J23" i="37"/>
  <c r="W23" i="37" s="1"/>
  <c r="J10" i="37"/>
  <c r="G63" i="37"/>
  <c r="H11" i="37"/>
  <c r="AB10" i="37"/>
  <c r="G70" i="34"/>
  <c r="H70" i="34" s="1"/>
  <c r="I70" i="34" s="1"/>
  <c r="H11" i="34"/>
  <c r="AB10" i="34"/>
  <c r="U10" i="34"/>
  <c r="J10" i="34"/>
  <c r="AB41" i="33"/>
  <c r="U41" i="33"/>
  <c r="W35" i="33"/>
  <c r="AC35" i="33"/>
  <c r="H111" i="33"/>
  <c r="I111" i="33" s="1"/>
  <c r="J111" i="33" s="1"/>
  <c r="K111" i="33" s="1"/>
  <c r="L111" i="33" s="1"/>
  <c r="M111" i="33" s="1"/>
  <c r="J36" i="33"/>
  <c r="H36" i="33"/>
  <c r="S36" i="33"/>
  <c r="AA36" i="33"/>
  <c r="AC32" i="33"/>
  <c r="W32" i="33"/>
  <c r="G91" i="33"/>
  <c r="H91" i="33" s="1"/>
  <c r="I91" i="33" s="1"/>
  <c r="J91" i="33" s="1"/>
  <c r="K91" i="33"/>
  <c r="L91" i="33" s="1"/>
  <c r="M91" i="33"/>
  <c r="J27" i="33"/>
  <c r="AC27" i="33" s="1"/>
  <c r="U25" i="33"/>
  <c r="AB25" i="33"/>
  <c r="S25" i="33"/>
  <c r="AA25" i="33"/>
  <c r="G87" i="33"/>
  <c r="H87" i="33" s="1"/>
  <c r="I87" i="33" s="1"/>
  <c r="J87" i="33" s="1"/>
  <c r="K87" i="33" s="1"/>
  <c r="L87" i="33" s="1"/>
  <c r="M87" i="33" s="1"/>
  <c r="J25" i="33"/>
  <c r="W25" i="33" s="1"/>
  <c r="AB23" i="33"/>
  <c r="F23" i="33"/>
  <c r="G85" i="33"/>
  <c r="AC23" i="33"/>
  <c r="W23" i="33"/>
  <c r="AA19" i="33"/>
  <c r="H19" i="33"/>
  <c r="U19" i="33" s="1"/>
  <c r="G81" i="33"/>
  <c r="G79" i="33"/>
  <c r="H17" i="33"/>
  <c r="U17" i="33" s="1"/>
  <c r="F17" i="33"/>
  <c r="AA17" i="33" s="1"/>
  <c r="W17" i="33"/>
  <c r="AC17" i="33"/>
  <c r="U10" i="33"/>
  <c r="AC10" i="33"/>
  <c r="W10" i="33"/>
  <c r="AA23" i="21"/>
  <c r="AB15" i="21"/>
  <c r="J23" i="21"/>
  <c r="F85" i="21"/>
  <c r="G85" i="21"/>
  <c r="H23" i="21"/>
  <c r="AB23" i="21" s="1"/>
  <c r="AP7" i="1"/>
  <c r="AB45" i="21"/>
  <c r="AC33" i="21"/>
  <c r="W33" i="21"/>
  <c r="W32" i="21"/>
  <c r="AC32" i="21"/>
  <c r="AB9" i="21"/>
  <c r="U9" i="21"/>
  <c r="AA32" i="21"/>
  <c r="S32" i="21"/>
  <c r="W9" i="21"/>
  <c r="AC9" i="21"/>
  <c r="AB32" i="21"/>
  <c r="U32" i="21"/>
  <c r="AA10" i="21"/>
  <c r="S10" i="21"/>
  <c r="U32" i="39"/>
  <c r="AB32" i="39"/>
  <c r="AC32" i="39"/>
  <c r="W32" i="39"/>
  <c r="W19" i="37"/>
  <c r="AC19" i="37"/>
  <c r="AC23" i="37"/>
  <c r="AB11" i="37"/>
  <c r="U11" i="37"/>
  <c r="H63" i="37"/>
  <c r="I63" i="37" s="1"/>
  <c r="J63" i="37" s="1"/>
  <c r="K63" i="37"/>
  <c r="L63" i="37" s="1"/>
  <c r="M63" i="37" s="1"/>
  <c r="J11" i="37"/>
  <c r="U11" i="34"/>
  <c r="AB11" i="34"/>
  <c r="AC10" i="34"/>
  <c r="W10" i="34"/>
  <c r="J70" i="34"/>
  <c r="K70" i="34"/>
  <c r="L70" i="34"/>
  <c r="M70" i="34" s="1"/>
  <c r="J11" i="34"/>
  <c r="AC36" i="33"/>
  <c r="W36" i="33"/>
  <c r="U36" i="33"/>
  <c r="AB36" i="33"/>
  <c r="AC25" i="33"/>
  <c r="AA23" i="33"/>
  <c r="S23" i="33"/>
  <c r="AB19" i="33"/>
  <c r="S17" i="33"/>
  <c r="AB17" i="33"/>
  <c r="U23" i="21"/>
  <c r="AC11" i="37"/>
  <c r="W11" i="37"/>
  <c r="W11" i="34"/>
  <c r="AC11" i="34"/>
  <c r="R7" i="1"/>
  <c r="F34" i="11"/>
  <c r="C36" i="11" s="1"/>
  <c r="F11" i="12"/>
  <c r="C23" i="12" s="1"/>
  <c r="F34" i="68"/>
  <c r="R8" i="1"/>
  <c r="AE7" i="1"/>
  <c r="AE8" i="1"/>
  <c r="AG6" i="1"/>
  <c r="H109" i="9"/>
  <c r="D124" i="9" s="1"/>
  <c r="D125" i="9" s="1"/>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D68" i="39"/>
  <c r="D70" i="39" s="1"/>
  <c r="C24" i="12"/>
  <c r="C16" i="71"/>
  <c r="D16" i="71"/>
  <c r="D17" i="71"/>
  <c r="D18" i="71"/>
  <c r="U18" i="71"/>
  <c r="S18" i="71"/>
  <c r="T18" i="71"/>
  <c r="AB16" i="71"/>
  <c r="X14" i="71"/>
  <c r="X13" i="71"/>
  <c r="AA14" i="71"/>
  <c r="AA13" i="71"/>
  <c r="X17" i="71"/>
  <c r="Y13" i="71"/>
  <c r="Z13" i="71" s="1"/>
  <c r="AB14" i="71"/>
  <c r="AB13" i="71"/>
  <c r="Y14" i="71"/>
  <c r="Z14" i="71" s="1"/>
  <c r="X3" i="71"/>
  <c r="C15" i="71"/>
  <c r="C14" i="71" s="1"/>
  <c r="G20" i="43"/>
  <c r="E41" i="43" s="1"/>
  <c r="C41" i="43" s="1"/>
  <c r="E68" i="39"/>
  <c r="F68" i="39" s="1"/>
  <c r="C20" i="43"/>
  <c r="M8" i="15"/>
  <c r="F43" i="15"/>
  <c r="F7" i="67"/>
  <c r="M29" i="15"/>
  <c r="F36" i="67"/>
  <c r="F7" i="15"/>
  <c r="AO8" i="1"/>
  <c r="M23" i="67"/>
  <c r="M22" i="15"/>
  <c r="C76" i="67"/>
  <c r="B13" i="76"/>
  <c r="F43" i="67"/>
  <c r="M26" i="15"/>
  <c r="M9" i="15"/>
  <c r="F9" i="15"/>
  <c r="AO10" i="1"/>
  <c r="F38" i="67"/>
  <c r="F6" i="73"/>
  <c r="D5" i="73"/>
  <c r="F3" i="73"/>
  <c r="L47" i="15"/>
  <c r="F6" i="67"/>
  <c r="AO7" i="1"/>
  <c r="M22" i="67"/>
  <c r="B7" i="76"/>
  <c r="F42" i="67"/>
  <c r="F36" i="15"/>
  <c r="F40" i="67"/>
  <c r="B8" i="76"/>
  <c r="F6" i="15"/>
  <c r="D7" i="73"/>
  <c r="F40" i="15"/>
  <c r="L48" i="67"/>
  <c r="F38" i="15"/>
  <c r="M9" i="67"/>
  <c r="F35" i="67"/>
  <c r="F13" i="67"/>
  <c r="F8" i="67"/>
  <c r="E9" i="76"/>
  <c r="M24" i="15"/>
  <c r="D3" i="73"/>
  <c r="E2" i="69"/>
  <c r="M23" i="15"/>
  <c r="F37" i="67"/>
  <c r="F20" i="31"/>
  <c r="F9" i="67"/>
  <c r="D2" i="35"/>
  <c r="E10" i="76"/>
  <c r="E8" i="76"/>
  <c r="F42" i="15"/>
  <c r="F26" i="67"/>
  <c r="M21" i="67"/>
  <c r="E7" i="76"/>
  <c r="AO13" i="1"/>
  <c r="M6" i="67"/>
  <c r="B11" i="76"/>
  <c r="F16" i="67"/>
  <c r="E2" i="68"/>
  <c r="AO11" i="1"/>
  <c r="F4" i="73"/>
  <c r="M28" i="15"/>
  <c r="D2" i="34"/>
  <c r="B12" i="76"/>
  <c r="F8" i="15"/>
  <c r="J15" i="67"/>
  <c r="M8" i="67"/>
  <c r="AO9" i="1"/>
  <c r="F13" i="15"/>
  <c r="F26" i="15"/>
  <c r="L47" i="67"/>
  <c r="F5" i="73"/>
  <c r="D2" i="33"/>
  <c r="C76" i="15"/>
  <c r="M6" i="15"/>
  <c r="M27" i="67"/>
  <c r="D6" i="73"/>
  <c r="B9" i="76"/>
  <c r="D4" i="73"/>
  <c r="F41" i="67"/>
  <c r="D2" i="37"/>
  <c r="D2" i="21"/>
  <c r="M24" i="67"/>
  <c r="L48" i="15"/>
  <c r="M26" i="67"/>
  <c r="D2" i="36"/>
  <c r="F7" i="73"/>
  <c r="F16" i="15"/>
  <c r="M28" i="67"/>
  <c r="J15" i="15"/>
  <c r="M29" i="67"/>
  <c r="AO12" i="1"/>
  <c r="M27" i="15"/>
  <c r="E11" i="76"/>
  <c r="E13" i="76"/>
  <c r="F37" i="15"/>
  <c r="B10" i="76"/>
  <c r="E12" i="76"/>
  <c r="U46" i="21" l="1"/>
  <c r="AB46" i="21"/>
  <c r="W44" i="21"/>
  <c r="AC44" i="21"/>
  <c r="J46" i="21"/>
  <c r="H44" i="21"/>
  <c r="AC13" i="21"/>
  <c r="W13" i="21"/>
  <c r="J29" i="21"/>
  <c r="AC29" i="21" s="1"/>
  <c r="B19" i="53"/>
  <c r="B37" i="72" s="1"/>
  <c r="D16" i="53"/>
  <c r="B34" i="72" s="1"/>
  <c r="B113" i="43"/>
  <c r="B116" i="43" s="1"/>
  <c r="C116" i="43" s="1"/>
  <c r="G101" i="43"/>
  <c r="G104" i="43" s="1"/>
  <c r="M101" i="43"/>
  <c r="M105" i="43" s="1"/>
  <c r="AF11" i="43"/>
  <c r="AF13" i="43" s="1"/>
  <c r="AI11" i="43"/>
  <c r="AI13" i="43" s="1"/>
  <c r="C23" i="43"/>
  <c r="C21" i="43" s="1"/>
  <c r="D101" i="43"/>
  <c r="D102" i="43" s="1"/>
  <c r="S2" i="43"/>
  <c r="AH11" i="43"/>
  <c r="AH13" i="43" s="1"/>
  <c r="S5" i="43"/>
  <c r="T5" i="43" s="1"/>
  <c r="V5" i="43" s="1"/>
  <c r="Y11" i="43"/>
  <c r="Y13" i="43" s="1"/>
  <c r="S6" i="43"/>
  <c r="K101" i="43"/>
  <c r="K107" i="43" s="1"/>
  <c r="C101" i="43"/>
  <c r="I101" i="43"/>
  <c r="AD11" i="43"/>
  <c r="AD13" i="43" s="1"/>
  <c r="AG11" i="43"/>
  <c r="S4" i="43"/>
  <c r="F101" i="43"/>
  <c r="J101" i="43"/>
  <c r="H22" i="43"/>
  <c r="E101" i="43"/>
  <c r="E103" i="43" s="1"/>
  <c r="AB11" i="43"/>
  <c r="AB13" i="43" s="1"/>
  <c r="AE11" i="43"/>
  <c r="AE13" i="43" s="1"/>
  <c r="S3" i="43"/>
  <c r="L101" i="43"/>
  <c r="L104" i="43" s="1"/>
  <c r="G22" i="43"/>
  <c r="Z11" i="43"/>
  <c r="Z13" i="43" s="1"/>
  <c r="AC11" i="43"/>
  <c r="AC13" i="43" s="1"/>
  <c r="S7" i="43"/>
  <c r="F22" i="43"/>
  <c r="E22" i="43"/>
  <c r="D22" i="43" s="1"/>
  <c r="N101" i="43"/>
  <c r="N104" i="46"/>
  <c r="H101" i="43"/>
  <c r="AJ11" i="43"/>
  <c r="Z7" i="43"/>
  <c r="AA11" i="43"/>
  <c r="J22" i="43"/>
  <c r="P61" i="15"/>
  <c r="S37" i="21"/>
  <c r="AC37" i="21"/>
  <c r="U33" i="21"/>
  <c r="AA33" i="21"/>
  <c r="S8" i="21"/>
  <c r="C94" i="9"/>
  <c r="C92" i="9"/>
  <c r="F30" i="69"/>
  <c r="C30" i="69" s="1"/>
  <c r="D68" i="9"/>
  <c r="M18" i="67"/>
  <c r="F30" i="68"/>
  <c r="F48" i="68" s="1"/>
  <c r="F52" i="9"/>
  <c r="F32" i="15"/>
  <c r="F60" i="15" s="1"/>
  <c r="F31" i="12"/>
  <c r="C31" i="12" s="1"/>
  <c r="F54" i="9"/>
  <c r="F28" i="15"/>
  <c r="C28" i="15" s="1"/>
  <c r="C40" i="11"/>
  <c r="C23" i="40"/>
  <c r="B74" i="43"/>
  <c r="B54" i="43"/>
  <c r="T11" i="1"/>
  <c r="AQ7" i="1"/>
  <c r="AR12" i="1"/>
  <c r="I116" i="43"/>
  <c r="J116" i="43" s="1"/>
  <c r="K116" i="43" s="1"/>
  <c r="L116" i="43" s="1"/>
  <c r="M116" i="43" s="1"/>
  <c r="C107" i="43"/>
  <c r="C109" i="43"/>
  <c r="K105" i="43"/>
  <c r="L106" i="43"/>
  <c r="K106" i="43"/>
  <c r="G102" i="43"/>
  <c r="G109" i="43"/>
  <c r="K109" i="43"/>
  <c r="C105" i="43"/>
  <c r="L27" i="6"/>
  <c r="G9" i="1"/>
  <c r="G8" i="1"/>
  <c r="A4" i="52"/>
  <c r="B41" i="72" s="1"/>
  <c r="A2" i="9"/>
  <c r="D103" i="43"/>
  <c r="AR11" i="1"/>
  <c r="T7" i="1"/>
  <c r="C36" i="69"/>
  <c r="L107" i="43"/>
  <c r="D106" i="43"/>
  <c r="D118" i="43"/>
  <c r="E118" i="43" s="1"/>
  <c r="F118" i="43" s="1"/>
  <c r="M103" i="43"/>
  <c r="T10" i="1"/>
  <c r="T8" i="1"/>
  <c r="T12" i="1"/>
  <c r="H16" i="1"/>
  <c r="Q16" i="1"/>
  <c r="F27" i="68" s="1"/>
  <c r="AQ8" i="1"/>
  <c r="D104" i="43"/>
  <c r="H104" i="43"/>
  <c r="E104" i="43"/>
  <c r="C13" i="71"/>
  <c r="T14" i="71"/>
  <c r="D14" i="71"/>
  <c r="U14" i="71" s="1"/>
  <c r="D5" i="43"/>
  <c r="C5" i="43"/>
  <c r="U34" i="37"/>
  <c r="AB34" i="37"/>
  <c r="D17" i="53"/>
  <c r="B36" i="72" s="1"/>
  <c r="H14" i="74"/>
  <c r="B7" i="74" s="1"/>
  <c r="W10" i="37"/>
  <c r="AC10" i="37"/>
  <c r="D15" i="71"/>
  <c r="D10" i="52"/>
  <c r="P7" i="1"/>
  <c r="BL557" i="3"/>
  <c r="AZ557" i="3" s="1"/>
  <c r="BN5" i="3"/>
  <c r="BA556" i="3"/>
  <c r="AZ556" i="3" s="1"/>
  <c r="BB5" i="3"/>
  <c r="H110" i="9"/>
  <c r="D18" i="53" s="1"/>
  <c r="B35" i="72" s="1"/>
  <c r="BA551" i="3"/>
  <c r="BC5" i="3"/>
  <c r="E70" i="39"/>
  <c r="AC23" i="21"/>
  <c r="W23" i="21"/>
  <c r="W27" i="33"/>
  <c r="F9" i="34"/>
  <c r="J9" i="34"/>
  <c r="H9" i="34"/>
  <c r="F48" i="69"/>
  <c r="C48" i="69"/>
  <c r="S29" i="37"/>
  <c r="AA29" i="37"/>
  <c r="AC15" i="34"/>
  <c r="W15" i="34"/>
  <c r="U37" i="40"/>
  <c r="AB37" i="40"/>
  <c r="AB39" i="37"/>
  <c r="U39" i="37"/>
  <c r="AA29" i="21"/>
  <c r="S29" i="21"/>
  <c r="AB12" i="39"/>
  <c r="U12" i="39"/>
  <c r="S31" i="37"/>
  <c r="AA31" i="37"/>
  <c r="S36" i="35"/>
  <c r="AA36" i="35"/>
  <c r="W41" i="39"/>
  <c r="AC41" i="39"/>
  <c r="AB27" i="33"/>
  <c r="U27" i="33"/>
  <c r="S20" i="35"/>
  <c r="AA20" i="35"/>
  <c r="W33" i="34"/>
  <c r="AC33" i="34"/>
  <c r="AB15" i="39"/>
  <c r="U15" i="39"/>
  <c r="AZ539" i="3"/>
  <c r="AZ553" i="3"/>
  <c r="AC28" i="37"/>
  <c r="W28" i="37"/>
  <c r="AA46" i="33"/>
  <c r="S46" i="33"/>
  <c r="AA44" i="21"/>
  <c r="S44" i="21"/>
  <c r="U30" i="21"/>
  <c r="AB30" i="21"/>
  <c r="AA32" i="35"/>
  <c r="S32" i="35"/>
  <c r="AB38" i="39"/>
  <c r="U38" i="39"/>
  <c r="AQ13" i="1"/>
  <c r="AR13" i="1"/>
  <c r="W20" i="36"/>
  <c r="AC20" i="36"/>
  <c r="H83" i="43"/>
  <c r="H86" i="43"/>
  <c r="H85" i="43"/>
  <c r="H82" i="43"/>
  <c r="H81" i="43"/>
  <c r="H88" i="43"/>
  <c r="AB21" i="40"/>
  <c r="U21" i="40"/>
  <c r="S11" i="36"/>
  <c r="AA11" i="36"/>
  <c r="U45" i="33"/>
  <c r="AB45" i="33"/>
  <c r="AA27" i="21"/>
  <c r="S27" i="21"/>
  <c r="AB35" i="21"/>
  <c r="U35" i="21"/>
  <c r="AB43" i="21"/>
  <c r="U43" i="21"/>
  <c r="AB15" i="37"/>
  <c r="U15" i="37"/>
  <c r="H84" i="43"/>
  <c r="AA9" i="37"/>
  <c r="O12" i="1"/>
  <c r="P12" i="1" s="1"/>
  <c r="H87" i="43"/>
  <c r="W27" i="40"/>
  <c r="AC27" i="40"/>
  <c r="AZ376" i="3"/>
  <c r="S37" i="37"/>
  <c r="AA37" i="37"/>
  <c r="W13" i="35"/>
  <c r="AC13" i="35"/>
  <c r="S45" i="39"/>
  <c r="AA45" i="39"/>
  <c r="W29" i="21"/>
  <c r="D6" i="52"/>
  <c r="P6" i="1"/>
  <c r="C13" i="12" s="1"/>
  <c r="AZ13" i="3"/>
  <c r="AC34" i="33"/>
  <c r="AQ9" i="1"/>
  <c r="T9" i="1"/>
  <c r="AR9" i="1"/>
  <c r="U27" i="36"/>
  <c r="AB27" i="36"/>
  <c r="AC36" i="21"/>
  <c r="W36" i="21"/>
  <c r="AA8" i="33"/>
  <c r="S8" i="33"/>
  <c r="AB33" i="33"/>
  <c r="U33" i="33"/>
  <c r="BL523" i="3"/>
  <c r="AZ523" i="3" s="1"/>
  <c r="AZ520" i="3"/>
  <c r="AZ504" i="3"/>
  <c r="S32" i="39"/>
  <c r="AA32" i="39"/>
  <c r="S10" i="33"/>
  <c r="AA10" i="33"/>
  <c r="AZ345" i="3"/>
  <c r="W11" i="39"/>
  <c r="AC11" i="39"/>
  <c r="S25" i="21"/>
  <c r="AA25" i="21"/>
  <c r="AA17" i="21"/>
  <c r="S17" i="21"/>
  <c r="AA13" i="39"/>
  <c r="S13" i="39"/>
  <c r="AB23" i="34"/>
  <c r="U23" i="34"/>
  <c r="AB24" i="36"/>
  <c r="U24" i="36"/>
  <c r="T14" i="43"/>
  <c r="V14" i="43" s="1"/>
  <c r="F53" i="9"/>
  <c r="F30" i="11"/>
  <c r="F32" i="67"/>
  <c r="F60" i="67" s="1"/>
  <c r="M18" i="15"/>
  <c r="C104" i="43"/>
  <c r="U35" i="37"/>
  <c r="AB35" i="37"/>
  <c r="H71" i="43"/>
  <c r="H75" i="43"/>
  <c r="AZ362" i="3"/>
  <c r="AA39" i="33"/>
  <c r="S39" i="33"/>
  <c r="BL499" i="3"/>
  <c r="BL521" i="3"/>
  <c r="AZ521" i="3" s="1"/>
  <c r="BL525" i="3"/>
  <c r="AZ529" i="3"/>
  <c r="AZ541" i="3"/>
  <c r="AZ569" i="3"/>
  <c r="S13" i="34"/>
  <c r="AA13" i="34"/>
  <c r="W29" i="37"/>
  <c r="AC29" i="37"/>
  <c r="U11" i="36"/>
  <c r="AB11" i="36"/>
  <c r="U42" i="21"/>
  <c r="AB42" i="21"/>
  <c r="AB37" i="33"/>
  <c r="AA41" i="33"/>
  <c r="S41" i="33"/>
  <c r="C21" i="39"/>
  <c r="AB40" i="39"/>
  <c r="U40" i="39"/>
  <c r="H13" i="21"/>
  <c r="F13" i="21"/>
  <c r="AB8" i="33"/>
  <c r="U8" i="33"/>
  <c r="W33" i="33"/>
  <c r="AC33" i="33"/>
  <c r="W31" i="40"/>
  <c r="AC31" i="40"/>
  <c r="F38" i="40"/>
  <c r="J38" i="40"/>
  <c r="H38" i="40"/>
  <c r="C79" i="35"/>
  <c r="J26" i="35" s="1"/>
  <c r="H26" i="35"/>
  <c r="BA581" i="3"/>
  <c r="BL580" i="3"/>
  <c r="BL579" i="3"/>
  <c r="BL551" i="3"/>
  <c r="AA25" i="36"/>
  <c r="P9" i="1"/>
  <c r="F48" i="9"/>
  <c r="O52" i="9" s="1"/>
  <c r="S19" i="40"/>
  <c r="AA19" i="40"/>
  <c r="S12" i="37"/>
  <c r="AA12" i="37"/>
  <c r="W40" i="37"/>
  <c r="AZ507" i="3"/>
  <c r="AZ512" i="3"/>
  <c r="U13" i="33"/>
  <c r="AA44" i="33"/>
  <c r="S44" i="33"/>
  <c r="AB31" i="33"/>
  <c r="U31" i="33"/>
  <c r="AA16" i="36"/>
  <c r="S16" i="36"/>
  <c r="BA586" i="3"/>
  <c r="BA585" i="3"/>
  <c r="W12" i="34"/>
  <c r="AC12" i="34"/>
  <c r="U27" i="37"/>
  <c r="AB27" i="37"/>
  <c r="F38" i="37"/>
  <c r="H38" i="37"/>
  <c r="J39" i="40"/>
  <c r="H39" i="40"/>
  <c r="F39" i="40"/>
  <c r="U44" i="34"/>
  <c r="AZ372" i="3"/>
  <c r="AZ533" i="3"/>
  <c r="AZ545" i="3"/>
  <c r="AZ573" i="3"/>
  <c r="S47" i="34"/>
  <c r="AC44" i="33"/>
  <c r="W44" i="33"/>
  <c r="AB36" i="37"/>
  <c r="AA45" i="33"/>
  <c r="S45" i="33"/>
  <c r="AA13" i="33"/>
  <c r="S13" i="33"/>
  <c r="W46" i="21"/>
  <c r="AC46" i="21"/>
  <c r="AC37" i="34"/>
  <c r="AC19" i="33"/>
  <c r="W19" i="33"/>
  <c r="AA28" i="34"/>
  <c r="S28" i="34"/>
  <c r="AB8" i="36"/>
  <c r="AC29" i="36"/>
  <c r="W29" i="36"/>
  <c r="W11" i="40"/>
  <c r="AC11" i="40"/>
  <c r="W27" i="39"/>
  <c r="AC27" i="39"/>
  <c r="AA21" i="40"/>
  <c r="BA587" i="3"/>
  <c r="AZ587" i="3" s="1"/>
  <c r="BL586" i="3"/>
  <c r="B73" i="43"/>
  <c r="B63" i="43"/>
  <c r="U8" i="34"/>
  <c r="AB8" i="34"/>
  <c r="AB14" i="39"/>
  <c r="U14" i="39"/>
  <c r="AZ547" i="3"/>
  <c r="AZ575" i="3"/>
  <c r="S37" i="39"/>
  <c r="AA37" i="39"/>
  <c r="AC36" i="39"/>
  <c r="W36" i="39"/>
  <c r="AC44" i="39"/>
  <c r="W44" i="39"/>
  <c r="AB8" i="21"/>
  <c r="U8" i="21"/>
  <c r="AB12" i="33"/>
  <c r="U12" i="33"/>
  <c r="U35" i="33"/>
  <c r="AB35" i="33"/>
  <c r="AC8" i="34"/>
  <c r="W8" i="34"/>
  <c r="AB43" i="34"/>
  <c r="U43" i="34"/>
  <c r="J24" i="35"/>
  <c r="F24" i="35"/>
  <c r="H24" i="35"/>
  <c r="H33" i="36"/>
  <c r="J33" i="36"/>
  <c r="F33" i="36"/>
  <c r="BL581" i="3"/>
  <c r="BA580" i="3"/>
  <c r="AZ580" i="3" s="1"/>
  <c r="BA579" i="3"/>
  <c r="AZ579" i="3" s="1"/>
  <c r="BL578" i="3"/>
  <c r="AZ578" i="3" s="1"/>
  <c r="AZ577" i="3"/>
  <c r="BA576" i="3"/>
  <c r="AZ576" i="3" s="1"/>
  <c r="AZ574" i="3"/>
  <c r="BA525" i="3"/>
  <c r="AZ525" i="3" s="1"/>
  <c r="BL524" i="3"/>
  <c r="AZ524" i="3" s="1"/>
  <c r="BA522" i="3"/>
  <c r="AZ522" i="3" s="1"/>
  <c r="BL519" i="3"/>
  <c r="AZ519" i="3" s="1"/>
  <c r="BA518" i="3"/>
  <c r="AZ518" i="3" s="1"/>
  <c r="BA517" i="3"/>
  <c r="AZ517" i="3" s="1"/>
  <c r="BL515" i="3"/>
  <c r="AZ515" i="3" s="1"/>
  <c r="BA514" i="3"/>
  <c r="AZ514" i="3" s="1"/>
  <c r="BA513" i="3"/>
  <c r="AZ513" i="3" s="1"/>
  <c r="BL512" i="3"/>
  <c r="BR5" i="3"/>
  <c r="G28" i="6" s="1"/>
  <c r="BL511" i="3"/>
  <c r="AZ511" i="3" s="1"/>
  <c r="BM5" i="3"/>
  <c r="H5" i="3"/>
  <c r="BA510" i="3"/>
  <c r="AZ510" i="3" s="1"/>
  <c r="BP5" i="3"/>
  <c r="BL509" i="3"/>
  <c r="AZ509" i="3" s="1"/>
  <c r="BA503" i="3"/>
  <c r="AZ503" i="3" s="1"/>
  <c r="BL502" i="3"/>
  <c r="AZ502" i="3" s="1"/>
  <c r="BA499" i="3"/>
  <c r="AZ499" i="3" s="1"/>
  <c r="BL498" i="3"/>
  <c r="AZ498" i="3" s="1"/>
  <c r="BL497" i="3"/>
  <c r="BA497" i="3"/>
  <c r="BQ5" i="3"/>
  <c r="F28" i="6" s="1"/>
  <c r="BL496" i="3"/>
  <c r="AZ496" i="3" s="1"/>
  <c r="BD5" i="3"/>
  <c r="BK5" i="3"/>
  <c r="BE5" i="3"/>
  <c r="AC5" i="3"/>
  <c r="BO5" i="3"/>
  <c r="BL493" i="3"/>
  <c r="AZ493" i="3" s="1"/>
  <c r="BH5" i="3"/>
  <c r="AA33" i="35"/>
  <c r="N103" i="43"/>
  <c r="N102" i="43"/>
  <c r="D117" i="43"/>
  <c r="E117" i="43" s="1"/>
  <c r="F117" i="43" s="1"/>
  <c r="G117" i="43" s="1"/>
  <c r="H117" i="43" s="1"/>
  <c r="I118" i="43"/>
  <c r="J118" i="43" s="1"/>
  <c r="K118" i="43" s="1"/>
  <c r="L118" i="43" s="1"/>
  <c r="M118" i="43" s="1"/>
  <c r="W37" i="37"/>
  <c r="BG5" i="3"/>
  <c r="AZ361" i="3"/>
  <c r="AZ343" i="3"/>
  <c r="AA43" i="33"/>
  <c r="S43" i="33"/>
  <c r="BA495" i="3"/>
  <c r="AZ495" i="3" s="1"/>
  <c r="AZ565" i="3"/>
  <c r="AB46" i="33"/>
  <c r="U46" i="33"/>
  <c r="U11" i="35"/>
  <c r="AB11" i="35"/>
  <c r="AA23" i="34"/>
  <c r="S23" i="34"/>
  <c r="U33" i="35"/>
  <c r="AA11" i="40"/>
  <c r="S11" i="40"/>
  <c r="S38" i="21"/>
  <c r="AA38" i="21"/>
  <c r="BL585" i="3"/>
  <c r="AC38" i="33"/>
  <c r="W38" i="33"/>
  <c r="F26" i="33"/>
  <c r="H26" i="33"/>
  <c r="J26" i="33"/>
  <c r="J27" i="34"/>
  <c r="H27" i="34"/>
  <c r="F31" i="34"/>
  <c r="J31" i="34"/>
  <c r="H13" i="35"/>
  <c r="F13" i="35"/>
  <c r="W16" i="36"/>
  <c r="AC16" i="36"/>
  <c r="H62" i="43"/>
  <c r="W36" i="40"/>
  <c r="AC14" i="37"/>
  <c r="AB14" i="40"/>
  <c r="AC35" i="40"/>
  <c r="AB13" i="37"/>
  <c r="U17" i="34"/>
  <c r="F34" i="35"/>
  <c r="H34" i="35"/>
  <c r="J34" i="35"/>
  <c r="AA27" i="35"/>
  <c r="S27" i="35"/>
  <c r="J23" i="36"/>
  <c r="F23" i="36"/>
  <c r="G587" i="3"/>
  <c r="S9" i="40"/>
  <c r="AA9" i="40"/>
  <c r="K5" i="4"/>
  <c r="B47" i="48" s="1"/>
  <c r="F24" i="36"/>
  <c r="W32" i="40"/>
  <c r="S40" i="39"/>
  <c r="U31" i="36"/>
  <c r="U9" i="39"/>
  <c r="F12" i="21"/>
  <c r="H12" i="21"/>
  <c r="AC28" i="36"/>
  <c r="W28" i="36"/>
  <c r="BL550" i="3"/>
  <c r="O8" i="1"/>
  <c r="H25" i="37"/>
  <c r="F25" i="37"/>
  <c r="H44" i="39"/>
  <c r="F44" i="39"/>
  <c r="G552" i="3"/>
  <c r="BA550" i="3"/>
  <c r="AZ550" i="3" s="1"/>
  <c r="AZ420" i="3"/>
  <c r="AZ436" i="3"/>
  <c r="AZ466" i="3"/>
  <c r="AZ403" i="3"/>
  <c r="AZ404" i="3"/>
  <c r="AZ435" i="3"/>
  <c r="AZ464" i="3"/>
  <c r="AZ482" i="3"/>
  <c r="AZ484" i="3"/>
  <c r="AZ399" i="3"/>
  <c r="AZ400" i="3"/>
  <c r="AZ418" i="3"/>
  <c r="AZ455" i="3"/>
  <c r="AZ397" i="3"/>
  <c r="AZ228" i="3"/>
  <c r="AZ430" i="3"/>
  <c r="AZ432" i="3"/>
  <c r="AZ153" i="3"/>
  <c r="AZ407" i="3"/>
  <c r="AZ413" i="3"/>
  <c r="AZ424" i="3"/>
  <c r="AZ427" i="3"/>
  <c r="AZ443" i="3"/>
  <c r="AZ460" i="3"/>
  <c r="AZ461" i="3"/>
  <c r="AZ488" i="3"/>
  <c r="O13" i="1"/>
  <c r="P13" i="1" s="1"/>
  <c r="G481" i="3"/>
  <c r="G485" i="3"/>
  <c r="G489" i="3"/>
  <c r="BA315" i="3"/>
  <c r="AZ315" i="3" s="1"/>
  <c r="BL332" i="3"/>
  <c r="AZ332" i="3" s="1"/>
  <c r="BA333" i="3"/>
  <c r="BA352" i="3"/>
  <c r="AZ352" i="3" s="1"/>
  <c r="BA358" i="3"/>
  <c r="AZ358" i="3" s="1"/>
  <c r="BL359" i="3"/>
  <c r="AZ359" i="3" s="1"/>
  <c r="BA370" i="3"/>
  <c r="AZ370" i="3" s="1"/>
  <c r="BL386" i="3"/>
  <c r="AZ386" i="3" s="1"/>
  <c r="BL395" i="3"/>
  <c r="AZ395" i="3" s="1"/>
  <c r="G208" i="3"/>
  <c r="G215" i="3"/>
  <c r="BL222" i="3"/>
  <c r="AZ222" i="3" s="1"/>
  <c r="BA224" i="3"/>
  <c r="AZ224" i="3" s="1"/>
  <c r="BA226" i="3"/>
  <c r="AZ226" i="3" s="1"/>
  <c r="BL232" i="3"/>
  <c r="AZ232" i="3" s="1"/>
  <c r="BL237" i="3"/>
  <c r="AZ237" i="3" s="1"/>
  <c r="G242" i="3"/>
  <c r="BL245" i="3"/>
  <c r="AZ245" i="3" s="1"/>
  <c r="BL247" i="3"/>
  <c r="BL252" i="3"/>
  <c r="G263" i="3"/>
  <c r="G268" i="3"/>
  <c r="AZ276" i="3"/>
  <c r="BL18" i="3"/>
  <c r="AZ247" i="3"/>
  <c r="AZ18" i="3"/>
  <c r="C29" i="71"/>
  <c r="D28" i="71"/>
  <c r="AZ483" i="3"/>
  <c r="AZ220" i="3"/>
  <c r="AZ40" i="3"/>
  <c r="W21" i="21"/>
  <c r="AC21" i="21"/>
  <c r="B21" i="71"/>
  <c r="B20" i="71" s="1"/>
  <c r="S22" i="71"/>
  <c r="Y25" i="71"/>
  <c r="Z25" i="71" s="1"/>
  <c r="BL317" i="3"/>
  <c r="AZ317" i="3" s="1"/>
  <c r="BA331" i="3"/>
  <c r="AZ331" i="3" s="1"/>
  <c r="BL208" i="3"/>
  <c r="AZ225" i="3"/>
  <c r="BL242" i="3"/>
  <c r="BA277" i="3"/>
  <c r="AZ277" i="3" s="1"/>
  <c r="BL481" i="3"/>
  <c r="BL485" i="3"/>
  <c r="AZ485" i="3" s="1"/>
  <c r="BL489" i="3"/>
  <c r="AZ489" i="3" s="1"/>
  <c r="BL316" i="3"/>
  <c r="BL333" i="3"/>
  <c r="BA350" i="3"/>
  <c r="AZ350" i="3" s="1"/>
  <c r="BA354" i="3"/>
  <c r="AZ354" i="3" s="1"/>
  <c r="BA367" i="3"/>
  <c r="AZ367" i="3" s="1"/>
  <c r="BL381" i="3"/>
  <c r="AZ381" i="3" s="1"/>
  <c r="BA388" i="3"/>
  <c r="AZ388" i="3" s="1"/>
  <c r="BA396" i="3"/>
  <c r="AZ396" i="3" s="1"/>
  <c r="BA212" i="3"/>
  <c r="BL212" i="3"/>
  <c r="BL219" i="3"/>
  <c r="AZ219" i="3" s="1"/>
  <c r="BL221" i="3"/>
  <c r="G225" i="3"/>
  <c r="G227" i="3"/>
  <c r="BA229" i="3"/>
  <c r="BL229" i="3"/>
  <c r="BL236" i="3"/>
  <c r="AZ236" i="3" s="1"/>
  <c r="BA239" i="3"/>
  <c r="BL239" i="3"/>
  <c r="BA246" i="3"/>
  <c r="AZ246" i="3" s="1"/>
  <c r="BA253" i="3"/>
  <c r="AZ253" i="3" s="1"/>
  <c r="BA260" i="3"/>
  <c r="AZ260" i="3" s="1"/>
  <c r="BA272" i="3"/>
  <c r="AZ272" i="3" s="1"/>
  <c r="BL286" i="3"/>
  <c r="AZ286" i="3" s="1"/>
  <c r="BL301" i="3"/>
  <c r="BA113" i="3"/>
  <c r="AZ113" i="3" s="1"/>
  <c r="BA130" i="3"/>
  <c r="BL143" i="3"/>
  <c r="AZ143" i="3" s="1"/>
  <c r="AZ22" i="3"/>
  <c r="BA481" i="3"/>
  <c r="BA316" i="3"/>
  <c r="AZ316" i="3" s="1"/>
  <c r="BA353" i="3"/>
  <c r="AZ353" i="3" s="1"/>
  <c r="AZ208" i="3"/>
  <c r="BA215" i="3"/>
  <c r="AZ215" i="3" s="1"/>
  <c r="AZ221" i="3"/>
  <c r="AZ242" i="3"/>
  <c r="BA259" i="3"/>
  <c r="AZ259" i="3" s="1"/>
  <c r="BA263" i="3"/>
  <c r="AZ263" i="3" s="1"/>
  <c r="BA275" i="3"/>
  <c r="AZ285" i="3"/>
  <c r="AZ301" i="3"/>
  <c r="BL250" i="3"/>
  <c r="AZ250" i="3" s="1"/>
  <c r="BL269" i="3"/>
  <c r="AZ269" i="3" s="1"/>
  <c r="BL270" i="3"/>
  <c r="AZ270" i="3" s="1"/>
  <c r="BL272" i="3"/>
  <c r="G277" i="3"/>
  <c r="G279" i="3"/>
  <c r="BA283" i="3"/>
  <c r="AZ283" i="3" s="1"/>
  <c r="BA284" i="3"/>
  <c r="AZ284" i="3" s="1"/>
  <c r="BL287" i="3"/>
  <c r="AZ287" i="3" s="1"/>
  <c r="BL289" i="3"/>
  <c r="AZ289" i="3" s="1"/>
  <c r="BA293" i="3"/>
  <c r="AZ293" i="3" s="1"/>
  <c r="BL295" i="3"/>
  <c r="AZ295" i="3" s="1"/>
  <c r="BL296" i="3"/>
  <c r="AZ296" i="3" s="1"/>
  <c r="BL302" i="3"/>
  <c r="BL113" i="3"/>
  <c r="BA120" i="3"/>
  <c r="AZ120" i="3" s="1"/>
  <c r="BA134" i="3"/>
  <c r="AZ134" i="3" s="1"/>
  <c r="G139" i="3"/>
  <c r="BL142" i="3"/>
  <c r="AZ142" i="3" s="1"/>
  <c r="BA146" i="3"/>
  <c r="AZ146" i="3" s="1"/>
  <c r="BL153" i="3"/>
  <c r="BA156" i="3"/>
  <c r="AZ156" i="3" s="1"/>
  <c r="G162" i="3"/>
  <c r="BA168" i="3"/>
  <c r="AZ168" i="3" s="1"/>
  <c r="BA173" i="3"/>
  <c r="AZ173" i="3" s="1"/>
  <c r="BA189" i="3"/>
  <c r="AZ189" i="3" s="1"/>
  <c r="AZ193" i="3"/>
  <c r="BL21" i="3"/>
  <c r="AZ21" i="3" s="1"/>
  <c r="G44" i="3"/>
  <c r="BA82" i="3"/>
  <c r="AZ82" i="3" s="1"/>
  <c r="BL100" i="3"/>
  <c r="AZ100" i="3" s="1"/>
  <c r="BA102" i="3"/>
  <c r="G112" i="3"/>
  <c r="BL123" i="3"/>
  <c r="AZ123" i="3" s="1"/>
  <c r="AZ125" i="3"/>
  <c r="BL130" i="3"/>
  <c r="BA150" i="3"/>
  <c r="AZ150" i="3" s="1"/>
  <c r="AZ205" i="3"/>
  <c r="AZ54" i="3"/>
  <c r="AZ56" i="3"/>
  <c r="AZ96" i="3"/>
  <c r="L108" i="43"/>
  <c r="L109" i="43" s="1"/>
  <c r="L100" i="43"/>
  <c r="N108" i="43"/>
  <c r="N109" i="43" s="1"/>
  <c r="N100" i="43"/>
  <c r="AC29" i="39"/>
  <c r="W29" i="39"/>
  <c r="B86" i="43"/>
  <c r="C25" i="40"/>
  <c r="AA29" i="39"/>
  <c r="S29" i="39"/>
  <c r="BA262" i="3"/>
  <c r="AZ262" i="3" s="1"/>
  <c r="BL267" i="3"/>
  <c r="BL275" i="3"/>
  <c r="BL276" i="3"/>
  <c r="BL277" i="3"/>
  <c r="BL278" i="3"/>
  <c r="AZ278" i="3" s="1"/>
  <c r="BL279" i="3"/>
  <c r="AZ298" i="3"/>
  <c r="AZ302" i="3"/>
  <c r="AZ121" i="3"/>
  <c r="BL138" i="3"/>
  <c r="AZ138" i="3" s="1"/>
  <c r="AZ46" i="3"/>
  <c r="AZ49" i="3"/>
  <c r="BA252" i="3"/>
  <c r="AZ252" i="3" s="1"/>
  <c r="BL260" i="3"/>
  <c r="BA267" i="3"/>
  <c r="BA274" i="3"/>
  <c r="AZ274" i="3" s="1"/>
  <c r="BA279" i="3"/>
  <c r="AZ279" i="3" s="1"/>
  <c r="BL281" i="3"/>
  <c r="AZ281" i="3" s="1"/>
  <c r="AZ300" i="3"/>
  <c r="BA122" i="3"/>
  <c r="AZ122" i="3" s="1"/>
  <c r="AZ126" i="3"/>
  <c r="BL139" i="3"/>
  <c r="AZ139" i="3" s="1"/>
  <c r="BL155" i="3"/>
  <c r="AZ155" i="3" s="1"/>
  <c r="AZ201" i="3"/>
  <c r="BA169" i="3"/>
  <c r="AZ169" i="3" s="1"/>
  <c r="BL182" i="3"/>
  <c r="AZ182" i="3" s="1"/>
  <c r="BA194" i="3"/>
  <c r="AZ194" i="3" s="1"/>
  <c r="BL199" i="3"/>
  <c r="AZ199" i="3" s="1"/>
  <c r="BL19" i="3"/>
  <c r="AZ19" i="3" s="1"/>
  <c r="BA25" i="3"/>
  <c r="AZ25" i="3" s="1"/>
  <c r="BA30" i="3"/>
  <c r="AZ30" i="3" s="1"/>
  <c r="BL38" i="3"/>
  <c r="AZ38" i="3" s="1"/>
  <c r="G41" i="3"/>
  <c r="BL46" i="3"/>
  <c r="G51" i="3"/>
  <c r="BA52" i="3"/>
  <c r="AZ52" i="3" s="1"/>
  <c r="BL53" i="3"/>
  <c r="AZ53" i="3" s="1"/>
  <c r="BL58" i="3"/>
  <c r="AZ58" i="3" s="1"/>
  <c r="BA81" i="3"/>
  <c r="AZ81" i="3" s="1"/>
  <c r="BL82" i="3"/>
  <c r="AZ91" i="3"/>
  <c r="BL102" i="3"/>
  <c r="AZ112" i="3"/>
  <c r="B13" i="1"/>
  <c r="E13" i="1" s="1"/>
  <c r="C54" i="71"/>
  <c r="D53" i="71"/>
  <c r="G164" i="3"/>
  <c r="BL178" i="3"/>
  <c r="AZ178" i="3" s="1"/>
  <c r="BA186" i="3"/>
  <c r="AZ186" i="3" s="1"/>
  <c r="BL191" i="3"/>
  <c r="AZ191" i="3" s="1"/>
  <c r="BA198" i="3"/>
  <c r="AZ198" i="3" s="1"/>
  <c r="G203" i="3"/>
  <c r="BL24" i="3"/>
  <c r="AZ24" i="3" s="1"/>
  <c r="BA26" i="3"/>
  <c r="AZ26" i="3" s="1"/>
  <c r="BL29" i="3"/>
  <c r="AZ29" i="3" s="1"/>
  <c r="BA31" i="3"/>
  <c r="AZ31" i="3" s="1"/>
  <c r="BL33" i="3"/>
  <c r="AZ33" i="3" s="1"/>
  <c r="BL34" i="3"/>
  <c r="BL36" i="3"/>
  <c r="BA43" i="3"/>
  <c r="AZ43" i="3" s="1"/>
  <c r="BL48" i="3"/>
  <c r="AZ48" i="3" s="1"/>
  <c r="G56" i="3"/>
  <c r="BL57" i="3"/>
  <c r="BL60" i="3"/>
  <c r="G63" i="3"/>
  <c r="BL71" i="3"/>
  <c r="AZ71" i="3" s="1"/>
  <c r="AZ78" i="3"/>
  <c r="G86" i="3"/>
  <c r="AZ92" i="3"/>
  <c r="AB29" i="39"/>
  <c r="U29" i="39"/>
  <c r="AA8" i="71"/>
  <c r="BL161" i="3"/>
  <c r="AZ161" i="3" s="1"/>
  <c r="BA177" i="3"/>
  <c r="AZ177" i="3" s="1"/>
  <c r="BA27" i="3"/>
  <c r="AZ27" i="3" s="1"/>
  <c r="AZ34" i="3"/>
  <c r="AZ36" i="3"/>
  <c r="BL50" i="3"/>
  <c r="AZ50" i="3" s="1"/>
  <c r="AZ57" i="3"/>
  <c r="AZ60" i="3"/>
  <c r="F3" i="35"/>
  <c r="B8" i="1"/>
  <c r="E8" i="1" s="1"/>
  <c r="AC21" i="33"/>
  <c r="W21" i="33"/>
  <c r="BL174" i="3"/>
  <c r="AZ174" i="3" s="1"/>
  <c r="BL183" i="3"/>
  <c r="AZ183" i="3" s="1"/>
  <c r="BA190" i="3"/>
  <c r="AZ190" i="3" s="1"/>
  <c r="AZ23" i="3"/>
  <c r="AZ62" i="3"/>
  <c r="AZ73" i="3"/>
  <c r="BL78" i="3"/>
  <c r="AZ98" i="3"/>
  <c r="AC21" i="34"/>
  <c r="W21" i="34"/>
  <c r="D49" i="71"/>
  <c r="C50" i="71"/>
  <c r="Y18" i="71"/>
  <c r="Z18" i="71" s="1"/>
  <c r="Y19" i="71"/>
  <c r="Z19" i="71" s="1"/>
  <c r="Y17" i="71"/>
  <c r="Z17" i="71" s="1"/>
  <c r="Y7" i="71"/>
  <c r="Z7" i="71" s="1"/>
  <c r="Y11" i="71"/>
  <c r="Z11" i="71" s="1"/>
  <c r="AA17" i="71"/>
  <c r="E18" i="71"/>
  <c r="AA18" i="71"/>
  <c r="AA11" i="71"/>
  <c r="AA15" i="71"/>
  <c r="AA3" i="71"/>
  <c r="BL83" i="3"/>
  <c r="AZ83" i="3" s="1"/>
  <c r="BL101" i="3"/>
  <c r="AZ101" i="3" s="1"/>
  <c r="G108" i="3"/>
  <c r="G109" i="3"/>
  <c r="I100" i="43"/>
  <c r="I108" i="43"/>
  <c r="I109" i="43" s="1"/>
  <c r="U18" i="35"/>
  <c r="P60" i="71"/>
  <c r="P59" i="71"/>
  <c r="U66" i="71"/>
  <c r="E65" i="71"/>
  <c r="E64" i="71" s="1"/>
  <c r="U74" i="71"/>
  <c r="E73" i="71"/>
  <c r="E72" i="71" s="1"/>
  <c r="Y20" i="71"/>
  <c r="Z20" i="71" s="1"/>
  <c r="X16" i="71"/>
  <c r="Y12" i="71"/>
  <c r="Z12" i="71" s="1"/>
  <c r="BA75" i="3"/>
  <c r="AZ75" i="3" s="1"/>
  <c r="BA88" i="3"/>
  <c r="AZ88" i="3" s="1"/>
  <c r="BA94" i="3"/>
  <c r="AZ94" i="3" s="1"/>
  <c r="BA103" i="3"/>
  <c r="AZ103" i="3" s="1"/>
  <c r="F40" i="68"/>
  <c r="C21" i="68"/>
  <c r="C40" i="68"/>
  <c r="D69" i="71"/>
  <c r="C68" i="71"/>
  <c r="D68" i="71" s="1"/>
  <c r="T22" i="71"/>
  <c r="D22" i="71"/>
  <c r="U22" i="71" s="1"/>
  <c r="C21" i="71"/>
  <c r="D36" i="71"/>
  <c r="C37" i="71"/>
  <c r="B69" i="71"/>
  <c r="B68" i="71" s="1"/>
  <c r="S70" i="71"/>
  <c r="AA12" i="71"/>
  <c r="BL107" i="3"/>
  <c r="AZ107" i="3" s="1"/>
  <c r="BL108" i="3"/>
  <c r="AZ108" i="3" s="1"/>
  <c r="Y24" i="71"/>
  <c r="Z24" i="71" s="1"/>
  <c r="F41" i="71"/>
  <c r="F42" i="71" s="1"/>
  <c r="V42" i="71" s="1"/>
  <c r="B60" i="71"/>
  <c r="N61" i="71"/>
  <c r="Y16" i="71"/>
  <c r="Z16" i="71" s="1"/>
  <c r="AB5" i="71"/>
  <c r="BL63" i="3"/>
  <c r="AZ63" i="3" s="1"/>
  <c r="BL70" i="3"/>
  <c r="AZ70" i="3" s="1"/>
  <c r="BL86" i="3"/>
  <c r="AZ86" i="3" s="1"/>
  <c r="BA95" i="3"/>
  <c r="AZ95" i="3" s="1"/>
  <c r="BA104" i="3"/>
  <c r="AZ104" i="3" s="1"/>
  <c r="BA109" i="3"/>
  <c r="AZ109" i="3" s="1"/>
  <c r="BL111" i="3"/>
  <c r="AZ111" i="3" s="1"/>
  <c r="BL112" i="3"/>
  <c r="E108" i="43"/>
  <c r="E109" i="43" s="1"/>
  <c r="E100" i="43"/>
  <c r="I10" i="66"/>
  <c r="AA21" i="37"/>
  <c r="S21" i="37"/>
  <c r="C33" i="71"/>
  <c r="D32" i="71"/>
  <c r="X27" i="71"/>
  <c r="X28" i="71"/>
  <c r="X19" i="71"/>
  <c r="X26" i="71"/>
  <c r="X21" i="71"/>
  <c r="X23" i="71"/>
  <c r="X22" i="71"/>
  <c r="C46" i="71"/>
  <c r="D45" i="71"/>
  <c r="F54" i="71"/>
  <c r="V54" i="71" s="1"/>
  <c r="AB19" i="71"/>
  <c r="AB17" i="71"/>
  <c r="AB12" i="71"/>
  <c r="F22" i="71"/>
  <c r="F21" i="71" s="1"/>
  <c r="F20" i="71" s="1"/>
  <c r="AB22" i="71"/>
  <c r="Y22" i="71"/>
  <c r="Z22" i="71" s="1"/>
  <c r="Y26" i="71"/>
  <c r="Z26" i="71" s="1"/>
  <c r="N56" i="9"/>
  <c r="M56" i="9"/>
  <c r="AA20" i="71"/>
  <c r="AB15" i="71"/>
  <c r="AA16" i="71"/>
  <c r="X12" i="71"/>
  <c r="C21" i="69"/>
  <c r="S21" i="33"/>
  <c r="AA21" i="21"/>
  <c r="AA29" i="71"/>
  <c r="AA26" i="71"/>
  <c r="C25" i="71"/>
  <c r="AA25" i="71"/>
  <c r="Y29" i="71"/>
  <c r="Z29" i="71" s="1"/>
  <c r="F61" i="71"/>
  <c r="V62" i="71"/>
  <c r="AJ12" i="43"/>
  <c r="AJ10" i="43"/>
  <c r="AB18" i="71"/>
  <c r="X15" i="71"/>
  <c r="X6" i="71"/>
  <c r="P27" i="6"/>
  <c r="AA22" i="71"/>
  <c r="AB21" i="71"/>
  <c r="D70" i="71"/>
  <c r="C41" i="71"/>
  <c r="D41" i="71" s="1"/>
  <c r="Y21" i="71"/>
  <c r="Z21" i="71" s="1"/>
  <c r="X29" i="71"/>
  <c r="AA27" i="71"/>
  <c r="AB25" i="71"/>
  <c r="AB26" i="71"/>
  <c r="B38" i="71"/>
  <c r="S38" i="71" s="1"/>
  <c r="F73" i="71"/>
  <c r="F72" i="71" s="1"/>
  <c r="AG12" i="43"/>
  <c r="AG10" i="43"/>
  <c r="X8" i="71"/>
  <c r="C80" i="71"/>
  <c r="D80" i="71" s="1"/>
  <c r="AA21" i="71"/>
  <c r="AB20" i="71"/>
  <c r="AB31" i="71"/>
  <c r="X31" i="71"/>
  <c r="B29" i="71"/>
  <c r="B30" i="71" s="1"/>
  <c r="S30" i="71" s="1"/>
  <c r="Y23" i="71"/>
  <c r="Z23" i="71" s="1"/>
  <c r="X24" i="71"/>
  <c r="X20" i="71"/>
  <c r="AA28" i="71"/>
  <c r="C57" i="71"/>
  <c r="B17" i="71"/>
  <c r="B16" i="71" s="1"/>
  <c r="B15" i="71" s="1"/>
  <c r="B14" i="71" s="1"/>
  <c r="F17" i="71"/>
  <c r="F16" i="71" s="1"/>
  <c r="F15" i="71" s="1"/>
  <c r="F14" i="71" s="1"/>
  <c r="F13" i="71" s="1"/>
  <c r="F12" i="71" s="1"/>
  <c r="F11" i="71" s="1"/>
  <c r="Y8" i="71"/>
  <c r="Z8" i="71" s="1"/>
  <c r="Y6" i="71"/>
  <c r="Z6" i="71" s="1"/>
  <c r="Y5" i="71"/>
  <c r="Z5" i="71" s="1"/>
  <c r="C40" i="69"/>
  <c r="C64" i="71"/>
  <c r="D64" i="71" s="1"/>
  <c r="AA19" i="71"/>
  <c r="AB27" i="71"/>
  <c r="AA24" i="71"/>
  <c r="AA23" i="71"/>
  <c r="AB30" i="71"/>
  <c r="AA12" i="43"/>
  <c r="AA13" i="43" s="1"/>
  <c r="AA10" i="43"/>
  <c r="K56" i="9"/>
  <c r="X18" i="71"/>
  <c r="Y15" i="71"/>
  <c r="Z15" i="71" s="1"/>
  <c r="AB11" i="71"/>
  <c r="X7" i="71"/>
  <c r="AA6" i="71"/>
  <c r="X9" i="71"/>
  <c r="X5" i="71"/>
  <c r="AB6" i="71"/>
  <c r="AA9" i="71"/>
  <c r="AA5" i="71"/>
  <c r="AB9" i="71"/>
  <c r="AA7" i="71"/>
  <c r="AB8" i="71"/>
  <c r="F70" i="39"/>
  <c r="G68" i="39"/>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C35" i="43"/>
  <c r="E35" i="43" s="1"/>
  <c r="C36" i="43"/>
  <c r="E36" i="43" s="1"/>
  <c r="T9" i="43"/>
  <c r="V9" i="43" s="1"/>
  <c r="C39" i="43"/>
  <c r="C37" i="43"/>
  <c r="E37" i="43" s="1"/>
  <c r="X10" i="71"/>
  <c r="AB10" i="71"/>
  <c r="T4" i="43"/>
  <c r="V4" i="43" s="1"/>
  <c r="T15" i="43"/>
  <c r="V15" i="43" s="1"/>
  <c r="T6" i="43"/>
  <c r="V6" i="43" s="1"/>
  <c r="Y3" i="71"/>
  <c r="Z3" i="71" s="1"/>
  <c r="F10" i="7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6" i="67"/>
  <c r="C17" i="67"/>
  <c r="C16" i="15"/>
  <c r="AJ13" i="43" l="1"/>
  <c r="L102" i="43"/>
  <c r="U44" i="21"/>
  <c r="AB44" i="21"/>
  <c r="H109" i="43"/>
  <c r="H107" i="43"/>
  <c r="E5" i="6"/>
  <c r="E8" i="6"/>
  <c r="K103" i="43"/>
  <c r="M106" i="43"/>
  <c r="M104" i="43"/>
  <c r="M102" i="43"/>
  <c r="E102" i="43"/>
  <c r="H105" i="43"/>
  <c r="H103" i="43"/>
  <c r="H106" i="43"/>
  <c r="B117" i="43"/>
  <c r="C117" i="43" s="1"/>
  <c r="D116" i="43"/>
  <c r="E116" i="43" s="1"/>
  <c r="F116" i="43" s="1"/>
  <c r="G116" i="43" s="1"/>
  <c r="H116" i="43" s="1"/>
  <c r="K104" i="43"/>
  <c r="N105" i="43"/>
  <c r="N106" i="43"/>
  <c r="N104" i="43"/>
  <c r="N107" i="43"/>
  <c r="I106" i="43"/>
  <c r="I105" i="43"/>
  <c r="I103" i="43"/>
  <c r="I102" i="43"/>
  <c r="I104" i="43"/>
  <c r="I107" i="43"/>
  <c r="H102" i="43"/>
  <c r="M109" i="43"/>
  <c r="M107" i="43"/>
  <c r="D115" i="43"/>
  <c r="E115" i="43" s="1"/>
  <c r="F115" i="43" s="1"/>
  <c r="G115" i="43" s="1"/>
  <c r="H115" i="43" s="1"/>
  <c r="K102" i="43"/>
  <c r="L105" i="43"/>
  <c r="L103" i="43"/>
  <c r="J105" i="43"/>
  <c r="J102" i="43"/>
  <c r="J103" i="43"/>
  <c r="J106" i="43"/>
  <c r="J109" i="43"/>
  <c r="J104" i="43"/>
  <c r="J107" i="43"/>
  <c r="C103" i="43"/>
  <c r="C106" i="43"/>
  <c r="C102" i="43"/>
  <c r="G105" i="43"/>
  <c r="G103" i="43"/>
  <c r="G106" i="43"/>
  <c r="G107" i="43"/>
  <c r="E105" i="43"/>
  <c r="E107" i="43"/>
  <c r="AG13" i="43"/>
  <c r="E106" i="43"/>
  <c r="F103" i="43"/>
  <c r="F107" i="43"/>
  <c r="F105" i="43"/>
  <c r="F102" i="43"/>
  <c r="F109" i="43"/>
  <c r="F104" i="43"/>
  <c r="F106" i="43"/>
  <c r="D109" i="43"/>
  <c r="D105" i="43"/>
  <c r="D107" i="43"/>
  <c r="B115" i="43"/>
  <c r="G118" i="43"/>
  <c r="H118" i="43" s="1"/>
  <c r="I115" i="43"/>
  <c r="J115" i="43" s="1"/>
  <c r="K115" i="43" s="1"/>
  <c r="L115" i="43" s="1"/>
  <c r="M115" i="43" s="1"/>
  <c r="B118" i="43"/>
  <c r="C118" i="43" s="1"/>
  <c r="I117" i="43"/>
  <c r="J117" i="43" s="1"/>
  <c r="K117" i="43" s="1"/>
  <c r="L117" i="43" s="1"/>
  <c r="M117" i="43" s="1"/>
  <c r="C48" i="68"/>
  <c r="C30" i="68"/>
  <c r="H7" i="34"/>
  <c r="F7" i="36"/>
  <c r="J7" i="34"/>
  <c r="W7" i="34" s="1"/>
  <c r="F7" i="34"/>
  <c r="J7" i="37"/>
  <c r="AC7" i="37" s="1"/>
  <c r="V42" i="37" s="1"/>
  <c r="I42" i="37" s="1"/>
  <c r="F45" i="68"/>
  <c r="C29" i="68"/>
  <c r="D27" i="68" s="1"/>
  <c r="H10" i="39"/>
  <c r="U10" i="39" s="1"/>
  <c r="F10" i="40"/>
  <c r="S10" i="40" s="1"/>
  <c r="F10" i="39"/>
  <c r="S10" i="39" s="1"/>
  <c r="F27" i="69"/>
  <c r="F28" i="12"/>
  <c r="C29" i="12" s="1"/>
  <c r="D28" i="12" s="1"/>
  <c r="J10" i="40"/>
  <c r="W10" i="40" s="1"/>
  <c r="J10" i="39"/>
  <c r="AC10" i="39" s="1"/>
  <c r="C47" i="68"/>
  <c r="D45" i="68" s="1"/>
  <c r="F27" i="11"/>
  <c r="C47" i="11" s="1"/>
  <c r="D45" i="11" s="1"/>
  <c r="B13" i="71"/>
  <c r="B12" i="71" s="1"/>
  <c r="B11" i="71" s="1"/>
  <c r="B10" i="71" s="1"/>
  <c r="S14" i="71"/>
  <c r="D25" i="71"/>
  <c r="C26" i="71"/>
  <c r="C34" i="71"/>
  <c r="D33" i="71"/>
  <c r="E17" i="71"/>
  <c r="E16" i="71" s="1"/>
  <c r="E15" i="71" s="1"/>
  <c r="E14" i="71" s="1"/>
  <c r="V18" i="71"/>
  <c r="P8" i="1"/>
  <c r="AB27" i="34"/>
  <c r="U27" i="34"/>
  <c r="AZ497" i="3"/>
  <c r="S33" i="36"/>
  <c r="AA33" i="36"/>
  <c r="AA38" i="37"/>
  <c r="S38" i="37"/>
  <c r="AZ586" i="3"/>
  <c r="AZ581" i="3"/>
  <c r="AA38" i="40"/>
  <c r="S38" i="40"/>
  <c r="AZ551" i="3"/>
  <c r="G36" i="43"/>
  <c r="I36" i="43" s="1"/>
  <c r="H7" i="36"/>
  <c r="U7" i="36" s="1"/>
  <c r="D57" i="71"/>
  <c r="C58" i="71"/>
  <c r="D37" i="71"/>
  <c r="C38" i="71"/>
  <c r="D50" i="71"/>
  <c r="T50" i="71"/>
  <c r="T54" i="71"/>
  <c r="D54" i="71"/>
  <c r="G5" i="3"/>
  <c r="B3" i="3" s="1"/>
  <c r="E41" i="3" s="1"/>
  <c r="AZ267" i="3"/>
  <c r="AZ102" i="3"/>
  <c r="AZ239" i="3"/>
  <c r="S44" i="39"/>
  <c r="AA44" i="39"/>
  <c r="W27" i="34"/>
  <c r="AC27" i="34"/>
  <c r="E11" i="6"/>
  <c r="AC33" i="36"/>
  <c r="W33" i="36"/>
  <c r="F26" i="35"/>
  <c r="S13" i="21"/>
  <c r="AA13" i="21"/>
  <c r="AB9" i="34"/>
  <c r="U9" i="34"/>
  <c r="C30" i="71"/>
  <c r="D29" i="71"/>
  <c r="BL5" i="3"/>
  <c r="U44" i="39"/>
  <c r="AB44" i="39"/>
  <c r="W34" i="35"/>
  <c r="AC34" i="35"/>
  <c r="S13" i="35"/>
  <c r="AA13" i="35"/>
  <c r="W26" i="33"/>
  <c r="AC26" i="33"/>
  <c r="U33" i="36"/>
  <c r="AB33" i="36"/>
  <c r="S39" i="40"/>
  <c r="AA39" i="40"/>
  <c r="AB26" i="35"/>
  <c r="U26" i="35"/>
  <c r="U13" i="21"/>
  <c r="AB13" i="21"/>
  <c r="AC9" i="34"/>
  <c r="W9" i="34"/>
  <c r="G29" i="6"/>
  <c r="G30" i="6" s="1"/>
  <c r="G31" i="6" s="1"/>
  <c r="F60" i="71"/>
  <c r="Q61" i="71"/>
  <c r="T46" i="71"/>
  <c r="D46" i="71"/>
  <c r="I21" i="66"/>
  <c r="D1" i="66" s="1"/>
  <c r="E10" i="66" s="1"/>
  <c r="D21" i="71"/>
  <c r="C20" i="71"/>
  <c r="D20" i="71" s="1"/>
  <c r="AZ130" i="3"/>
  <c r="AA25" i="37"/>
  <c r="S25" i="37"/>
  <c r="U34" i="35"/>
  <c r="AB34" i="35"/>
  <c r="AB13" i="35"/>
  <c r="U13" i="35"/>
  <c r="AB26" i="33"/>
  <c r="U26" i="33"/>
  <c r="AB24" i="35"/>
  <c r="U24" i="35"/>
  <c r="AB39" i="40"/>
  <c r="U39" i="40"/>
  <c r="AC26" i="35"/>
  <c r="W26" i="35"/>
  <c r="BA5" i="3"/>
  <c r="E27" i="6" s="1"/>
  <c r="AA9" i="34"/>
  <c r="S9" i="34"/>
  <c r="AZ229" i="3"/>
  <c r="AZ5" i="3" s="1"/>
  <c r="AZ212" i="3"/>
  <c r="U25" i="37"/>
  <c r="AB25" i="37"/>
  <c r="U12" i="21"/>
  <c r="AB12" i="21"/>
  <c r="AA24" i="36"/>
  <c r="S24" i="36"/>
  <c r="AA23" i="36"/>
  <c r="S23" i="36"/>
  <c r="S34" i="35"/>
  <c r="AA34" i="35"/>
  <c r="AC31" i="34"/>
  <c r="W31" i="34"/>
  <c r="AA26" i="33"/>
  <c r="S26" i="33"/>
  <c r="F29" i="6"/>
  <c r="E29" i="6" s="1"/>
  <c r="K15" i="1" s="1"/>
  <c r="S24" i="35"/>
  <c r="AA24" i="35"/>
  <c r="AC39" i="40"/>
  <c r="W39" i="40"/>
  <c r="AB38" i="40"/>
  <c r="U38" i="40"/>
  <c r="C30" i="11"/>
  <c r="C48" i="11"/>
  <c r="N60" i="71"/>
  <c r="N59" i="71"/>
  <c r="AZ275" i="3"/>
  <c r="AZ481" i="3"/>
  <c r="AZ333" i="3"/>
  <c r="S12" i="21"/>
  <c r="AA12" i="21"/>
  <c r="AC23" i="36"/>
  <c r="W23" i="36"/>
  <c r="S31" i="34"/>
  <c r="AA31" i="34"/>
  <c r="E28" i="6"/>
  <c r="AC24" i="35"/>
  <c r="W24" i="35"/>
  <c r="AB38" i="37"/>
  <c r="U38" i="37"/>
  <c r="AZ585" i="3"/>
  <c r="AC38" i="40"/>
  <c r="W38" i="40"/>
  <c r="E12" i="6"/>
  <c r="E10" i="6"/>
  <c r="E13" i="6"/>
  <c r="E14" i="6"/>
  <c r="E15" i="6"/>
  <c r="C12" i="71"/>
  <c r="D13" i="71"/>
  <c r="F59" i="67"/>
  <c r="G35" i="43"/>
  <c r="I35" i="43" s="1"/>
  <c r="G70" i="39"/>
  <c r="H68" i="39"/>
  <c r="H7" i="37"/>
  <c r="AB7" i="37" s="1"/>
  <c r="T42" i="37" s="1"/>
  <c r="G42" i="37" s="1"/>
  <c r="B40" i="1"/>
  <c r="U10" i="40"/>
  <c r="AB10" i="40"/>
  <c r="H7" i="33"/>
  <c r="J7" i="33"/>
  <c r="D65" i="40"/>
  <c r="E63" i="40"/>
  <c r="F48" i="35"/>
  <c r="S7" i="36"/>
  <c r="AA7" i="36"/>
  <c r="R36" i="36" s="1"/>
  <c r="AB7" i="34"/>
  <c r="T49" i="34" s="1"/>
  <c r="G49" i="34" s="1"/>
  <c r="U7" i="34"/>
  <c r="AA7" i="34"/>
  <c r="R49" i="34" s="1"/>
  <c r="S7" i="34"/>
  <c r="F7" i="33"/>
  <c r="E58" i="21"/>
  <c r="AC7" i="36"/>
  <c r="V36" i="36" s="1"/>
  <c r="I36" i="36" s="1"/>
  <c r="W7" i="36"/>
  <c r="F7" i="37"/>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29" i="11" l="1"/>
  <c r="D27" i="11" s="1"/>
  <c r="D9" i="11"/>
  <c r="C9" i="11" s="1"/>
  <c r="D19" i="12"/>
  <c r="C19" i="12" s="1"/>
  <c r="D9" i="69"/>
  <c r="C9" i="69" s="1"/>
  <c r="D9" i="68"/>
  <c r="C9" i="68" s="1"/>
  <c r="C115" i="43"/>
  <c r="D113" i="43"/>
  <c r="F27" i="6"/>
  <c r="E51" i="40"/>
  <c r="E56" i="39"/>
  <c r="W10" i="39"/>
  <c r="AA10" i="39"/>
  <c r="AC10" i="40"/>
  <c r="AA10" i="40"/>
  <c r="AB7" i="36"/>
  <c r="T36" i="36" s="1"/>
  <c r="G36" i="36" s="1"/>
  <c r="W7" i="37"/>
  <c r="AB10" i="39"/>
  <c r="F30" i="6"/>
  <c r="F31" i="6" s="1"/>
  <c r="E44" i="3"/>
  <c r="E215" i="3"/>
  <c r="F45" i="69"/>
  <c r="C47" i="69"/>
  <c r="D45" i="69" s="1"/>
  <c r="C29" i="69"/>
  <c r="D27" i="69" s="1"/>
  <c r="E56" i="3"/>
  <c r="E51" i="3"/>
  <c r="E108" i="3"/>
  <c r="E279" i="3"/>
  <c r="E227" i="3"/>
  <c r="E208" i="3"/>
  <c r="E3" i="6"/>
  <c r="AY6" i="3"/>
  <c r="E60" i="40"/>
  <c r="E65" i="39"/>
  <c r="K20" i="6"/>
  <c r="M20" i="6" s="1"/>
  <c r="I20" i="6" s="1"/>
  <c r="S20" i="6" s="1"/>
  <c r="K24" i="6"/>
  <c r="M24" i="6" s="1"/>
  <c r="I24" i="6" s="1"/>
  <c r="S24" i="6" s="1"/>
  <c r="E30" i="6"/>
  <c r="E31" i="6" s="1"/>
  <c r="K19" i="6"/>
  <c r="S6" i="1" s="1"/>
  <c r="K23" i="6"/>
  <c r="M23" i="6" s="1"/>
  <c r="I23" i="6" s="1"/>
  <c r="S23" i="6" s="1"/>
  <c r="K14" i="1"/>
  <c r="K22" i="6"/>
  <c r="M22" i="6" s="1"/>
  <c r="I22" i="6" s="1"/>
  <c r="S22" i="6" s="1"/>
  <c r="K25" i="6"/>
  <c r="M25" i="6" s="1"/>
  <c r="I25" i="6" s="1"/>
  <c r="S25" i="6" s="1"/>
  <c r="K26" i="6"/>
  <c r="M26" i="6" s="1"/>
  <c r="I26" i="6" s="1"/>
  <c r="S26" i="6" s="1"/>
  <c r="K21" i="6"/>
  <c r="M21" i="6" s="1"/>
  <c r="I21" i="6" s="1"/>
  <c r="S21" i="6" s="1"/>
  <c r="E485" i="3"/>
  <c r="E489" i="3"/>
  <c r="E225" i="3"/>
  <c r="D34" i="71"/>
  <c r="T34" i="71"/>
  <c r="E64" i="39"/>
  <c r="E59" i="40"/>
  <c r="E56" i="40"/>
  <c r="E61" i="39"/>
  <c r="E112" i="3"/>
  <c r="T26" i="71"/>
  <c r="D26" i="71"/>
  <c r="E63" i="39"/>
  <c r="E58" i="40"/>
  <c r="E164" i="3"/>
  <c r="E277" i="3"/>
  <c r="E242" i="3"/>
  <c r="E203" i="3"/>
  <c r="Q59" i="71"/>
  <c r="Q60" i="71"/>
  <c r="E16" i="6"/>
  <c r="E263" i="3"/>
  <c r="E63" i="3"/>
  <c r="E481" i="3"/>
  <c r="E162" i="3"/>
  <c r="E587" i="3"/>
  <c r="T30" i="71"/>
  <c r="D30" i="71"/>
  <c r="T38" i="71"/>
  <c r="D38" i="71"/>
  <c r="AA26" i="35"/>
  <c r="S26" i="35"/>
  <c r="E526" i="3"/>
  <c r="E343" i="3"/>
  <c r="E282" i="3"/>
  <c r="E426" i="3"/>
  <c r="AJ6" i="3"/>
  <c r="E261" i="3"/>
  <c r="E530" i="3"/>
  <c r="E395" i="3"/>
  <c r="E260" i="3"/>
  <c r="N6" i="3"/>
  <c r="E302" i="3"/>
  <c r="E329" i="3"/>
  <c r="E583" i="3"/>
  <c r="E567" i="3"/>
  <c r="E399" i="3"/>
  <c r="E352" i="3"/>
  <c r="E246" i="3"/>
  <c r="E270" i="3"/>
  <c r="E358" i="3"/>
  <c r="S6" i="3"/>
  <c r="E570" i="3"/>
  <c r="E561" i="3"/>
  <c r="V6" i="3"/>
  <c r="E418" i="3"/>
  <c r="E387" i="3"/>
  <c r="E380" i="3"/>
  <c r="E294" i="3"/>
  <c r="E298" i="3"/>
  <c r="E189" i="3"/>
  <c r="E185" i="3"/>
  <c r="E254" i="3"/>
  <c r="E290" i="3"/>
  <c r="E180" i="3"/>
  <c r="E149" i="3"/>
  <c r="E252" i="3"/>
  <c r="E253" i="3"/>
  <c r="E145" i="3"/>
  <c r="E141" i="3"/>
  <c r="E313" i="3"/>
  <c r="E393" i="3"/>
  <c r="K6" i="3"/>
  <c r="E534" i="3"/>
  <c r="E573" i="3"/>
  <c r="E543" i="3"/>
  <c r="E437" i="3"/>
  <c r="E237" i="3"/>
  <c r="E366" i="3"/>
  <c r="E553" i="3"/>
  <c r="E305" i="3"/>
  <c r="E508" i="3"/>
  <c r="E114" i="3"/>
  <c r="E415" i="3"/>
  <c r="E183" i="3"/>
  <c r="E361" i="3"/>
  <c r="E503" i="3"/>
  <c r="E347" i="3"/>
  <c r="E555" i="3"/>
  <c r="E510" i="3"/>
  <c r="E396" i="3"/>
  <c r="E229" i="3"/>
  <c r="E293" i="3"/>
  <c r="E314" i="3"/>
  <c r="E511" i="3"/>
  <c r="E523" i="3"/>
  <c r="E586" i="3"/>
  <c r="AB6" i="3"/>
  <c r="E453" i="3"/>
  <c r="E368" i="3"/>
  <c r="E231" i="3"/>
  <c r="E245" i="3"/>
  <c r="E130" i="3"/>
  <c r="E236" i="3"/>
  <c r="E269" i="3"/>
  <c r="E117" i="3"/>
  <c r="E120" i="3"/>
  <c r="E212" i="3"/>
  <c r="E197" i="3"/>
  <c r="E286" i="3"/>
  <c r="E575" i="3"/>
  <c r="E493" i="3"/>
  <c r="U6" i="3"/>
  <c r="E421" i="3"/>
  <c r="E456" i="3"/>
  <c r="E474" i="3"/>
  <c r="E507" i="3"/>
  <c r="E406" i="3"/>
  <c r="E408" i="3"/>
  <c r="E457" i="3"/>
  <c r="E490" i="3"/>
  <c r="E344" i="3"/>
  <c r="E556" i="3"/>
  <c r="W6" i="3"/>
  <c r="J6" i="3"/>
  <c r="E577" i="3"/>
  <c r="E494" i="3"/>
  <c r="E450" i="3"/>
  <c r="E483" i="3"/>
  <c r="E420" i="3"/>
  <c r="E475" i="3"/>
  <c r="E40" i="3"/>
  <c r="E106" i="3"/>
  <c r="E111" i="3"/>
  <c r="E178" i="3"/>
  <c r="E214" i="3"/>
  <c r="E243" i="3"/>
  <c r="E351" i="3"/>
  <c r="E346" i="3"/>
  <c r="E394" i="3"/>
  <c r="E356" i="3"/>
  <c r="E14" i="3"/>
  <c r="L6" i="3"/>
  <c r="E74" i="3"/>
  <c r="E94" i="3"/>
  <c r="E75" i="3"/>
  <c r="E428" i="3"/>
  <c r="E15" i="3"/>
  <c r="E18" i="3"/>
  <c r="E38" i="3"/>
  <c r="E129" i="3"/>
  <c r="E137" i="3"/>
  <c r="E220" i="3"/>
  <c r="E219" i="3"/>
  <c r="E324" i="3"/>
  <c r="E325" i="3"/>
  <c r="E522" i="3"/>
  <c r="E52" i="3"/>
  <c r="E34" i="3"/>
  <c r="E123" i="3"/>
  <c r="E232" i="3"/>
  <c r="E340" i="3"/>
  <c r="AF6" i="3"/>
  <c r="E20" i="3"/>
  <c r="E113" i="3"/>
  <c r="E218" i="3"/>
  <c r="E308" i="3"/>
  <c r="E524" i="3"/>
  <c r="E83" i="3"/>
  <c r="E175" i="3"/>
  <c r="E528" i="3"/>
  <c r="E322" i="3"/>
  <c r="E535" i="3"/>
  <c r="E509" i="3"/>
  <c r="AA6" i="3"/>
  <c r="E410" i="3"/>
  <c r="E337" i="3"/>
  <c r="E205" i="3"/>
  <c r="E151" i="3"/>
  <c r="E385" i="3"/>
  <c r="E559" i="3"/>
  <c r="E16" i="3"/>
  <c r="E506" i="3"/>
  <c r="E402" i="3"/>
  <c r="E350" i="3"/>
  <c r="E335" i="3"/>
  <c r="E244" i="3"/>
  <c r="E216" i="3"/>
  <c r="E191" i="3"/>
  <c r="E188" i="3"/>
  <c r="E221" i="3"/>
  <c r="E89" i="3"/>
  <c r="E207" i="3"/>
  <c r="E167" i="3"/>
  <c r="E173" i="3"/>
  <c r="E327" i="3"/>
  <c r="E519" i="3"/>
  <c r="E499" i="3"/>
  <c r="E564" i="3"/>
  <c r="E515" i="3"/>
  <c r="E411" i="3"/>
  <c r="E464" i="3"/>
  <c r="E541" i="3"/>
  <c r="E414" i="3"/>
  <c r="E416" i="3"/>
  <c r="E443" i="3"/>
  <c r="E255" i="3"/>
  <c r="E367" i="3"/>
  <c r="E566" i="3"/>
  <c r="E554" i="3"/>
  <c r="AS6" i="3"/>
  <c r="E413" i="3"/>
  <c r="E444" i="3"/>
  <c r="E491" i="3"/>
  <c r="E546" i="3"/>
  <c r="E436" i="3"/>
  <c r="E28" i="3"/>
  <c r="E27" i="3"/>
  <c r="E57" i="3"/>
  <c r="E121" i="3"/>
  <c r="E152" i="3"/>
  <c r="E126" i="3"/>
  <c r="E155" i="3"/>
  <c r="E211" i="3"/>
  <c r="E258" i="3"/>
  <c r="E210" i="3"/>
  <c r="E259" i="3"/>
  <c r="E316" i="3"/>
  <c r="E363" i="3"/>
  <c r="E317" i="3"/>
  <c r="E375" i="3"/>
  <c r="E572" i="3"/>
  <c r="E544" i="3"/>
  <c r="E110" i="3"/>
  <c r="E480" i="3"/>
  <c r="E462" i="3"/>
  <c r="E425" i="3"/>
  <c r="E47" i="3"/>
  <c r="E46" i="3"/>
  <c r="E138" i="3"/>
  <c r="E142" i="3"/>
  <c r="E248" i="3"/>
  <c r="E249" i="3"/>
  <c r="E307" i="3"/>
  <c r="E310" i="3"/>
  <c r="E584" i="3"/>
  <c r="E84" i="3"/>
  <c r="E48" i="3"/>
  <c r="E144" i="3"/>
  <c r="E250" i="3"/>
  <c r="E355" i="3"/>
  <c r="Y6" i="3"/>
  <c r="E154" i="3"/>
  <c r="E264" i="3"/>
  <c r="E323" i="3"/>
  <c r="E513" i="3"/>
  <c r="E69" i="3"/>
  <c r="E501" i="3"/>
  <c r="E17" i="3"/>
  <c r="E53" i="3"/>
  <c r="E565" i="3"/>
  <c r="E550" i="3"/>
  <c r="E239" i="3"/>
  <c r="E579" i="3"/>
  <c r="E359" i="3"/>
  <c r="E143" i="3"/>
  <c r="E397" i="3"/>
  <c r="E514" i="3"/>
  <c r="E551" i="3"/>
  <c r="E538" i="3"/>
  <c r="E338" i="3"/>
  <c r="E296" i="3"/>
  <c r="E196" i="3"/>
  <c r="E99" i="3"/>
  <c r="E181" i="3"/>
  <c r="E223" i="3"/>
  <c r="E116" i="3"/>
  <c r="E525" i="3"/>
  <c r="Q6" i="3"/>
  <c r="E529" i="3"/>
  <c r="E448" i="3"/>
  <c r="E487" i="3"/>
  <c r="E398" i="3"/>
  <c r="E432" i="3"/>
  <c r="E477" i="3"/>
  <c r="I3" i="6"/>
  <c r="AP6" i="3"/>
  <c r="E581" i="3"/>
  <c r="E531" i="3"/>
  <c r="E460" i="3"/>
  <c r="E520" i="3"/>
  <c r="E447" i="3"/>
  <c r="E71" i="3"/>
  <c r="E37" i="3"/>
  <c r="E95" i="3"/>
  <c r="E182" i="3"/>
  <c r="E166" i="3"/>
  <c r="E240" i="3"/>
  <c r="E297" i="3"/>
  <c r="E291" i="3"/>
  <c r="E331" i="3"/>
  <c r="E349" i="3"/>
  <c r="E389" i="3"/>
  <c r="E30" i="3"/>
  <c r="E540" i="3"/>
  <c r="E521" i="3"/>
  <c r="E64" i="3"/>
  <c r="E103" i="3"/>
  <c r="E163" i="3"/>
  <c r="E209" i="3"/>
  <c r="E371" i="3"/>
  <c r="E492" i="3"/>
  <c r="E24" i="3"/>
  <c r="E87" i="3"/>
  <c r="E233" i="3"/>
  <c r="E381" i="3"/>
  <c r="E19" i="3"/>
  <c r="E179" i="3"/>
  <c r="E309" i="3"/>
  <c r="E21" i="3"/>
  <c r="E217" i="3"/>
  <c r="E172" i="3"/>
  <c r="E328" i="3"/>
  <c r="E388" i="3"/>
  <c r="E574" i="3"/>
  <c r="E336" i="3"/>
  <c r="E124" i="3"/>
  <c r="E311" i="3"/>
  <c r="E495" i="3"/>
  <c r="AI6" i="3"/>
  <c r="E549" i="3"/>
  <c r="E306" i="3"/>
  <c r="E159" i="3"/>
  <c r="E61" i="3"/>
  <c r="E161" i="3"/>
  <c r="E271" i="3"/>
  <c r="E199" i="3"/>
  <c r="E369" i="3"/>
  <c r="AD6" i="3"/>
  <c r="R6" i="3"/>
  <c r="AO6" i="3"/>
  <c r="E472" i="3"/>
  <c r="E422" i="3"/>
  <c r="E440" i="3"/>
  <c r="E288" i="3"/>
  <c r="E562" i="3"/>
  <c r="E497" i="3"/>
  <c r="E13" i="3"/>
  <c r="E429" i="3"/>
  <c r="E468" i="3"/>
  <c r="E401" i="3"/>
  <c r="E463" i="3"/>
  <c r="E72" i="3"/>
  <c r="E54" i="3"/>
  <c r="E115" i="3"/>
  <c r="E198" i="3"/>
  <c r="E171" i="3"/>
  <c r="E256" i="3"/>
  <c r="E226" i="3"/>
  <c r="E276" i="3"/>
  <c r="E357" i="3"/>
  <c r="E318" i="3"/>
  <c r="AL6" i="3"/>
  <c r="E42" i="3"/>
  <c r="E32" i="3"/>
  <c r="E409" i="3"/>
  <c r="E412" i="3"/>
  <c r="E96" i="3"/>
  <c r="E170" i="3"/>
  <c r="E194" i="3"/>
  <c r="E235" i="3"/>
  <c r="E383" i="3"/>
  <c r="AQ6" i="3"/>
  <c r="E36" i="3"/>
  <c r="E206" i="3"/>
  <c r="E251" i="3"/>
  <c r="E50" i="3"/>
  <c r="E62" i="3"/>
  <c r="E287" i="3"/>
  <c r="E326" i="3"/>
  <c r="E278" i="3"/>
  <c r="E153" i="3"/>
  <c r="E539" i="3"/>
  <c r="X6" i="3"/>
  <c r="E280" i="3"/>
  <c r="E201" i="3"/>
  <c r="E353" i="3"/>
  <c r="E518" i="3"/>
  <c r="E536" i="3"/>
  <c r="E434" i="3"/>
  <c r="E320" i="3"/>
  <c r="E169" i="3"/>
  <c r="E135" i="3"/>
  <c r="E122" i="3"/>
  <c r="E140" i="3"/>
  <c r="E238" i="3"/>
  <c r="E193" i="3"/>
  <c r="E312" i="3"/>
  <c r="E585" i="3"/>
  <c r="AG6" i="3"/>
  <c r="E405" i="3"/>
  <c r="E478" i="3"/>
  <c r="E548" i="3"/>
  <c r="E430" i="3"/>
  <c r="E449" i="3"/>
  <c r="E345" i="3"/>
  <c r="E500" i="3"/>
  <c r="E582" i="3"/>
  <c r="E403" i="3"/>
  <c r="E476" i="3"/>
  <c r="E417" i="3"/>
  <c r="E479" i="3"/>
  <c r="E88" i="3"/>
  <c r="E70" i="3"/>
  <c r="E131" i="3"/>
  <c r="E187" i="3"/>
  <c r="E186" i="3"/>
  <c r="E272" i="3"/>
  <c r="E241" i="3"/>
  <c r="E292" i="3"/>
  <c r="E377" i="3"/>
  <c r="E334" i="3"/>
  <c r="E504" i="3"/>
  <c r="E58" i="3"/>
  <c r="E29" i="3"/>
  <c r="E441" i="3"/>
  <c r="E446" i="3"/>
  <c r="E98" i="3"/>
  <c r="E160" i="3"/>
  <c r="E200" i="3"/>
  <c r="E266" i="3"/>
  <c r="E386" i="3"/>
  <c r="E23" i="3"/>
  <c r="E67" i="3"/>
  <c r="E127" i="3"/>
  <c r="E284" i="3"/>
  <c r="E68" i="3"/>
  <c r="E81" i="3"/>
  <c r="E222" i="3"/>
  <c r="E373" i="3"/>
  <c r="E304" i="3"/>
  <c r="E213" i="3"/>
  <c r="O6" i="3"/>
  <c r="E569" i="3"/>
  <c r="E247" i="3"/>
  <c r="E97" i="3"/>
  <c r="E390" i="3"/>
  <c r="AR6" i="3"/>
  <c r="M6" i="3"/>
  <c r="E407" i="3"/>
  <c r="E382" i="3"/>
  <c r="E301" i="3"/>
  <c r="E136" i="3"/>
  <c r="E148" i="3"/>
  <c r="E157" i="3"/>
  <c r="E85" i="3"/>
  <c r="E224" i="3"/>
  <c r="E133" i="3"/>
  <c r="E330" i="3"/>
  <c r="E532" i="3"/>
  <c r="T6" i="3"/>
  <c r="E427" i="3"/>
  <c r="E486" i="3"/>
  <c r="E527" i="3"/>
  <c r="E438" i="3"/>
  <c r="E451" i="3"/>
  <c r="E360" i="3"/>
  <c r="AE6" i="3"/>
  <c r="E498" i="3"/>
  <c r="E419" i="3"/>
  <c r="E471" i="3"/>
  <c r="E433" i="3"/>
  <c r="E26" i="3"/>
  <c r="E104" i="3"/>
  <c r="E73" i="3"/>
  <c r="E146" i="3"/>
  <c r="E119" i="3"/>
  <c r="E202" i="3"/>
  <c r="E257" i="3"/>
  <c r="E332" i="3"/>
  <c r="E391" i="3"/>
  <c r="E362" i="3"/>
  <c r="E580" i="3"/>
  <c r="E60" i="3"/>
  <c r="E43" i="3"/>
  <c r="E473" i="3"/>
  <c r="E455" i="3"/>
  <c r="E78" i="3"/>
  <c r="E190" i="3"/>
  <c r="E234" i="3"/>
  <c r="E299" i="3"/>
  <c r="E342" i="3"/>
  <c r="E35" i="3"/>
  <c r="E147" i="3"/>
  <c r="E370" i="3"/>
  <c r="E102" i="3"/>
  <c r="E176" i="3"/>
  <c r="E265" i="3"/>
  <c r="E22" i="3"/>
  <c r="E285" i="3"/>
  <c r="E568" i="3"/>
  <c r="E439" i="3"/>
  <c r="E134" i="3"/>
  <c r="E105" i="3"/>
  <c r="E502" i="3"/>
  <c r="E512" i="3"/>
  <c r="E376" i="3"/>
  <c r="E537" i="3"/>
  <c r="E454" i="3"/>
  <c r="E315" i="3"/>
  <c r="E31" i="3"/>
  <c r="E482" i="3"/>
  <c r="E174" i="3"/>
  <c r="E392" i="3"/>
  <c r="E289" i="3"/>
  <c r="E158" i="3"/>
  <c r="P6" i="3"/>
  <c r="E404" i="3"/>
  <c r="E348" i="3"/>
  <c r="E354" i="3"/>
  <c r="E563" i="3"/>
  <c r="E516" i="3"/>
  <c r="E128" i="3"/>
  <c r="I6" i="3"/>
  <c r="E303" i="3"/>
  <c r="E91" i="3"/>
  <c r="E77" i="3"/>
  <c r="E379" i="3"/>
  <c r="E442" i="3"/>
  <c r="E400" i="3"/>
  <c r="E505" i="3"/>
  <c r="E435" i="3"/>
  <c r="E39" i="3"/>
  <c r="E295" i="3"/>
  <c r="E378" i="3"/>
  <c r="E76" i="3"/>
  <c r="E467" i="3"/>
  <c r="E267" i="3"/>
  <c r="E66" i="3"/>
  <c r="E341" i="3"/>
  <c r="E283" i="3"/>
  <c r="E423" i="3"/>
  <c r="E107" i="3"/>
  <c r="E374" i="3"/>
  <c r="E192" i="3"/>
  <c r="E184" i="3"/>
  <c r="E445" i="3"/>
  <c r="E545" i="3"/>
  <c r="AN6" i="3"/>
  <c r="E321" i="3"/>
  <c r="E228" i="3"/>
  <c r="E45" i="3"/>
  <c r="E576" i="3"/>
  <c r="E458" i="3"/>
  <c r="E424" i="3"/>
  <c r="AH6" i="3"/>
  <c r="E452" i="3"/>
  <c r="E55" i="3"/>
  <c r="E168" i="3"/>
  <c r="E281" i="3"/>
  <c r="E333" i="3"/>
  <c r="E93" i="3"/>
  <c r="E79" i="3"/>
  <c r="E275" i="3"/>
  <c r="E364" i="3"/>
  <c r="E365" i="3"/>
  <c r="E156" i="3"/>
  <c r="E92" i="3"/>
  <c r="AM6" i="3"/>
  <c r="E195" i="3"/>
  <c r="E118" i="3"/>
  <c r="E431" i="3"/>
  <c r="AK6" i="3"/>
  <c r="E262" i="3"/>
  <c r="E204" i="3"/>
  <c r="Z6" i="3"/>
  <c r="E466" i="3"/>
  <c r="E459" i="3"/>
  <c r="E547" i="3"/>
  <c r="E90" i="3"/>
  <c r="E132" i="3"/>
  <c r="E273" i="3"/>
  <c r="E384" i="3"/>
  <c r="E59" i="3"/>
  <c r="E65" i="3"/>
  <c r="E300" i="3"/>
  <c r="E33" i="3"/>
  <c r="E82" i="3"/>
  <c r="E533" i="3"/>
  <c r="E517" i="3"/>
  <c r="E484" i="3"/>
  <c r="E461" i="3"/>
  <c r="E578" i="3"/>
  <c r="E230" i="3"/>
  <c r="E177" i="3"/>
  <c r="E542" i="3"/>
  <c r="E469" i="3"/>
  <c r="E465" i="3"/>
  <c r="E571" i="3"/>
  <c r="E470" i="3"/>
  <c r="E25" i="3"/>
  <c r="E150" i="3"/>
  <c r="E274" i="3"/>
  <c r="E372" i="3"/>
  <c r="E488" i="3"/>
  <c r="E100" i="3"/>
  <c r="E339" i="3"/>
  <c r="E49" i="3"/>
  <c r="E80" i="3"/>
  <c r="E101" i="3"/>
  <c r="E496" i="3"/>
  <c r="E558" i="3"/>
  <c r="E557" i="3"/>
  <c r="E165" i="3"/>
  <c r="E319" i="3"/>
  <c r="E560" i="3"/>
  <c r="E125" i="3"/>
  <c r="E13" i="71"/>
  <c r="E12" i="71" s="1"/>
  <c r="E11" i="71" s="1"/>
  <c r="E10" i="71" s="1"/>
  <c r="V14" i="71"/>
  <c r="B9" i="71"/>
  <c r="B8" i="71" s="1"/>
  <c r="B7" i="71" s="1"/>
  <c r="B6" i="71" s="1"/>
  <c r="B5" i="71" s="1"/>
  <c r="S10" i="71"/>
  <c r="E57" i="40"/>
  <c r="E62" i="39"/>
  <c r="U7" i="37"/>
  <c r="C11" i="71"/>
  <c r="D12" i="71"/>
  <c r="E268" i="3"/>
  <c r="E109" i="3"/>
  <c r="E139" i="3"/>
  <c r="E86" i="3"/>
  <c r="T58" i="71"/>
  <c r="D58" i="71"/>
  <c r="E552"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C17" i="15"/>
  <c r="F69" i="15" l="1"/>
  <c r="J29" i="15"/>
  <c r="AQ6" i="1"/>
  <c r="E6" i="70"/>
  <c r="E2" i="70" s="1"/>
  <c r="T6" i="1"/>
  <c r="AR6" i="1"/>
  <c r="S16" i="1"/>
  <c r="AC6" i="3"/>
  <c r="H6" i="3"/>
  <c r="E6" i="3" s="1"/>
  <c r="E66" i="39"/>
  <c r="M14" i="1"/>
  <c r="K16" i="1"/>
  <c r="C34" i="69"/>
  <c r="M19" i="6"/>
  <c r="K27" i="6"/>
  <c r="AY103" i="3"/>
  <c r="AY82" i="3"/>
  <c r="AY196" i="3"/>
  <c r="AY171" i="3"/>
  <c r="AY289" i="3"/>
  <c r="AY31" i="3"/>
  <c r="AY123" i="3"/>
  <c r="AY75" i="3"/>
  <c r="AY284" i="3"/>
  <c r="AY220" i="3"/>
  <c r="AY363" i="3"/>
  <c r="AY334" i="3"/>
  <c r="AY455" i="3"/>
  <c r="AY425" i="3"/>
  <c r="AY43" i="3"/>
  <c r="AY269" i="3"/>
  <c r="AY212" i="3"/>
  <c r="AY355" i="3"/>
  <c r="AY326" i="3"/>
  <c r="AY447" i="3"/>
  <c r="AY417" i="3"/>
  <c r="AY562" i="3"/>
  <c r="AY540" i="3"/>
  <c r="AY555" i="3"/>
  <c r="AY100" i="3"/>
  <c r="AY53" i="3"/>
  <c r="AY87" i="3"/>
  <c r="AY66" i="3"/>
  <c r="AY207" i="3"/>
  <c r="AY155" i="3"/>
  <c r="AY95" i="3"/>
  <c r="AY188" i="3"/>
  <c r="AY281" i="3"/>
  <c r="AY58" i="3"/>
  <c r="AY253" i="3"/>
  <c r="AY225" i="3"/>
  <c r="AY366" i="3"/>
  <c r="AY318" i="3"/>
  <c r="AY460" i="3"/>
  <c r="AY409" i="3"/>
  <c r="AY26" i="3"/>
  <c r="AY245" i="3"/>
  <c r="AY217" i="3"/>
  <c r="AY358" i="3"/>
  <c r="AY310" i="3"/>
  <c r="AY452" i="3"/>
  <c r="AY401" i="3"/>
  <c r="BK6" i="3"/>
  <c r="AY533" i="3"/>
  <c r="AY553" i="3"/>
  <c r="AY92" i="3"/>
  <c r="AY45" i="3"/>
  <c r="AY44" i="3"/>
  <c r="AY206" i="3"/>
  <c r="AY185" i="3"/>
  <c r="AY138" i="3"/>
  <c r="AY133" i="3"/>
  <c r="AY299" i="3"/>
  <c r="AY278" i="3"/>
  <c r="AY231" i="3"/>
  <c r="AY230" i="3"/>
  <c r="AY392" i="3"/>
  <c r="AY374" i="3"/>
  <c r="AY554" i="3"/>
  <c r="AY109" i="3"/>
  <c r="AY41" i="3"/>
  <c r="AY202" i="3"/>
  <c r="AY177" i="3"/>
  <c r="AY295" i="3"/>
  <c r="AY274" i="3"/>
  <c r="AY388" i="3"/>
  <c r="AY349" i="3"/>
  <c r="AY348" i="3"/>
  <c r="AY491" i="3"/>
  <c r="AY472" i="3"/>
  <c r="AY446" i="3"/>
  <c r="AY398" i="3"/>
  <c r="AY581" i="3"/>
  <c r="AY585" i="3"/>
  <c r="BF6" i="3"/>
  <c r="AY495" i="3"/>
  <c r="AY16" i="3"/>
  <c r="AY494" i="3"/>
  <c r="AY519" i="3"/>
  <c r="AY65" i="3"/>
  <c r="AY37" i="3"/>
  <c r="AY158" i="3"/>
  <c r="AY129" i="3"/>
  <c r="AY251" i="3"/>
  <c r="AY223" i="3"/>
  <c r="AY364" i="3"/>
  <c r="AY313" i="3"/>
  <c r="AY312" i="3"/>
  <c r="AY484" i="3"/>
  <c r="AY458" i="3"/>
  <c r="AY410" i="3"/>
  <c r="AY407" i="3"/>
  <c r="AY499" i="3"/>
  <c r="AY524" i="3"/>
  <c r="AY509" i="3"/>
  <c r="AY570" i="3"/>
  <c r="BA6" i="3"/>
  <c r="AY63" i="3"/>
  <c r="AY35" i="3"/>
  <c r="AY156" i="3"/>
  <c r="AY127" i="3"/>
  <c r="AY249" i="3"/>
  <c r="AY221" i="3"/>
  <c r="AY362" i="3"/>
  <c r="AY314" i="3"/>
  <c r="AY456" i="3"/>
  <c r="AY405" i="3"/>
  <c r="AY560" i="3"/>
  <c r="AY587" i="3"/>
  <c r="AY55" i="3"/>
  <c r="AY27" i="3"/>
  <c r="AY148" i="3"/>
  <c r="AY119" i="3"/>
  <c r="AY241" i="3"/>
  <c r="AY213" i="3"/>
  <c r="AY354" i="3"/>
  <c r="AY306" i="3"/>
  <c r="AY448" i="3"/>
  <c r="AY550" i="3"/>
  <c r="AY511" i="3"/>
  <c r="AY98" i="3"/>
  <c r="AY18" i="3"/>
  <c r="AY139" i="3"/>
  <c r="AY74" i="3"/>
  <c r="AY292" i="3"/>
  <c r="AY147" i="3"/>
  <c r="AY209" i="3"/>
  <c r="AY319" i="3"/>
  <c r="AY444" i="3"/>
  <c r="AY526" i="3"/>
  <c r="AY229" i="3"/>
  <c r="AY379" i="3"/>
  <c r="AY481" i="3"/>
  <c r="AY404" i="3"/>
  <c r="AY573" i="3"/>
  <c r="AY539" i="3"/>
  <c r="AY85" i="3"/>
  <c r="AY68" i="3"/>
  <c r="AY33" i="3"/>
  <c r="AY193" i="3"/>
  <c r="AY173" i="3"/>
  <c r="AY118" i="3"/>
  <c r="AY302" i="3"/>
  <c r="AY247" i="3"/>
  <c r="AY238" i="3"/>
  <c r="AY384" i="3"/>
  <c r="AY357" i="3"/>
  <c r="BI6" i="3"/>
  <c r="AY73" i="3"/>
  <c r="AY29" i="3"/>
  <c r="AY161" i="3"/>
  <c r="AY290" i="3"/>
  <c r="AY226" i="3"/>
  <c r="AY353" i="3"/>
  <c r="AY309" i="3"/>
  <c r="AY483" i="3"/>
  <c r="AY457" i="3"/>
  <c r="AY422" i="3"/>
  <c r="AY411" i="3"/>
  <c r="AY580" i="3"/>
  <c r="AY536" i="3"/>
  <c r="AY510" i="3"/>
  <c r="AY508" i="3"/>
  <c r="AY582" i="3"/>
  <c r="AY81" i="3"/>
  <c r="AY21" i="3"/>
  <c r="AY169" i="3"/>
  <c r="AY298" i="3"/>
  <c r="AY234" i="3"/>
  <c r="AY361" i="3"/>
  <c r="AY305" i="3"/>
  <c r="AY487" i="3"/>
  <c r="AY461" i="3"/>
  <c r="AY426" i="3"/>
  <c r="AY415" i="3"/>
  <c r="AY538" i="3"/>
  <c r="AY502" i="3"/>
  <c r="AY530" i="3"/>
  <c r="AY578" i="3"/>
  <c r="AY79" i="3"/>
  <c r="AY19" i="3"/>
  <c r="AY167" i="3"/>
  <c r="AY296" i="3"/>
  <c r="AY232" i="3"/>
  <c r="AY359" i="3"/>
  <c r="AY485" i="3"/>
  <c r="AY424" i="3"/>
  <c r="AY13" i="3"/>
  <c r="BL6" i="3"/>
  <c r="AY71" i="3"/>
  <c r="AY200" i="3"/>
  <c r="AY159" i="3"/>
  <c r="AY288" i="3"/>
  <c r="AY224" i="3"/>
  <c r="AY351" i="3"/>
  <c r="AY477" i="3"/>
  <c r="AY416" i="3"/>
  <c r="AY15" i="3"/>
  <c r="AY586" i="3"/>
  <c r="AY83" i="3"/>
  <c r="AY23" i="3"/>
  <c r="AY124" i="3"/>
  <c r="AY42" i="3"/>
  <c r="AY276" i="3"/>
  <c r="AY297" i="3"/>
  <c r="AY382" i="3"/>
  <c r="AY303" i="3"/>
  <c r="AY428" i="3"/>
  <c r="AY106" i="3"/>
  <c r="AY260" i="3"/>
  <c r="AY372" i="3"/>
  <c r="AY465" i="3"/>
  <c r="AY433" i="3"/>
  <c r="AY544" i="3"/>
  <c r="BE6" i="3"/>
  <c r="AY77" i="3"/>
  <c r="AY60" i="3"/>
  <c r="AY25" i="3"/>
  <c r="AY178" i="3"/>
  <c r="AY165" i="3"/>
  <c r="AY134" i="3"/>
  <c r="AY294" i="3"/>
  <c r="AY239" i="3"/>
  <c r="AY222" i="3"/>
  <c r="AY397" i="3"/>
  <c r="AY368" i="3"/>
  <c r="BJ6" i="3"/>
  <c r="AY57" i="3"/>
  <c r="AY186" i="3"/>
  <c r="AY145" i="3"/>
  <c r="AY275" i="3"/>
  <c r="AY210" i="3"/>
  <c r="AY356" i="3"/>
  <c r="AY340" i="3"/>
  <c r="AY475" i="3"/>
  <c r="AY449" i="3"/>
  <c r="AY414" i="3"/>
  <c r="AY403" i="3"/>
  <c r="AY516" i="3"/>
  <c r="AY571" i="3"/>
  <c r="AY552" i="3"/>
  <c r="AY584" i="3"/>
  <c r="AY577" i="3"/>
  <c r="AY49" i="3"/>
  <c r="AY194" i="3"/>
  <c r="AY153" i="3"/>
  <c r="AY282" i="3"/>
  <c r="AY218" i="3"/>
  <c r="AY352" i="3"/>
  <c r="AY344" i="3"/>
  <c r="AY479" i="3"/>
  <c r="AY453" i="3"/>
  <c r="AY418" i="3"/>
  <c r="AY399" i="3"/>
  <c r="AY14" i="3"/>
  <c r="AY515" i="3"/>
  <c r="BR6" i="3"/>
  <c r="AY563" i="3"/>
  <c r="AY47" i="3"/>
  <c r="AY192" i="3"/>
  <c r="AY151" i="3"/>
  <c r="AY280" i="3"/>
  <c r="AY216" i="3"/>
  <c r="AY347" i="3"/>
  <c r="AY469" i="3"/>
  <c r="AY408" i="3"/>
  <c r="AY517" i="3"/>
  <c r="AY576" i="3"/>
  <c r="AY39" i="3"/>
  <c r="AY184" i="3"/>
  <c r="AY143" i="3"/>
  <c r="AY273" i="3"/>
  <c r="AY208" i="3"/>
  <c r="AY339" i="3"/>
  <c r="AY490" i="3"/>
  <c r="AY400" i="3"/>
  <c r="BC6" i="3"/>
  <c r="AY567" i="3"/>
  <c r="AY67" i="3"/>
  <c r="AY191" i="3"/>
  <c r="AY132" i="3"/>
  <c r="AY183" i="3"/>
  <c r="AY261" i="3"/>
  <c r="AY237" i="3"/>
  <c r="AY387" i="3"/>
  <c r="AY489" i="3"/>
  <c r="AY412" i="3"/>
  <c r="AY199" i="3"/>
  <c r="AY244" i="3"/>
  <c r="AY343" i="3"/>
  <c r="AY478" i="3"/>
  <c r="AY535" i="3"/>
  <c r="AY574" i="3"/>
  <c r="AY105" i="3"/>
  <c r="AY69" i="3"/>
  <c r="AY52" i="3"/>
  <c r="AY198" i="3"/>
  <c r="AY170" i="3"/>
  <c r="AY157" i="3"/>
  <c r="AY125" i="3"/>
  <c r="AY286" i="3"/>
  <c r="AY270" i="3"/>
  <c r="AY214" i="3"/>
  <c r="AY389" i="3"/>
  <c r="AY360" i="3"/>
  <c r="BB6" i="3"/>
  <c r="AY72" i="3"/>
  <c r="AY197" i="3"/>
  <c r="AY130" i="3"/>
  <c r="AY259" i="3"/>
  <c r="AY215" i="3"/>
  <c r="AY341" i="3"/>
  <c r="AY332" i="3"/>
  <c r="AY467" i="3"/>
  <c r="AY462" i="3"/>
  <c r="AY406" i="3"/>
  <c r="AY503" i="3"/>
  <c r="AY561" i="3"/>
  <c r="AY527" i="3"/>
  <c r="BG6" i="3"/>
  <c r="AY532" i="3"/>
  <c r="AY523" i="3"/>
  <c r="AY80" i="3"/>
  <c r="AY205" i="3"/>
  <c r="AY137" i="3"/>
  <c r="AY267" i="3"/>
  <c r="AY396" i="3"/>
  <c r="AY345" i="3"/>
  <c r="AY336" i="3"/>
  <c r="AY471" i="3"/>
  <c r="AY445" i="3"/>
  <c r="AY402" i="3"/>
  <c r="AY579" i="3"/>
  <c r="AY564" i="3"/>
  <c r="AY565" i="3"/>
  <c r="AY545" i="3"/>
  <c r="AY493" i="3"/>
  <c r="AY78" i="3"/>
  <c r="AY203" i="3"/>
  <c r="AY135" i="3"/>
  <c r="AY265" i="3"/>
  <c r="AY51" i="3"/>
  <c r="AY176" i="3"/>
  <c r="AY115" i="3"/>
  <c r="AY152" i="3"/>
  <c r="AY111" i="3"/>
  <c r="AY268" i="3"/>
  <c r="AY371" i="3"/>
  <c r="AY473" i="3"/>
  <c r="AY441" i="3"/>
  <c r="AY180" i="3"/>
  <c r="AY228" i="3"/>
  <c r="AY327" i="3"/>
  <c r="AY463" i="3"/>
  <c r="AY513" i="3"/>
  <c r="AY569" i="3"/>
  <c r="AY97" i="3"/>
  <c r="AY61" i="3"/>
  <c r="AY36" i="3"/>
  <c r="AY190" i="3"/>
  <c r="AY162" i="3"/>
  <c r="AY149" i="3"/>
  <c r="AY117" i="3"/>
  <c r="AY271" i="3"/>
  <c r="AY262" i="3"/>
  <c r="AY227" i="3"/>
  <c r="AY381" i="3"/>
  <c r="BS6" i="3"/>
  <c r="AY93" i="3"/>
  <c r="AY56" i="3"/>
  <c r="AY181" i="3"/>
  <c r="AY114" i="3"/>
  <c r="AY243" i="3"/>
  <c r="AY393" i="3"/>
  <c r="AY333" i="3"/>
  <c r="AY324" i="3"/>
  <c r="AY488" i="3"/>
  <c r="AY454" i="3"/>
  <c r="AY435" i="3"/>
  <c r="BQ6" i="3"/>
  <c r="AY572" i="3"/>
  <c r="AY546" i="3"/>
  <c r="AY559" i="3"/>
  <c r="AY556" i="3"/>
  <c r="AY101" i="3"/>
  <c r="AY64" i="3"/>
  <c r="AY189" i="3"/>
  <c r="AY122" i="3"/>
  <c r="AY235" i="3"/>
  <c r="AY380" i="3"/>
  <c r="AY337" i="3"/>
  <c r="AY328" i="3"/>
  <c r="AY492" i="3"/>
  <c r="AY450" i="3"/>
  <c r="AY439" i="3"/>
  <c r="AY505" i="3"/>
  <c r="D3" i="6"/>
  <c r="AY537" i="3"/>
  <c r="AY548" i="3"/>
  <c r="AY99" i="3"/>
  <c r="AY62" i="3"/>
  <c r="AY187" i="3"/>
  <c r="AY120" i="3"/>
  <c r="AY233" i="3"/>
  <c r="AY378" i="3"/>
  <c r="AY315" i="3"/>
  <c r="AY466" i="3"/>
  <c r="AY421" i="3"/>
  <c r="AY528" i="3"/>
  <c r="AY91" i="3"/>
  <c r="AY54" i="3"/>
  <c r="AY179" i="3"/>
  <c r="AY136" i="3"/>
  <c r="AY272" i="3"/>
  <c r="AY391" i="3"/>
  <c r="AY307" i="3"/>
  <c r="AY459" i="3"/>
  <c r="AY413" i="3"/>
  <c r="AY583" i="3"/>
  <c r="AY144" i="3"/>
  <c r="AY168" i="3"/>
  <c r="AY470" i="3"/>
  <c r="AY395" i="3"/>
  <c r="AY549" i="3"/>
  <c r="AY76" i="3"/>
  <c r="AY146" i="3"/>
  <c r="AY255" i="3"/>
  <c r="AY365" i="3"/>
  <c r="AY24" i="3"/>
  <c r="AY242" i="3"/>
  <c r="AY308" i="3"/>
  <c r="AY419" i="3"/>
  <c r="AY518" i="3"/>
  <c r="AY96" i="3"/>
  <c r="AY287" i="3"/>
  <c r="AY321" i="3"/>
  <c r="AY434" i="3"/>
  <c r="AY575" i="3"/>
  <c r="AY94" i="3"/>
  <c r="AY285" i="3"/>
  <c r="AY331" i="3"/>
  <c r="AY437" i="3"/>
  <c r="AY107" i="3"/>
  <c r="AY195" i="3"/>
  <c r="AY257" i="3"/>
  <c r="AY323" i="3"/>
  <c r="AY429" i="3"/>
  <c r="AY498" i="3"/>
  <c r="AY204" i="3"/>
  <c r="AY390" i="3"/>
  <c r="AY84" i="3"/>
  <c r="AY373" i="3"/>
  <c r="AY316" i="3"/>
  <c r="AY112" i="3"/>
  <c r="AY329" i="3"/>
  <c r="AY522" i="3"/>
  <c r="AY376" i="3"/>
  <c r="AY22" i="3"/>
  <c r="AY432" i="3"/>
  <c r="AY90" i="3"/>
  <c r="AY252" i="3"/>
  <c r="AY497" i="3"/>
  <c r="AY311" i="3"/>
  <c r="BO6" i="3"/>
  <c r="AY28" i="3"/>
  <c r="AY141" i="3"/>
  <c r="AY254" i="3"/>
  <c r="AY507" i="3"/>
  <c r="AY166" i="3"/>
  <c r="AY377" i="3"/>
  <c r="AY480" i="3"/>
  <c r="AY525" i="3"/>
  <c r="AY543" i="3"/>
  <c r="AY48" i="3"/>
  <c r="AY266" i="3"/>
  <c r="AY320" i="3"/>
  <c r="AY431" i="3"/>
  <c r="AY551" i="3"/>
  <c r="AY46" i="3"/>
  <c r="AY264" i="3"/>
  <c r="AY346" i="3"/>
  <c r="AY500" i="3"/>
  <c r="AY102" i="3"/>
  <c r="AY164" i="3"/>
  <c r="AY256" i="3"/>
  <c r="AY338" i="3"/>
  <c r="AY521" i="3"/>
  <c r="AY258" i="3"/>
  <c r="AY440" i="3"/>
  <c r="AY59" i="3"/>
  <c r="AY236" i="3"/>
  <c r="AY529" i="3"/>
  <c r="AY342" i="3"/>
  <c r="AY541" i="3"/>
  <c r="AY20" i="3"/>
  <c r="AY126" i="3"/>
  <c r="AY246" i="3"/>
  <c r="BH6" i="3"/>
  <c r="AY150" i="3"/>
  <c r="AY370" i="3"/>
  <c r="AY464" i="3"/>
  <c r="BM6" i="3"/>
  <c r="AY501" i="3"/>
  <c r="AY32" i="3"/>
  <c r="AY250" i="3"/>
  <c r="AY304" i="3"/>
  <c r="AY423" i="3"/>
  <c r="AY542" i="3"/>
  <c r="AY30" i="3"/>
  <c r="AY248" i="3"/>
  <c r="AY330" i="3"/>
  <c r="AY558" i="3"/>
  <c r="AY86" i="3"/>
  <c r="AY175" i="3"/>
  <c r="AY240" i="3"/>
  <c r="AY322" i="3"/>
  <c r="BD6" i="3"/>
  <c r="AY160" i="3"/>
  <c r="AY486" i="3"/>
  <c r="AY557" i="3"/>
  <c r="AY154" i="3"/>
  <c r="AY40" i="3"/>
  <c r="AY427" i="3"/>
  <c r="AY113" i="3"/>
  <c r="AY442" i="3"/>
  <c r="AY301" i="3"/>
  <c r="AY568" i="3"/>
  <c r="AY277" i="3"/>
  <c r="BT6" i="3"/>
  <c r="AY50" i="3"/>
  <c r="AY163" i="3"/>
  <c r="AY350" i="3"/>
  <c r="AY116" i="3"/>
  <c r="AY436" i="3"/>
  <c r="AY89" i="3"/>
  <c r="AY182" i="3"/>
  <c r="AY291" i="3"/>
  <c r="AY219" i="3"/>
  <c r="AY104" i="3"/>
  <c r="AY121" i="3"/>
  <c r="AY325" i="3"/>
  <c r="AY438" i="3"/>
  <c r="AY534" i="3"/>
  <c r="AY514" i="3"/>
  <c r="AY174" i="3"/>
  <c r="AY385" i="3"/>
  <c r="AY476" i="3"/>
  <c r="AY506" i="3"/>
  <c r="AY531" i="3"/>
  <c r="AY172" i="3"/>
  <c r="AY394" i="3"/>
  <c r="AY482" i="3"/>
  <c r="AY547" i="3"/>
  <c r="AY70" i="3"/>
  <c r="AY128" i="3"/>
  <c r="AY386" i="3"/>
  <c r="AY474" i="3"/>
  <c r="AY566" i="3"/>
  <c r="AY263" i="3"/>
  <c r="AY520" i="3"/>
  <c r="AY110" i="3"/>
  <c r="AY367" i="3"/>
  <c r="AY34" i="3"/>
  <c r="AY131" i="3"/>
  <c r="AY335" i="3"/>
  <c r="AY300" i="3"/>
  <c r="AY420" i="3"/>
  <c r="AY108" i="3"/>
  <c r="AY201" i="3"/>
  <c r="AY283" i="3"/>
  <c r="AY211" i="3"/>
  <c r="AY88" i="3"/>
  <c r="AY279" i="3"/>
  <c r="AY317" i="3"/>
  <c r="AY430" i="3"/>
  <c r="BN6" i="3"/>
  <c r="AY496" i="3"/>
  <c r="AY142" i="3"/>
  <c r="AY369" i="3"/>
  <c r="AY468" i="3"/>
  <c r="AY17" i="3"/>
  <c r="BP6" i="3"/>
  <c r="AY140" i="3"/>
  <c r="AY383" i="3"/>
  <c r="AY451" i="3"/>
  <c r="AY512" i="3"/>
  <c r="AY38" i="3"/>
  <c r="AY293" i="3"/>
  <c r="AY375" i="3"/>
  <c r="AY443" i="3"/>
  <c r="AY504" i="3"/>
  <c r="D11" i="71"/>
  <c r="C10" i="71"/>
  <c r="E9" i="71"/>
  <c r="E8" i="71" s="1"/>
  <c r="E7" i="71" s="1"/>
  <c r="E6" i="71" s="1"/>
  <c r="E5" i="71" s="1"/>
  <c r="V10" i="71"/>
  <c r="D3" i="33"/>
  <c r="E6" i="6"/>
  <c r="D37" i="11"/>
  <c r="C37" i="11" s="1"/>
  <c r="D19" i="11"/>
  <c r="C19" i="11" s="1"/>
  <c r="C24" i="11" s="1"/>
  <c r="L18" i="9"/>
  <c r="D14" i="12"/>
  <c r="D3" i="37"/>
  <c r="D3" i="34"/>
  <c r="C17" i="4"/>
  <c r="B4" i="52" s="1"/>
  <c r="B43" i="72" s="1"/>
  <c r="D3" i="21"/>
  <c r="M18" i="9"/>
  <c r="B118" i="9" s="1"/>
  <c r="B14" i="74" s="1"/>
  <c r="B1" i="74"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C14" i="15"/>
  <c r="B6" i="76"/>
  <c r="C15" i="15" l="1"/>
  <c r="C18" i="15"/>
  <c r="M19" i="9"/>
  <c r="C118" i="9" s="1"/>
  <c r="C14" i="74" s="1"/>
  <c r="B2" i="74" s="1"/>
  <c r="C18" i="4"/>
  <c r="D14" i="6"/>
  <c r="D12" i="6"/>
  <c r="D28" i="6"/>
  <c r="H23" i="6"/>
  <c r="D22" i="6"/>
  <c r="D20" i="6"/>
  <c r="D9" i="6"/>
  <c r="D29" i="6"/>
  <c r="H21" i="6"/>
  <c r="D25" i="6"/>
  <c r="D21" i="6"/>
  <c r="D10" i="6"/>
  <c r="H25" i="6"/>
  <c r="H24" i="6"/>
  <c r="D23" i="6"/>
  <c r="D11" i="6"/>
  <c r="H26" i="6"/>
  <c r="H22" i="6"/>
  <c r="D24" i="6"/>
  <c r="R24" i="6" s="1"/>
  <c r="D13" i="6"/>
  <c r="D8" i="6"/>
  <c r="D19" i="6"/>
  <c r="L19" i="9"/>
  <c r="D26" i="6"/>
  <c r="E61" i="40"/>
  <c r="D6" i="6"/>
  <c r="H20" i="6"/>
  <c r="D15" i="6"/>
  <c r="D5" i="6"/>
  <c r="B2" i="34"/>
  <c r="B3" i="34" s="1"/>
  <c r="C20" i="11"/>
  <c r="C25" i="11" s="1"/>
  <c r="C22" i="11" s="1"/>
  <c r="C9" i="71"/>
  <c r="T10" i="71"/>
  <c r="D10" i="71"/>
  <c r="U10" i="71" s="1"/>
  <c r="C35" i="69"/>
  <c r="C38" i="69"/>
  <c r="D10" i="11"/>
  <c r="C10" i="11" s="1"/>
  <c r="D20" i="12"/>
  <c r="C20" i="12" s="1"/>
  <c r="C18" i="12" s="1"/>
  <c r="D10" i="69"/>
  <c r="D10" i="68"/>
  <c r="O14" i="1"/>
  <c r="O16" i="1" s="1"/>
  <c r="T16" i="1"/>
  <c r="M16" i="1"/>
  <c r="D17" i="12"/>
  <c r="C17" i="12" s="1"/>
  <c r="C14" i="12"/>
  <c r="C7" i="74"/>
  <c r="M27" i="6"/>
  <c r="I19" i="6"/>
  <c r="H19" i="6"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36" i="67"/>
  <c r="C33" i="67"/>
  <c r="C31" i="67" s="1"/>
  <c r="J14" i="67"/>
  <c r="C13" i="67"/>
  <c r="J19" i="67"/>
  <c r="J17" i="67" s="1"/>
  <c r="C57" i="67"/>
  <c r="Q49" i="67"/>
  <c r="J59" i="67"/>
  <c r="J60" i="67" s="1"/>
  <c r="H27" i="6" l="1"/>
  <c r="C19" i="15"/>
  <c r="C20" i="15" s="1"/>
  <c r="C26" i="15" s="1"/>
  <c r="D30" i="6"/>
  <c r="R20" i="6"/>
  <c r="D16" i="6"/>
  <c r="R23" i="6"/>
  <c r="R26" i="6"/>
  <c r="C10" i="69"/>
  <c r="C8" i="69" s="1"/>
  <c r="C5" i="69" s="1"/>
  <c r="D19" i="69"/>
  <c r="A7" i="51"/>
  <c r="B7" i="72" s="1"/>
  <c r="A10" i="51"/>
  <c r="B9" i="72" s="1"/>
  <c r="C4" i="52"/>
  <c r="B45" i="72" s="1"/>
  <c r="I27" i="6"/>
  <c r="S19" i="6"/>
  <c r="S27" i="6" s="1"/>
  <c r="C34" i="11"/>
  <c r="N16" i="1"/>
  <c r="L16" i="1"/>
  <c r="C34" i="68"/>
  <c r="D9" i="71"/>
  <c r="C8" i="71"/>
  <c r="D27" i="6"/>
  <c r="D31" i="6" s="1"/>
  <c r="R19" i="6"/>
  <c r="R21" i="6"/>
  <c r="R22" i="6"/>
  <c r="D7" i="74"/>
  <c r="P14" i="1"/>
  <c r="P16" i="1" s="1"/>
  <c r="C11" i="12" s="1"/>
  <c r="C28" i="11"/>
  <c r="C27" i="11" s="1"/>
  <c r="C31" i="11" s="1"/>
  <c r="R25" i="6"/>
  <c r="C10" i="68"/>
  <c r="D19" i="68"/>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L51" i="67"/>
  <c r="C23" i="15" l="1"/>
  <c r="C29" i="15" s="1"/>
  <c r="Q49" i="15" s="1"/>
  <c r="R27" i="6"/>
  <c r="R6" i="1"/>
  <c r="J7" i="21"/>
  <c r="W7" i="21" s="1"/>
  <c r="F7" i="21"/>
  <c r="F50" i="69"/>
  <c r="F50" i="11"/>
  <c r="F50" i="68"/>
  <c r="C15" i="12"/>
  <c r="C12" i="12"/>
  <c r="I6" i="6"/>
  <c r="I5" i="6"/>
  <c r="C19" i="68"/>
  <c r="D37" i="68"/>
  <c r="C37" i="68" s="1"/>
  <c r="C38" i="11"/>
  <c r="C35" i="11"/>
  <c r="C38" i="68"/>
  <c r="C35" i="68"/>
  <c r="C19" i="69"/>
  <c r="C24" i="69" s="1"/>
  <c r="D37" i="69"/>
  <c r="C37" i="69" s="1"/>
  <c r="C33" i="69" s="1"/>
  <c r="D8" i="71"/>
  <c r="C7" i="71"/>
  <c r="C23" i="69"/>
  <c r="L70" i="39"/>
  <c r="M68" i="39"/>
  <c r="U7" i="21"/>
  <c r="AB7" i="21"/>
  <c r="T48" i="21" s="1"/>
  <c r="G48" i="21" s="1"/>
  <c r="S7" i="21"/>
  <c r="AA7" i="21"/>
  <c r="R48" i="21" s="1"/>
  <c r="J63" i="40"/>
  <c r="I65" i="40"/>
  <c r="K48" i="35"/>
  <c r="L48" i="35" s="1"/>
  <c r="M48" i="35" s="1"/>
  <c r="N48" i="35" s="1"/>
  <c r="O48" i="35" s="1"/>
  <c r="H7" i="35" s="1"/>
  <c r="J7" i="35"/>
  <c r="J16" i="67"/>
  <c r="J25" i="67" s="1"/>
  <c r="C80" i="67"/>
  <c r="C79" i="67" s="1"/>
  <c r="C58" i="67"/>
  <c r="C67" i="67" s="1"/>
  <c r="C68" i="67" s="1"/>
  <c r="Q69" i="67"/>
  <c r="Q68" i="67" s="1"/>
  <c r="C40" i="67"/>
  <c r="F35" i="15"/>
  <c r="M21" i="15"/>
  <c r="C13" i="15" l="1"/>
  <c r="C75" i="15" s="1"/>
  <c r="C57" i="15"/>
  <c r="C64" i="15" s="1"/>
  <c r="C36" i="15"/>
  <c r="J19" i="15"/>
  <c r="J14" i="15"/>
  <c r="J13" i="15" s="1"/>
  <c r="J23" i="15" s="1"/>
  <c r="J20" i="15"/>
  <c r="C34" i="15"/>
  <c r="C31" i="15" s="1"/>
  <c r="F63" i="15"/>
  <c r="C62" i="15" s="1"/>
  <c r="R16" i="1"/>
  <c r="AC7" i="21"/>
  <c r="V48" i="21" s="1"/>
  <c r="I48" i="21" s="1"/>
  <c r="I52" i="21" s="1"/>
  <c r="J52" i="21" s="1"/>
  <c r="C33" i="11"/>
  <c r="C39" i="11" s="1"/>
  <c r="C16" i="12"/>
  <c r="C21" i="12" s="1"/>
  <c r="C22" i="12" s="1"/>
  <c r="C20" i="69"/>
  <c r="C28" i="69" s="1"/>
  <c r="C27" i="69" s="1"/>
  <c r="C6" i="71"/>
  <c r="D7" i="71"/>
  <c r="C39" i="69"/>
  <c r="C43" i="69" s="1"/>
  <c r="C42" i="69"/>
  <c r="C33" i="68"/>
  <c r="C20" i="68"/>
  <c r="C25" i="68" s="1"/>
  <c r="C24" i="68"/>
  <c r="M70" i="39"/>
  <c r="N68" i="39"/>
  <c r="W7" i="35"/>
  <c r="AC7" i="35"/>
  <c r="V38" i="35" s="1"/>
  <c r="I38" i="35" s="1"/>
  <c r="J65" i="40"/>
  <c r="K63" i="40"/>
  <c r="U7" i="35"/>
  <c r="AB7" i="35"/>
  <c r="T38" i="35" s="1"/>
  <c r="G38" i="35" s="1"/>
  <c r="R49" i="21"/>
  <c r="E48" i="21"/>
  <c r="G52" i="21"/>
  <c r="H52" i="21" s="1"/>
  <c r="F7" i="35"/>
  <c r="Q67" i="67"/>
  <c r="L57" i="67"/>
  <c r="L60" i="67" s="1"/>
  <c r="C45" i="67"/>
  <c r="C46" i="67" s="1"/>
  <c r="C71" i="67"/>
  <c r="C43" i="67"/>
  <c r="D2" i="67"/>
  <c r="Q47" i="67"/>
  <c r="Q53" i="67" s="1"/>
  <c r="Q56" i="67"/>
  <c r="Q65" i="67"/>
  <c r="C83" i="67"/>
  <c r="C82" i="67" s="1"/>
  <c r="Q70" i="15" l="1"/>
  <c r="C37" i="15"/>
  <c r="C30" i="15" s="1"/>
  <c r="C39" i="15" s="1"/>
  <c r="C40" i="15" s="1"/>
  <c r="C56" i="15"/>
  <c r="C65" i="15" s="1"/>
  <c r="J22" i="15"/>
  <c r="C61" i="15"/>
  <c r="C59" i="15" s="1"/>
  <c r="J17" i="15"/>
  <c r="J16" i="15" s="1"/>
  <c r="J25" i="15" s="1"/>
  <c r="G53" i="21"/>
  <c r="H53" i="21" s="1"/>
  <c r="C42" i="11"/>
  <c r="C28" i="68"/>
  <c r="C27" i="68" s="1"/>
  <c r="C27" i="12"/>
  <c r="C25" i="12" s="1"/>
  <c r="C30" i="12"/>
  <c r="C28" i="12" s="1"/>
  <c r="C41" i="69"/>
  <c r="C25" i="69"/>
  <c r="C22" i="69" s="1"/>
  <c r="C31" i="69" s="1"/>
  <c r="C46" i="69"/>
  <c r="C45" i="69" s="1"/>
  <c r="C22" i="68"/>
  <c r="C46" i="11"/>
  <c r="C45" i="11" s="1"/>
  <c r="C43" i="11"/>
  <c r="C39" i="68"/>
  <c r="C42" i="68"/>
  <c r="C5" i="71"/>
  <c r="D6" i="7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C58" i="15" l="1"/>
  <c r="C67" i="15" s="1"/>
  <c r="C68" i="15" s="1"/>
  <c r="C71" i="15" s="1"/>
  <c r="C80" i="15"/>
  <c r="C79" i="15" s="1"/>
  <c r="Q67" i="15"/>
  <c r="L57" i="15"/>
  <c r="L60" i="15" s="1"/>
  <c r="L46" i="15" s="1"/>
  <c r="B2" i="15" s="1"/>
  <c r="Q69" i="15"/>
  <c r="Q68" i="15" s="1"/>
  <c r="C43" i="15"/>
  <c r="Q47" i="15"/>
  <c r="Q53" i="15" s="1"/>
  <c r="Q56" i="15"/>
  <c r="C83" i="15"/>
  <c r="C82" i="15" s="1"/>
  <c r="Q65" i="15"/>
  <c r="C102" i="9"/>
  <c r="C21" i="9"/>
  <c r="B3" i="21"/>
  <c r="C31" i="68"/>
  <c r="C41" i="11"/>
  <c r="C49" i="11" s="1"/>
  <c r="C51" i="11" s="1"/>
  <c r="C52" i="11" s="1"/>
  <c r="B2" i="11" s="1"/>
  <c r="B3" i="11" s="1"/>
  <c r="C49" i="69"/>
  <c r="C51" i="69" s="1"/>
  <c r="C52" i="69" s="1"/>
  <c r="B2" i="69" s="1"/>
  <c r="B3" i="69" s="1"/>
  <c r="C32" i="12"/>
  <c r="B2" i="12" s="1"/>
  <c r="B3" i="12" s="1"/>
  <c r="C46" i="68"/>
  <c r="C45" i="68" s="1"/>
  <c r="C43" i="68"/>
  <c r="C41" i="68" s="1"/>
  <c r="D5" i="71"/>
  <c r="M20" i="43"/>
  <c r="H7" i="39"/>
  <c r="J7" i="39"/>
  <c r="AA7" i="39"/>
  <c r="R47" i="39" s="1"/>
  <c r="S7" i="39"/>
  <c r="R39" i="35"/>
  <c r="E38" i="35"/>
  <c r="M63" i="40"/>
  <c r="L65" i="40"/>
  <c r="AO6" i="1"/>
  <c r="D19" i="9"/>
  <c r="C20" i="9"/>
  <c r="C46" i="15" l="1"/>
  <c r="Q57" i="15"/>
  <c r="Q62" i="15" s="1"/>
  <c r="Q66" i="15"/>
  <c r="Q75" i="15" s="1"/>
  <c r="D102" i="9"/>
  <c r="D21" i="9"/>
  <c r="D22" i="9"/>
  <c r="G19" i="9"/>
  <c r="B6" i="70"/>
  <c r="B2" i="70" s="1"/>
  <c r="B3" i="70" s="1"/>
  <c r="B3" i="15"/>
  <c r="C103" i="9"/>
  <c r="C49" i="68"/>
  <c r="C51" i="68" s="1"/>
  <c r="C52" i="68" s="1"/>
  <c r="B2" i="68" s="1"/>
  <c r="B3" i="68" s="1"/>
  <c r="C57" i="69"/>
  <c r="C56" i="69" s="1"/>
  <c r="C56" i="11"/>
  <c r="C57" i="11" s="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35" i="9"/>
  <c r="D34" i="9"/>
  <c r="G21" i="9" l="1"/>
  <c r="D103" i="9"/>
  <c r="G20" i="9"/>
  <c r="C32" i="9" s="1"/>
  <c r="C35" i="9" s="1"/>
  <c r="C34" i="9" s="1"/>
  <c r="C57" i="68"/>
  <c r="C56" i="68"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I118" i="9" l="1"/>
  <c r="H102" i="9" s="1"/>
  <c r="D7" i="53" s="1"/>
  <c r="B21" i="72" s="1"/>
  <c r="G118" i="9"/>
  <c r="G4" i="52" s="1"/>
  <c r="B52" i="72" s="1"/>
  <c r="D119" i="9"/>
  <c r="D5" i="52" s="1"/>
  <c r="B49" i="72" s="1"/>
  <c r="F4" i="52"/>
  <c r="B51" i="72" s="1"/>
  <c r="H101" i="9"/>
  <c r="C104" i="9"/>
  <c r="D14" i="74"/>
  <c r="H119" i="9"/>
  <c r="H5" i="52" s="1"/>
  <c r="I4" i="52" l="1"/>
  <c r="C105" i="9"/>
  <c r="E118" i="9"/>
  <c r="E4" i="52" s="1"/>
  <c r="B48" i="72" s="1"/>
  <c r="D45" i="9"/>
  <c r="D5" i="53"/>
  <c r="M48" i="9"/>
  <c r="H107" i="9"/>
  <c r="M49" i="9" s="1"/>
  <c r="E14" i="74"/>
  <c r="B5" i="74"/>
  <c r="F14" i="74"/>
  <c r="L64" i="9" l="1"/>
  <c r="M64" i="9" s="1"/>
  <c r="L66" i="9"/>
  <c r="M66" i="9" s="1"/>
  <c r="L63" i="9"/>
  <c r="M63" i="9" s="1"/>
  <c r="L65" i="9"/>
  <c r="M65" i="9" s="1"/>
  <c r="L67" i="9"/>
  <c r="M67" i="9" s="1"/>
  <c r="L68" i="9"/>
  <c r="M68" i="9" s="1"/>
  <c r="H108" i="9"/>
  <c r="D15" i="53" s="1"/>
  <c r="B31" i="72" s="1"/>
  <c r="D13" i="53"/>
  <c r="D122" i="9"/>
  <c r="C5" i="74"/>
  <c r="D5" i="74"/>
  <c r="B20" i="72"/>
  <c r="D6" i="53"/>
  <c r="B22" i="72" s="1"/>
  <c r="C64" i="9"/>
  <c r="C63" i="9" s="1"/>
  <c r="C67" i="9" s="1"/>
  <c r="D52" i="9"/>
  <c r="C78" i="9"/>
  <c r="C73" i="9" s="1"/>
  <c r="C72" i="9"/>
  <c r="D55" i="9"/>
  <c r="M53" i="9" s="1"/>
  <c r="C85" i="9"/>
  <c r="D53" i="9"/>
  <c r="C93" i="9"/>
  <c r="C86" i="9" s="1"/>
  <c r="M69" i="9" l="1"/>
  <c r="N69" i="9" s="1"/>
  <c r="C79" i="9"/>
  <c r="C80" i="9" s="1"/>
  <c r="E80" i="9" s="1"/>
  <c r="E81" i="9" s="1"/>
  <c r="C95" i="9"/>
  <c r="C96" i="9" s="1"/>
  <c r="E96" i="9" s="1"/>
  <c r="E97" i="9" s="1"/>
  <c r="D59" i="9"/>
  <c r="M55" i="9" s="1"/>
  <c r="C68" i="9"/>
  <c r="D54" i="9" s="1"/>
  <c r="D48" i="9" s="1"/>
  <c r="M52" i="9" s="1"/>
  <c r="D14" i="53"/>
  <c r="B32" i="72" s="1"/>
  <c r="B30" i="72"/>
  <c r="D8" i="52"/>
  <c r="G14" i="74"/>
  <c r="B6" i="74" s="1"/>
  <c r="D123" i="9"/>
  <c r="D9" i="52" s="1"/>
  <c r="C97" i="9" l="1"/>
  <c r="C81" i="9"/>
  <c r="K81" i="9" s="1"/>
  <c r="L81" i="9" s="1"/>
  <c r="D6" i="74"/>
  <c r="C6" i="74"/>
  <c r="D58" i="9" l="1"/>
  <c r="D56" i="9" s="1"/>
  <c r="M54" i="9" s="1"/>
  <c r="N57" i="9" l="1"/>
  <c r="P57" i="9" s="1"/>
  <c r="G22" i="9"/>
  <c r="G23" i="9" s="1"/>
  <c r="N59" i="9" l="1"/>
  <c r="N58" i="9"/>
  <c r="N60" i="9"/>
  <c r="H111" i="9"/>
  <c r="N61" i="9"/>
  <c r="H112" i="9" s="1"/>
  <c r="D21" i="53" s="1"/>
  <c r="B39" i="72" s="1"/>
  <c r="D126" i="9" l="1"/>
  <c r="D19" i="53"/>
  <c r="D20" i="53" l="1"/>
  <c r="B40" i="72" s="1"/>
  <c r="B38" i="72"/>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<sst xmlns="http://schemas.openxmlformats.org/spreadsheetml/2006/main" count="7973" uniqueCount="3095">
  <si>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</si>
  <si>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</si>
  <si>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</si>
  <si>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</si>
  <si>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</si>
  <si>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</si>
  <si>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</si>
  <si>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</si>
  <si>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</si>
  <si>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</si>
  <si>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</si>
  <si>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</si>
  <si>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</si>
  <si>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</si>
  <si>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</si>
  <si>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</si>
  <si>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</si>
  <si>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</si>
  <si>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</si>
  <si>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</si>
  <si>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</si>
  <si>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</si>
  <si>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</si>
  <si>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</si>
  <si>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</si>
  <si>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</si>
  <si>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</si>
  <si>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</si>
  <si>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</si>
  <si>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</si>
  <si>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</si>
  <si>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</si>
  <si>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</si>
  <si>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</si>
  <si>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</si>
  <si>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</si>
  <si>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</si>
  <si>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</si>
  <si>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</si>
  <si>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</si>
  <si>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</si>
  <si>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</si>
  <si>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</si>
  <si>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</si>
  <si>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</si>
  <si>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</si>
  <si>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</si>
  <si>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</si>
  <si>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</si>
  <si>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</si>
  <si>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</si>
  <si>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</si>
  <si>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</si>
  <si>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</si>
  <si>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</si>
  <si>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</si>
  <si>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</si>
  <si>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</si>
  <si>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</si>
  <si>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</si>
  <si>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</si>
  <si>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</si>
  <si>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</si>
  <si>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</si>
  <si>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</si>
  <si>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</si>
  <si>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</si>
  <si>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</si>
  <si>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</si>
  <si>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</si>
  <si>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</si>
  <si>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</si>
  <si>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</si>
  <si>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</si>
  <si>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</si>
  <si>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</si>
  <si>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</si>
  <si>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</si>
  <si>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</si>
  <si>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</si>
  <si>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</si>
  <si>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</si>
  <si>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</si>
  <si>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</si>
  <si>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</si>
  <si>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</si>
  <si>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</si>
  <si>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</si>
  <si>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</si>
  <si>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</si>
  <si>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</si>
  <si>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</si>
  <si>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</si>
  <si>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</si>
  <si>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</si>
  <si>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</si>
  <si>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</si>
  <si>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</si>
  <si>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</si>
  <si>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</si>
  <si>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</si>
  <si>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</si>
  <si>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</si>
  <si>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</si>
  <si>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</si>
  <si>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</si>
  <si>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</si>
  <si>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</si>
  <si>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</si>
  <si>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</si>
  <si>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</si>
  <si>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</si>
  <si>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</si>
  <si>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</si>
  <si>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</si>
  <si>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</si>
  <si>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</si>
  <si>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</si>
  <si>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</si>
  <si>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</si>
  <si>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</si>
  <si>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</si>
  <si>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</si>
  <si>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</si>
  <si>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</si>
  <si>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</si>
  <si>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</si>
  <si>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</si>
  <si>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</si>
  <si>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</si>
  <si>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</si>
  <si>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</si>
  <si>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</si>
  <si>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</si>
  <si>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</si>
  <si>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</si>
  <si>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</si>
  <si>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</si>
  <si>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</si>
  <si>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</si>
  <si>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</si>
  <si>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</si>
  <si>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</si>
  <si>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</si>
  <si>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</si>
  <si>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</si>
  <si>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</si>
  <si>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</si>
  <si>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</si>
  <si>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</si>
  <si>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</si>
  <si>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</si>
  <si>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</si>
  <si>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</si>
  <si>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</si>
  <si>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</si>
  <si>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</si>
  <si>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</si>
  <si>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</si>
  <si>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</si>
  <si>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</si>
  <si>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</si>
  <si>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</si>
  <si>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</si>
  <si>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</si>
  <si>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</si>
  <si>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</si>
  <si>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</si>
  <si>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</si>
  <si>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</si>
  <si>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</si>
  <si>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</si>
  <si>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</si>
  <si>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</si>
  <si>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</si>
  <si>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</si>
  <si>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</si>
  <si>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</si>
  <si>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</si>
  <si>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</si>
  <si>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</si>
  <si>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</si>
  <si>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</si>
  <si>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</si>
  <si>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</si>
  <si>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</si>
  <si>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</si>
  <si>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</si>
  <si>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</si>
  <si>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</si>
  <si>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</si>
  <si>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</si>
  <si>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</si>
  <si>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</si>
  <si>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</si>
  <si>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</si>
  <si>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</si>
  <si>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</si>
  <si>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</si>
  <si>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</si>
  <si>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</si>
  <si>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</si>
  <si>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</si>
  <si>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</si>
  <si>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</si>
  <si>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</si>
  <si>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</si>
  <si>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</si>
  <si>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</si>
  <si>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</si>
  <si>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</si>
  <si>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</si>
  <si>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</si>
  <si>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</si>
  <si>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</si>
  <si>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</si>
  <si>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</si>
  <si>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</si>
  <si>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</si>
  <si>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</si>
  <si>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</si>
  <si>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</si>
  <si>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</si>
  <si>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</si>
  <si>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</si>
  <si>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</si>
  <si>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</si>
  <si>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</si>
  <si>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</si>
  <si>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</si>
  <si>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</si>
  <si>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</si>
  <si>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</si>
  <si>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</si>
  <si>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</si>
  <si>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</si>
  <si>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</si>
  <si>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</si>
  <si>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</si>
  <si>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</si>
  <si>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</si>
  <si>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</si>
  <si>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</si>
  <si>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</si>
  <si>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</si>
  <si>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</si>
  <si>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</si>
  <si>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</si>
  <si>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</si>
  <si>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</si>
  <si>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</si>
  <si>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</si>
  <si>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</si>
  <si>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</si>
  <si>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</si>
  <si>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</si>
  <si>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</si>
  <si>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</si>
  <si>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</si>
  <si>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</si>
  <si>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</si>
  <si>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</si>
  <si>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</si>
  <si>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</si>
  <si>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</si>
  <si>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</si>
  <si>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</si>
  <si>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</si>
  <si>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</si>
  <si>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</si>
  <si>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</si>
  <si>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</si>
  <si>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</si>
  <si>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</si>
  <si>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</si>
  <si>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</si>
  <si>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</si>
  <si>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</si>
  <si>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</si>
  <si>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</si>
  <si>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</si>
  <si>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</si>
  <si>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</si>
  <si>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</si>
  <si>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</si>
  <si>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</si>
  <si>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</si>
  <si>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</si>
  <si>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</si>
  <si>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</si>
  <si>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</si>
  <si>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</si>
  <si>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</si>
  <si>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</si>
  <si>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</si>
  <si>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</si>
  <si>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</si>
  <si>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</si>
  <si>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</si>
  <si>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</si>
  <si>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</si>
  <si>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</si>
  <si>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</si>
  <si>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</si>
  <si>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</si>
  <si>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</si>
  <si>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</si>
  <si>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</si>
  <si>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</si>
  <si>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</si>
  <si>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</si>
  <si>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</si>
  <si>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</si>
  <si>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</si>
  <si>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</si>
  <si>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</si>
  <si>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</si>
  <si>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</si>
  <si>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</si>
  <si>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</si>
  <si>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</si>
  <si>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</si>
  <si>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</si>
  <si>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</si>
  <si>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</si>
  <si>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</si>
  <si>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</si>
  <si>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</si>
  <si>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</si>
  <si>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</si>
  <si>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</si>
  <si>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</si>
  <si>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</si>
  <si>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</si>
  <si>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</si>
  <si>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</si>
  <si>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</si>
  <si>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</si>
  <si>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</si>
  <si>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</si>
  <si>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</si>
  <si>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</si>
  <si>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</si>
  <si>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</si>
  <si>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</si>
  <si>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</si>
  <si>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</si>
  <si>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</si>
  <si>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</si>
  <si>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</si>
  <si>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</si>
  <si>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</si>
  <si>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</si>
  <si>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</si>
  <si>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</si>
  <si>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</si>
  <si>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</si>
  <si>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</si>
  <si>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</si>
  <si>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</si>
  <si>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</si>
  <si>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</si>
  <si>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</si>
  <si>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</si>
  <si>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</si>
  <si>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</si>
  <si>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</si>
  <si>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</si>
  <si>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</si>
  <si>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</si>
  <si>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</si>
  <si>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</si>
  <si>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</si>
  <si>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</si>
  <si>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</si>
  <si>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</si>
  <si>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</si>
  <si>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</si>
  <si>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</si>
  <si>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</si>
  <si>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</si>
  <si>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</si>
  <si>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</si>
  <si>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</si>
  <si>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</si>
  <si>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</si>
  <si>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</si>
  <si>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</si>
  <si>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</si>
  <si>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</si>
  <si>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</si>
  <si>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</si>
  <si>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</si>
  <si>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</si>
  <si>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</si>
  <si>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</si>
  <si>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</si>
  <si>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</si>
  <si>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</si>
  <si>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</si>
  <si>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</si>
  <si>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</si>
  <si>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</si>
  <si>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</si>
  <si>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</si>
  <si>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</si>
  <si>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</si>
  <si>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</si>
  <si>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</si>
  <si>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</si>
  <si>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</si>
  <si>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</si>
  <si>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</si>
  <si>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</si>
  <si>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</si>
  <si>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</si>
  <si>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</si>
  <si>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</si>
  <si>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</si>
  <si>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</si>
  <si>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</si>
  <si>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</si>
  <si>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</si>
  <si>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</si>
  <si>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</si>
  <si>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</si>
  <si>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</si>
  <si>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</si>
  <si>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</si>
  <si>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</si>
  <si>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</si>
  <si>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</si>
  <si>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</si>
  <si>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</si>
  <si>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</si>
  <si>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</si>
  <si>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</si>
  <si>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</si>
  <si>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</si>
  <si>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</si>
  <si>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</si>
  <si>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</si>
  <si>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</si>
  <si>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</si>
  <si>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</si>
  <si>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</si>
  <si>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</si>
  <si>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</si>
  <si>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</si>
  <si>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</si>
  <si>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</si>
  <si>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</si>
  <si>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</si>
  <si>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</si>
  <si>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</si>
  <si>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</si>
  <si>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</si>
  <si>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</si>
  <si>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</si>
  <si>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</si>
  <si>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</si>
  <si>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</si>
  <si>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</si>
  <si>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</si>
  <si>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</si>
  <si>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</si>
  <si>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</si>
  <si>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</si>
  <si>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</si>
  <si>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</si>
  <si>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</si>
  <si>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</si>
  <si>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</si>
  <si>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</si>
  <si>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</si>
  <si>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</si>
  <si>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</si>
  <si>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</si>
  <si>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</si>
  <si>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</si>
  <si>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</si>
  <si>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</si>
  <si>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</si>
  <si>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</si>
  <si>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</si>
  <si>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</si>
  <si>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</si>
  <si>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</si>
  <si>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</si>
  <si>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</si>
  <si>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</si>
  <si>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</si>
  <si>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</si>
  <si>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</si>
  <si>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</si>
  <si>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</si>
  <si>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</si>
  <si>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</si>
  <si>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</si>
  <si>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</si>
  <si>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</si>
  <si>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</si>
  <si>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</si>
  <si>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</si>
  <si>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</si>
  <si>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</si>
  <si>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</si>
  <si>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</si>
  <si>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</si>
  <si>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</si>
  <si>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</si>
  <si>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</si>
  <si>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</si>
  <si>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</si>
  <si>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</si>
  <si>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</si>
  <si>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</si>
  <si>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</si>
  <si>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</si>
  <si>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</si>
  <si>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</si>
  <si>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</si>
  <si>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</si>
  <si>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</si>
  <si>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</si>
  <si>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</si>
  <si>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</si>
  <si>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</si>
  <si>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</si>
  <si>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</si>
  <si>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</si>
  <si>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</si>
  <si>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</si>
  <si>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</si>
  <si>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</si>
  <si>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</si>
  <si>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</si>
  <si>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</si>
  <si>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</si>
  <si>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</si>
  <si>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</si>
  <si>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</si>
  <si>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</si>
  <si>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</si>
  <si>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</si>
  <si>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</si>
  <si>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</si>
  <si>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</si>
  <si>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</si>
  <si>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</si>
  <si>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</si>
  <si>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</si>
  <si>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</si>
  <si>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</si>
  <si>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</si>
  <si>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</si>
  <si>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</si>
  <si>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</si>
  <si>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</si>
  <si>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</si>
  <si>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</si>
  <si>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</si>
  <si>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</si>
  <si>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</si>
  <si>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</si>
  <si>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</si>
  <si>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</si>
  <si>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</si>
  <si>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</si>
  <si>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</si>
  <si>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</si>
  <si>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</si>
  <si>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</si>
  <si>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</si>
  <si>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</si>
  <si>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</si>
  <si>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</si>
  <si>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</si>
  <si>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</si>
  <si>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</si>
  <si>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</si>
  <si>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</si>
  <si>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</si>
  <si>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</si>
  <si>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</si>
  <si>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</si>
  <si>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</si>
  <si>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</si>
  <si>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</si>
  <si>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</si>
  <si>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</si>
  <si>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</si>
  <si>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</si>
  <si>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</si>
  <si>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</si>
  <si>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</si>
  <si>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</si>
  <si>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</si>
  <si>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</si>
  <si>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</si>
  <si>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</si>
  <si>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</si>
  <si>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</si>
  <si>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</si>
  <si>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</si>
  <si>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</si>
  <si>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</si>
  <si>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</si>
  <si>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</si>
  <si>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</si>
  <si>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</si>
  <si>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</si>
  <si>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</si>
  <si>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</si>
  <si>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</si>
  <si>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</si>
  <si>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</si>
  <si>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</si>
  <si>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</si>
  <si>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</si>
  <si>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</si>
  <si>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</si>
  <si>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</si>
  <si>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</si>
  <si>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</si>
  <si>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</si>
  <si>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</si>
  <si>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</si>
  <si>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</si>
  <si>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</si>
  <si>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</si>
  <si>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</si>
  <si>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</si>
  <si>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</si>
  <si>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</si>
  <si>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</si>
  <si>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</si>
  <si>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</si>
  <si>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</si>
  <si>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</si>
  <si>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</si>
  <si>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</si>
  <si>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</si>
  <si>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</si>
  <si>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</si>
  <si>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</si>
  <si>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</si>
  <si>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</si>
  <si>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</si>
  <si>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</si>
  <si>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</si>
  <si>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</si>
  <si>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</si>
  <si>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</si>
  <si>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</si>
  <si>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</si>
  <si>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</si>
  <si>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</si>
  <si>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</si>
  <si>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</si>
  <si>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</si>
  <si>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</si>
  <si>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</si>
  <si>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</si>
  <si>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</si>
  <si>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</si>
  <si>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</si>
  <si>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</si>
  <si>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</si>
  <si>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</si>
  <si>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</si>
  <si>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</si>
  <si>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</si>
  <si>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</si>
  <si>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</si>
  <si>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</si>
  <si>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</si>
  <si>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</si>
  <si>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</si>
  <si>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</si>
  <si>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</si>
  <si>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</si>
  <si>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</si>
  <si>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</si>
  <si>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</si>
  <si>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</si>
  <si>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</si>
  <si>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</si>
  <si>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</si>
  <si>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</si>
  <si>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</si>
  <si>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</si>
  <si>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</si>
  <si>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</si>
  <si>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</si>
  <si>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</si>
  <si>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</si>
  <si>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</si>
  <si>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</si>
  <si>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</si>
  <si>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</si>
  <si>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</si>
  <si>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</si>
  <si>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</si>
  <si>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</si>
  <si>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</si>
  <si>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</si>
  <si>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</si>
  <si>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</si>
  <si>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</si>
  <si>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</si>
  <si>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</si>
  <si>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</si>
  <si>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</si>
  <si>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</si>
  <si>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</si>
  <si>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</si>
  <si>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</si>
  <si>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</si>
  <si>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</si>
  <si>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</si>
  <si>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</si>
  <si>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</si>
  <si>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</si>
  <si>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</si>
  <si>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</si>
  <si>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</si>
  <si>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</si>
  <si>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</si>
  <si>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</si>
  <si>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</si>
  <si>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</si>
  <si>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</si>
  <si>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</si>
  <si>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</si>
  <si>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</si>
  <si>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</si>
  <si>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</si>
  <si>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</si>
  <si>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</si>
  <si>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</si>
  <si>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</si>
  <si>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</si>
  <si>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</si>
  <si>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</si>
  <si>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</si>
  <si>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</si>
  <si>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</si>
  <si>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</si>
  <si>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</si>
  <si>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</si>
  <si>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</si>
  <si>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</si>
  <si>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</si>
  <si>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</si>
  <si>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</si>
  <si>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</si>
  <si>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</si>
  <si>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</si>
  <si>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</si>
  <si>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</si>
  <si>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</si>
  <si>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</si>
  <si>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</si>
  <si>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</si>
  <si>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</si>
  <si>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</si>
  <si>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</si>
  <si>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</si>
  <si>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</si>
  <si>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</si>
  <si>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</si>
  <si>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</si>
  <si>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</si>
  <si>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</si>
  <si>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</si>
  <si>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</si>
  <si>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</si>
  <si>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</si>
  <si>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</si>
  <si>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</si>
  <si>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</si>
  <si>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</si>
  <si>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</si>
  <si>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</si>
  <si>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</si>
  <si>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</si>
  <si>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</si>
  <si>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</si>
  <si>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</si>
  <si>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</si>
  <si>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</si>
  <si>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</si>
  <si>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</si>
  <si>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</si>
  <si>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</si>
  <si>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</si>
  <si>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</si>
  <si>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</si>
  <si>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</si>
  <si>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</si>
  <si>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</si>
  <si>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</si>
  <si>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</si>
  <si>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</si>
  <si>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</si>
  <si>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</si>
  <si>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</si>
  <si>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</si>
  <si>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</si>
  <si>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</si>
  <si>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</si>
  <si>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</si>
  <si>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</si>
  <si>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</si>
  <si>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</si>
  <si>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</si>
  <si>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</si>
  <si>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</si>
  <si>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</si>
  <si>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</si>
  <si>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</si>
  <si>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</si>
  <si>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</si>
  <si>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</si>
  <si>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</si>
  <si>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</si>
  <si>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</si>
  <si>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</si>
  <si>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</si>
  <si>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</si>
  <si>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</si>
  <si>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</si>
  <si>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</si>
  <si>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</si>
  <si>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</si>
  <si>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</si>
  <si>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</si>
  <si>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</si>
  <si>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</si>
  <si>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</si>
  <si>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</si>
  <si>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</si>
  <si>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</si>
  <si>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</si>
  <si>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</si>
  <si>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</si>
  <si>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</si>
  <si>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</si>
  <si>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</si>
  <si>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</si>
  <si>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</si>
  <si>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</si>
  <si>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</si>
  <si>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</si>
  <si>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</si>
  <si>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</si>
  <si>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</si>
  <si>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</si>
  <si>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</si>
  <si>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</si>
  <si>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</si>
  <si>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</si>
  <si>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</si>
  <si>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</si>
  <si>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</si>
  <si>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</si>
  <si>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</si>
  <si>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</si>
  <si>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</si>
  <si>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</si>
  <si>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</si>
  <si>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</si>
  <si>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</si>
  <si>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</si>
  <si>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</si>
  <si>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</si>
  <si>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</si>
  <si>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</si>
  <si>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</si>
  <si>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</si>
  <si>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</si>
  <si>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</si>
  <si>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</si>
  <si>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</si>
  <si>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</si>
  <si>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</si>
  <si>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</si>
  <si>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</si>
  <si>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</si>
  <si>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</si>
  <si>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</si>
  <si>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</si>
  <si>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</si>
  <si>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</si>
  <si>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</si>
  <si>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</si>
  <si>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</si>
  <si>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</si>
  <si>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</si>
  <si>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</si>
  <si>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</si>
  <si>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</si>
  <si>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</si>
  <si>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</si>
  <si>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</si>
  <si>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</si>
  <si>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</si>
  <si>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</si>
  <si>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</si>
  <si>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</si>
  <si>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</si>
  <si>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</si>
  <si>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</si>
  <si>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</si>
  <si>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</si>
  <si>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</si>
  <si>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</si>
  <si>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</si>
  <si>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</si>
  <si>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</si>
  <si>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</si>
  <si>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</si>
  <si>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</si>
  <si>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</si>
  <si>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</si>
  <si>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</si>
  <si>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</si>
  <si>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</si>
  <si>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</si>
  <si>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</si>
  <si>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</si>
  <si>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</si>
  <si>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</si>
  <si>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</si>
  <si>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</si>
  <si>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</si>
  <si>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</si>
  <si>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</si>
  <si>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</si>
  <si>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</si>
  <si>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</si>
  <si>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</si>
  <si>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</si>
  <si>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</si>
  <si>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</si>
  <si>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</si>
  <si>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</si>
  <si>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</si>
  <si>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</si>
  <si>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</si>
  <si>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</si>
  <si>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</si>
  <si>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</si>
  <si>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</si>
  <si>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</si>
  <si>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</si>
  <si>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</si>
  <si>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</si>
  <si>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</si>
  <si>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</si>
  <si>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</si>
  <si>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</si>
  <si>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</si>
  <si>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</si>
  <si>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</si>
  <si>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</si>
  <si>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</si>
  <si>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</si>
  <si>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</si>
  <si>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</si>
  <si>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</si>
  <si>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</si>
  <si>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</si>
  <si>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</si>
  <si>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</si>
  <si>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</si>
  <si>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</si>
  <si>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</si>
  <si>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</si>
  <si>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</si>
  <si>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</si>
  <si>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</si>
  <si>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</si>
  <si>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</si>
  <si>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</si>
  <si>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</si>
  <si>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</si>
  <si>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</si>
  <si>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</si>
  <si>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</si>
  <si>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</si>
  <si>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</si>
  <si>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</si>
  <si>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</si>
  <si>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</si>
  <si>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</si>
  <si>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</si>
  <si>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</si>
  <si>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</si>
  <si>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</si>
  <si>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</si>
  <si>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</si>
  <si>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</si>
  <si>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</si>
  <si>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</si>
  <si>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</si>
  <si>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</si>
  <si>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</si>
  <si>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</si>
  <si>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</si>
  <si>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</si>
  <si>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</si>
  <si>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</si>
  <si>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</si>
  <si>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</si>
  <si>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</si>
  <si>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</si>
  <si>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</si>
  <si>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</si>
  <si>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</si>
  <si>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</si>
  <si>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</si>
  <si>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</si>
  <si>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</si>
  <si>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</si>
  <si>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</si>
  <si>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</si>
  <si>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</si>
  <si>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</si>
  <si>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</si>
  <si>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</si>
  <si>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</si>
  <si>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</si>
  <si>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</si>
  <si>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</si>
  <si>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</si>
  <si>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</si>
  <si>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</si>
  <si>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</si>
  <si>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</si>
  <si>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</si>
  <si>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</si>
  <si>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</si>
  <si>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</si>
  <si>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</si>
  <si>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</si>
  <si>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</si>
  <si>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</si>
  <si>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</si>
  <si>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</si>
  <si>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</si>
  <si>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</si>
  <si>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</si>
  <si>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</si>
  <si>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</si>
  <si>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</si>
  <si>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</si>
  <si>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</si>
  <si>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</si>
  <si>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</si>
  <si>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</si>
  <si>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</si>
  <si>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</si>
  <si>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</si>
  <si>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</si>
  <si>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</si>
  <si>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</si>
  <si>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</si>
  <si>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</si>
  <si>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</si>
  <si>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</si>
  <si>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</si>
  <si>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</si>
  <si>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</si>
  <si>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</si>
  <si>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</si>
  <si>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</si>
  <si>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</si>
  <si>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</si>
  <si>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</si>
  <si>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</si>
  <si>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</si>
  <si>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</si>
  <si>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</si>
  <si>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</si>
  <si>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</si>
  <si>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</si>
  <si>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</si>
  <si>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</si>
  <si>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</si>
  <si>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</si>
  <si>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</si>
  <si>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</si>
  <si>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</si>
  <si>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</si>
  <si>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</si>
  <si>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</si>
  <si>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</si>
  <si>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</si>
  <si>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</si>
  <si>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</si>
  <si>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</si>
  <si>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</si>
  <si>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</si>
  <si>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</si>
  <si>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</si>
  <si>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</si>
  <si>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</si>
  <si>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</si>
  <si>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</si>
  <si>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</si>
  <si>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</si>
  <si>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</si>
  <si>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</si>
  <si>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</si>
  <si>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</si>
  <si>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</si>
  <si>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</si>
  <si>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</si>
  <si>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</si>
  <si>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</si>
  <si>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</si>
  <si>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</si>
  <si>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</si>
  <si>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</si>
  <si>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</si>
  <si>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</si>
  <si>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</si>
  <si>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</si>
  <si>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</si>
  <si>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</si>
  <si>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</si>
  <si>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</si>
  <si>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</si>
  <si>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</si>
  <si>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</si>
  <si>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</si>
  <si>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</si>
  <si>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</si>
  <si>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</si>
  <si>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</si>
  <si>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</si>
  <si>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</si>
  <si>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</si>
  <si>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</si>
  <si>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</si>
  <si>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</si>
  <si>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</si>
  <si>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</si>
  <si>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</si>
  <si>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</si>
  <si>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</si>
  <si>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</si>
  <si>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</si>
  <si>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</si>
  <si>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</si>
  <si>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</si>
  <si>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</si>
  <si>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</si>
  <si>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</si>
  <si>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</si>
  <si>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</si>
  <si>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</si>
  <si>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</si>
  <si>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</si>
  <si>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</si>
  <si>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</si>
  <si>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</si>
  <si>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</si>
  <si>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</si>
  <si>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</si>
  <si>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</si>
  <si>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</si>
  <si>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</si>
  <si>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</si>
  <si>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</si>
  <si>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</si>
  <si>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</si>
  <si>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</si>
  <si>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</si>
  <si>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</si>
  <si>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</si>
  <si>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</si>
  <si>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</si>
  <si>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</si>
  <si>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</si>
  <si>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</si>
  <si>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</si>
  <si>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</si>
  <si>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</si>
  <si>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</si>
  <si>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</si>
  <si>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</si>
  <si>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</si>
  <si>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</si>
  <si>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</si>
  <si>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</si>
  <si>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</si>
  <si>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</si>
  <si>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</si>
  <si>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</si>
  <si>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</si>
  <si>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</si>
  <si>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</si>
  <si>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</si>
  <si>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</si>
  <si>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</si>
  <si>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</si>
  <si>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</si>
  <si>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</si>
  <si>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</si>
  <si>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</si>
  <si>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</si>
  <si>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</si>
  <si>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</si>
  <si>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</si>
  <si>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</si>
  <si>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</si>
  <si>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</si>
  <si>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</si>
  <si>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</si>
  <si>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</si>
  <si>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</si>
  <si>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</si>
  <si>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</si>
  <si>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</si>
  <si>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</si>
  <si>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</si>
  <si>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</si>
  <si>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</si>
  <si>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</si>
  <si>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</si>
  <si>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</si>
  <si>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</si>
  <si>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</si>
  <si>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</si>
  <si>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</si>
  <si>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</si>
  <si>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</si>
  <si>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</si>
  <si>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</si>
  <si>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</si>
  <si>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</si>
  <si>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</si>
  <si>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</si>
  <si>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</si>
  <si>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</si>
  <si>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</si>
  <si>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</si>
  <si>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</si>
  <si>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</si>
  <si>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</si>
  <si>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</si>
  <si>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</si>
  <si>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</si>
  <si>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</si>
  <si>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</si>
  <si>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</si>
  <si>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</si>
  <si>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</si>
  <si>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</si>
  <si>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</si>
  <si>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</si>
  <si>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</si>
  <si>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</si>
  <si>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</si>
  <si>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</si>
  <si>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</si>
  <si>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</si>
  <si>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</si>
  <si>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</si>
  <si>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</si>
  <si>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</si>
  <si>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</si>
  <si>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</si>
  <si>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</si>
  <si>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</si>
  <si>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</si>
  <si>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</si>
  <si>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</si>
  <si>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</si>
  <si>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</si>
  <si>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</si>
  <si>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</si>
  <si>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</si>
  <si>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</si>
  <si>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</si>
  <si>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</si>
  <si>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</si>
  <si>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</si>
  <si>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</si>
  <si>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</si>
  <si>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</si>
  <si>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</si>
  <si>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</si>
  <si>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</si>
  <si>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</si>
  <si>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</si>
  <si>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</si>
  <si>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</si>
  <si>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</si>
  <si>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</si>
  <si>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</si>
  <si>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</si>
  <si>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</si>
  <si>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</si>
  <si>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</si>
  <si>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</si>
  <si>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</si>
  <si>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</si>
  <si>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</si>
  <si>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</si>
  <si>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</si>
  <si>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</si>
  <si>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</si>
  <si>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</si>
  <si>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</si>
  <si>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</si>
  <si>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</si>
  <si>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</si>
  <si>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</si>
  <si>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</si>
  <si>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</si>
  <si>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</si>
  <si>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</si>
  <si>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</si>
  <si>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</si>
  <si>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</si>
  <si>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</si>
  <si>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</si>
  <si>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</si>
  <si>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</si>
  <si>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</si>
  <si>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</si>
  <si>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</si>
  <si>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</si>
  <si>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</si>
  <si>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</si>
  <si>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</si>
  <si>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</si>
  <si>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</si>
  <si>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</si>
  <si>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</si>
  <si>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</si>
  <si>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</si>
  <si>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</si>
  <si>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</si>
  <si>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</si>
  <si>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</si>
  <si>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</si>
  <si>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</si>
  <si>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</si>
  <si>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</si>
  <si>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</si>
  <si>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</si>
  <si>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</si>
  <si>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</si>
  <si>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</si>
  <si>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</si>
  <si>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</si>
  <si>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</si>
  <si>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</si>
  <si>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</si>
  <si>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</si>
  <si>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</si>
  <si>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</si>
  <si>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</si>
  <si>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</si>
  <si>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</si>
  <si>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</si>
  <si>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</si>
  <si>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</si>
  <si>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</si>
  <si>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</si>
  <si>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</si>
  <si>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</si>
  <si>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</si>
  <si>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</si>
  <si>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</si>
  <si>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</si>
  <si>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</si>
  <si>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</si>
  <si>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</si>
  <si>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</si>
  <si>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</si>
  <si>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</si>
  <si>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</si>
  <si>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</si>
  <si>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</si>
  <si>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</si>
  <si>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</si>
  <si>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</si>
  <si>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</si>
  <si>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</si>
  <si>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</si>
  <si>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</si>
  <si>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</si>
  <si>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</si>
  <si>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</si>
  <si>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</si>
  <si>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</si>
  <si>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</si>
  <si>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</si>
  <si>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</si>
  <si>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</si>
  <si>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</si>
  <si>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</si>
  <si>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</si>
  <si>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</si>
  <si>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</si>
  <si>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</si>
  <si>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</si>
  <si>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</si>
  <si>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</si>
  <si>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</si>
  <si>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</si>
  <si>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</si>
  <si>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</si>
  <si>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</si>
  <si>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</si>
  <si>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</si>
  <si>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</si>
  <si>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</si>
  <si>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</si>
  <si>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</si>
  <si>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</si>
  <si>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</si>
  <si>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</si>
  <si>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</si>
  <si>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</si>
  <si>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</si>
  <si>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</si>
  <si>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</si>
  <si>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</si>
  <si>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</si>
  <si>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</si>
  <si>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</si>
  <si>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</si>
  <si>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</si>
  <si>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</si>
  <si>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</si>
  <si>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</si>
  <si>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</si>
  <si>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</si>
  <si>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</si>
  <si>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</si>
  <si>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</si>
  <si>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</si>
  <si>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</si>
  <si>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</si>
  <si>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</si>
  <si>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</si>
  <si>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</si>
  <si>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</si>
  <si>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</si>
  <si>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</si>
  <si>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</si>
  <si>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</si>
  <si>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</si>
  <si>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</si>
  <si>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</si>
  <si>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</si>
  <si>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</si>
  <si>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</si>
  <si>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</si>
  <si>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</si>
  <si>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</si>
  <si>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</si>
  <si>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</si>
  <si>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</si>
  <si>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</si>
  <si>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</si>
  <si>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</si>
  <si>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</si>
  <si>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</si>
  <si>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</si>
  <si>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</si>
  <si>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</si>
  <si>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</si>
  <si>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</si>
  <si>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</si>
  <si>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</si>
  <si>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</si>
  <si>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</si>
  <si>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</si>
  <si>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</si>
  <si>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</si>
  <si>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</si>
  <si>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</si>
  <si>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</si>
  <si>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</si>
  <si>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</si>
  <si>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</si>
  <si>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</si>
  <si>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</si>
  <si>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</si>
  <si>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</si>
  <si>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</si>
  <si>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</si>
  <si>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</si>
  <si>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</si>
  <si>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</si>
  <si>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</si>
  <si>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</si>
  <si>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</si>
  <si>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</si>
  <si>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</si>
  <si>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</si>
  <si>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</si>
  <si>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</si>
  <si>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</si>
  <si>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</si>
  <si>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</si>
  <si>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</si>
  <si>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</si>
  <si>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</si>
  <si>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</si>
  <si>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</si>
  <si>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</si>
  <si>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</si>
  <si>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</si>
  <si>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</si>
  <si>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</si>
  <si>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</si>
  <si>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</si>
  <si>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</si>
  <si>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</si>
  <si>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</si>
  <si>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</si>
  <si>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</si>
  <si>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</si>
  <si>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</si>
  <si>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</si>
  <si>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</si>
  <si>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</si>
  <si>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</si>
  <si>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</si>
  <si>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</si>
  <si>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</si>
  <si>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</si>
  <si>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</si>
  <si>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</si>
  <si>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</si>
  <si>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</si>
  <si>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</si>
  <si>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</si>
  <si>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</si>
  <si>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</si>
  <si>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</si>
  <si>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</si>
  <si>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</si>
  <si>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</si>
  <si>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</si>
  <si>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</si>
  <si>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</si>
  <si>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</si>
  <si>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</si>
  <si>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</si>
  <si>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</si>
  <si>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</si>
  <si>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</si>
  <si>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</si>
  <si>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</si>
  <si>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</si>
  <si>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</si>
  <si>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</si>
  <si>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</si>
  <si>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</si>
  <si>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</si>
  <si>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</si>
  <si>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</si>
  <si>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</si>
  <si>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</si>
  <si>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</si>
  <si>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</si>
  <si>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</si>
  <si>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</si>
  <si>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</si>
  <si>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</si>
  <si>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</si>
  <si>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</si>
  <si>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</si>
  <si>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</si>
  <si>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</si>
  <si>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</si>
  <si>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</si>
  <si>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</si>
  <si>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</si>
  <si>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</si>
  <si>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</si>
  <si>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</si>
  <si>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</si>
  <si>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</si>
  <si>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</si>
  <si>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</si>
  <si>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</si>
  <si>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</si>
  <si>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</si>
  <si>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</si>
  <si>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</si>
  <si>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</si>
  <si>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</si>
  <si>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</si>
  <si>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</si>
  <si>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</si>
  <si>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</si>
  <si>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</si>
  <si>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</si>
  <si>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</si>
  <si>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</si>
  <si>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</si>
  <si>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</si>
  <si>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</si>
  <si>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</si>
  <si>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</si>
  <si>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</si>
  <si>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</si>
  <si>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</si>
  <si>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</si>
  <si>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</si>
  <si>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</si>
  <si>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</si>
  <si>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</si>
  <si>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</si>
  <si>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</si>
  <si>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</si>
  <si>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</si>
  <si>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</si>
  <si>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</si>
  <si>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</si>
  <si>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</si>
  <si>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</si>
  <si>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</si>
  <si>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</si>
  <si>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</si>
  <si>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</si>
  <si>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</si>
  <si>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</si>
  <si>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</si>
  <si>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</si>
  <si>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</si>
  <si>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</si>
  <si>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</si>
  <si>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</si>
  <si>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</si>
  <si>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</si>
  <si>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</si>
  <si>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</si>
  <si>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</si>
  <si>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</si>
  <si>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</si>
  <si>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</si>
  <si>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</si>
  <si>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</si>
  <si>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</si>
  <si>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</si>
  <si>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</si>
  <si>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</si>
  <si>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</si>
  <si>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</si>
  <si>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</si>
  <si>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</si>
  <si>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</si>
  <si>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</si>
  <si>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</si>
  <si>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</si>
  <si>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</si>
  <si>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</si>
  <si>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</si>
  <si>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</si>
  <si>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</si>
  <si>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</si>
  <si>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</si>
  <si>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</si>
  <si>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</si>
  <si>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</si>
  <si>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</si>
  <si>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</si>
  <si>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</si>
  <si>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</si>
  <si>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</si>
  <si>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</si>
  <si>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</si>
  <si>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</si>
  <si>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</si>
  <si>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</si>
  <si>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</si>
  <si>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</si>
  <si>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</si>
  <si>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</si>
  <si>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</si>
  <si>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</si>
  <si>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</si>
  <si>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</si>
  <si>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</si>
  <si>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</si>
  <si>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</si>
  <si>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</si>
  <si>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</si>
  <si>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</si>
  <si>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</si>
  <si>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</si>
  <si>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</si>
  <si>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</si>
  <si>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</si>
  <si>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</si>
  <si>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</si>
  <si>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</si>
  <si>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</si>
  <si>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</si>
  <si>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</si>
  <si>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</si>
  <si>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</si>
  <si>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</si>
  <si>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</si>
  <si>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</si>
  <si>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</si>
  <si>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</si>
  <si>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</si>
  <si>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</si>
  <si>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</si>
  <si>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</si>
  <si>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</si>
  <si>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</si>
  <si>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</si>
  <si>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</si>
  <si>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</si>
  <si>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</si>
  <si>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</si>
  <si>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</si>
  <si>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</si>
  <si>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</si>
  <si>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</si>
  <si>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</si>
  <si>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</si>
  <si>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</si>
  <si>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</si>
  <si>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</si>
  <si>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</si>
  <si>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</si>
  <si>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</si>
  <si>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</si>
  <si>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</si>
  <si>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</si>
  <si>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</si>
  <si>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</si>
  <si>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</si>
  <si>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</si>
  <si>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</si>
  <si>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</si>
  <si>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</si>
  <si>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</si>
  <si>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</si>
  <si>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</si>
  <si>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</si>
  <si>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</si>
  <si>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</si>
  <si>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</si>
  <si>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</si>
  <si>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</si>
  <si>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</si>
  <si>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</si>
  <si>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</si>
  <si>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</si>
  <si>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</si>
  <si>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</si>
  <si>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</si>
  <si>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</si>
  <si>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</si>
  <si>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</si>
  <si>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</si>
  <si>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</si>
  <si>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</si>
  <si>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</si>
  <si>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</si>
  <si>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</si>
  <si>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</si>
  <si>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</si>
  <si>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</si>
  <si>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</si>
  <si>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</si>
  <si>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</si>
  <si>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</si>
  <si>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</si>
  <si>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</si>
  <si>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</si>
  <si>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</si>
  <si>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</si>
  <si>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</si>
  <si>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</si>
  <si>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</si>
  <si>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</si>
  <si>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</si>
  <si>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</si>
  <si>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</si>
  <si>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</si>
  <si>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</si>
  <si>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</si>
  <si>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</si>
  <si>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</si>
  <si>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</si>
  <si>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</si>
  <si>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</si>
  <si>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</si>
  <si>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</si>
  <si>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</si>
  <si>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</si>
  <si>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</si>
  <si>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</si>
  <si>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</si>
  <si>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</si>
  <si>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</si>
  <si>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</si>
  <si>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</si>
  <si>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</si>
  <si>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</si>
  <si>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</si>
  <si>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</si>
  <si>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</si>
  <si>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</si>
  <si>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</si>
  <si>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</si>
  <si>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</si>
  <si>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</si>
  <si>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</si>
  <si>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</si>
  <si>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</si>
  <si>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</si>
  <si>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</si>
  <si>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</si>
  <si>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</si>
  <si>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</si>
  <si>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</si>
  <si>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</si>
  <si>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</si>
  <si>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</si>
  <si>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</si>
  <si>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</si>
  <si>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</si>
  <si>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</si>
  <si>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</si>
  <si>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</si>
  <si>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</si>
  <si>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</si>
  <si>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</si>
  <si>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</si>
  <si>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</si>
  <si>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</si>
  <si>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</si>
  <si>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</si>
  <si>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</si>
  <si>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</si>
  <si>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</si>
  <si>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</si>
  <si>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</si>
  <si>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</si>
  <si>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</si>
  <si>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</si>
  <si>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</si>
  <si>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</si>
  <si>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</si>
  <si>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</si>
  <si>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</si>
  <si>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</si>
  <si>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</si>
  <si>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</si>
  <si>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</si>
  <si>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</si>
  <si>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</si>
  <si>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</si>
  <si>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</si>
  <si>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</si>
  <si>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</si>
  <si>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</si>
  <si>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</si>
  <si>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</si>
  <si>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</si>
  <si>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</si>
  <si>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</si>
  <si>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</si>
  <si>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</si>
  <si>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</si>
  <si>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</si>
  <si>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</si>
  <si>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</si>
  <si>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</si>
  <si>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</si>
  <si>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</si>
  <si>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</si>
  <si>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</si>
  <si>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</si>
  <si>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</si>
  <si>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</si>
  <si>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</si>
  <si>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</si>
  <si>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</si>
  <si>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</si>
  <si>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</si>
  <si>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</si>
  <si>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</si>
  <si>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</si>
  <si>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</si>
  <si>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</si>
  <si>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</si>
  <si>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</si>
  <si>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</si>
  <si>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</si>
  <si>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</si>
  <si>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</si>
  <si>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</si>
  <si>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</si>
  <si>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</si>
  <si>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</si>
  <si>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</si>
  <si>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</si>
  <si>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</si>
  <si>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</si>
  <si>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</si>
  <si>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</si>
  <si>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</si>
  <si>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</si>
  <si>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</si>
  <si>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</si>
  <si>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</si>
  <si>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</si>
  <si>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</si>
  <si>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</si>
  <si>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</si>
  <si>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</si>
  <si>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</si>
  <si>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</si>
  <si>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</si>
  <si>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</si>
  <si>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</si>
  <si>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</si>
  <si>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</si>
  <si>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</si>
  <si>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</si>
  <si>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</si>
  <si>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</si>
  <si>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</si>
  <si>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</si>
  <si>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</si>
  <si>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</si>
  <si>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</si>
  <si>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</si>
  <si>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</si>
  <si>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</si>
  <si>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</si>
  <si>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</si>
  <si>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</si>
  <si>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</si>
  <si>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</si>
  <si>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</si>
  <si>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</si>
  <si>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</si>
  <si>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</si>
  <si>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</si>
  <si>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</si>
  <si>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</si>
  <si>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</si>
  <si>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</si>
  <si>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</si>
  <si>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</si>
  <si>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</si>
  <si>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</si>
  <si>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</si>
  <si>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</si>
  <si>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</si>
  <si>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</si>
  <si>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</si>
  <si>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</si>
  <si>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</si>
  <si>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</si>
  <si>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</si>
  <si>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</si>
  <si>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</si>
  <si>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</si>
  <si>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</si>
  <si>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</si>
  <si>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</si>
  <si>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</si>
  <si>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</si>
  <si>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</si>
  <si>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</si>
  <si>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</si>
  <si>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</si>
  <si>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</si>
  <si>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</si>
  <si>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</si>
  <si>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</si>
  <si>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</si>
  <si>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</si>
  <si>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</si>
  <si>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</si>
  <si>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</si>
  <si>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</si>
  <si>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</si>
  <si>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</si>
  <si>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</si>
  <si>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</si>
  <si>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</si>
  <si>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</si>
  <si>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</si>
  <si>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</si>
  <si>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</si>
  <si>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</si>
  <si>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</si>
  <si>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</si>
  <si>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</si>
  <si>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</si>
  <si>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</si>
  <si>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</si>
  <si>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</si>
  <si>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</si>
  <si>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</si>
  <si>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</si>
  <si>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</si>
  <si>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</si>
  <si>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</si>
  <si>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</si>
  <si>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</si>
  <si>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</si>
  <si>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</si>
  <si>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</si>
  <si>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</si>
  <si>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</si>
  <si>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</si>
  <si>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</si>
  <si>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</si>
  <si>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</si>
  <si>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</si>
  <si>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</si>
  <si>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</si>
  <si>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</si>
  <si>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</si>
  <si>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</si>
  <si>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</si>
  <si>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</si>
  <si>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</si>
  <si>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</si>
  <si>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</si>
  <si>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</si>
  <si>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</si>
  <si>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</si>
  <si>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</si>
  <si>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</si>
  <si>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</si>
  <si>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</si>
  <si>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</si>
  <si>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</si>
  <si>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</si>
  <si>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</si>
  <si>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</si>
  <si>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</si>
  <si>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</si>
  <si>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</si>
  <si>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</si>
  <si>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</si>
  <si>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</si>
  <si>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</si>
  <si>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</si>
  <si>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</si>
  <si>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</si>
  <si>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</si>
  <si>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</si>
  <si>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</si>
  <si>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</si>
  <si>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</si>
  <si>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</si>
  <si>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</si>
  <si>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</si>
  <si>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</si>
  <si>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</si>
  <si>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</si>
  <si>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</si>
  <si>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</si>
  <si>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</si>
  <si>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</si>
  <si>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</si>
  <si>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</si>
  <si>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</si>
  <si>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</si>
  <si>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</si>
  <si>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</si>
  <si>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</si>
  <si>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</si>
  <si>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</si>
  <si>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</si>
  <si>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</si>
  <si>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</si>
  <si>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</si>
  <si>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</si>
  <si>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</si>
  <si>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</si>
  <si>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</si>
  <si>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</si>
  <si>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</si>
  <si>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</si>
  <si>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</si>
  <si>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</si>
  <si>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</si>
  <si>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</si>
  <si>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</si>
  <si>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</si>
  <si>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</si>
  <si>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</si>
  <si>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</si>
  <si>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</si>
  <si>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</si>
  <si>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</si>
  <si>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</si>
  <si>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</si>
  <si>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</si>
  <si>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</si>
  <si>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</si>
  <si>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</si>
  <si>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</si>
  <si>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</si>
  <si>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</si>
  <si>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</si>
  <si>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</si>
  <si>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</si>
  <si>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</si>
  <si>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</si>
  <si>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</si>
  <si>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</si>
  <si>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</si>
  <si>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</si>
  <si>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</si>
  <si>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</si>
  <si>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</si>
  <si>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</si>
  <si>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</si>
  <si>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</si>
  <si>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</si>
  <si>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</si>
  <si>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</si>
  <si>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</si>
  <si>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</si>
  <si>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</si>
  <si>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</si>
  <si>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</si>
  <si>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</si>
  <si>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</si>
  <si>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</si>
  <si>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</si>
  <si>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</si>
  <si>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</si>
  <si>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</si>
  <si>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</si>
  <si>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</si>
  <si>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</si>
  <si>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</si>
  <si>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</si>
  <si>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</si>
  <si>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</si>
  <si>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</si>
  <si>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</si>
  <si>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</si>
  <si>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</si>
  <si>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</si>
  <si>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</si>
  <si>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</si>
  <si>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</si>
  <si>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</si>
  <si>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</si>
  <si>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</si>
  <si>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</si>
  <si>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</si>
  <si>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</si>
  <si>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</si>
  <si>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</si>
  <si>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</si>
  <si>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</si>
  <si>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</si>
  <si>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</si>
  <si>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</si>
  <si>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</si>
  <si>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</si>
  <si>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</si>
  <si>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</si>
  <si>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</si>
  <si>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</si>
  <si>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</si>
  <si>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</si>
  <si>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</si>
  <si>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</si>
  <si>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</si>
  <si>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</si>
  <si>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</si>
  <si>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</si>
  <si>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</si>
  <si>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</si>
  <si>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</si>
  <si>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</si>
  <si>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</si>
  <si>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</si>
  <si>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</si>
  <si>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</si>
  <si>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</si>
  <si>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</si>
  <si>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</si>
  <si>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</si>
  <si>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</si>
  <si>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</si>
  <si>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</si>
  <si>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</si>
  <si>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</si>
  <si>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</si>
  <si>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</si>
  <si>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</si>
  <si>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</si>
  <si>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</si>
  <si>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</si>
  <si>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</si>
  <si>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</si>
  <si>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</si>
  <si>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</si>
  <si>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</si>
  <si>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</si>
  <si>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</si>
  <si>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</si>
  <si>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</si>
  <si>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</si>
  <si>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</si>
  <si>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</si>
  <si>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</si>
  <si>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</si>
  <si>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</si>
  <si>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</si>
  <si>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</si>
  <si>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</si>
  <si>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</si>
  <si>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</si>
  <si>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</si>
  <si>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</si>
  <si>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</si>
  <si>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</si>
  <si>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</si>
  <si>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</si>
  <si>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</si>
  <si>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</si>
  <si>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</si>
  <si>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</si>
  <si>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</si>
  <si>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</si>
  <si>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</si>
  <si>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</si>
  <si>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</si>
  <si>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</si>
  <si>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</si>
  <si>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</si>
  <si>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</si>
  <si>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</si>
  <si>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</si>
  <si>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</si>
  <si>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</si>
  <si>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</si>
  <si>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</si>
  <si>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</si>
  <si>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</si>
  <si>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</si>
  <si>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</si>
  <si>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</si>
  <si>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</si>
  <si>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</si>
  <si>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</si>
  <si>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</si>
  <si>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</si>
  <si>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</si>
  <si>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</si>
  <si>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</si>
  <si>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</si>
  <si>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</si>
  <si>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</si>
  <si>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</si>
  <si>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</si>
  <si>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</si>
  <si>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</si>
  <si>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</si>
  <si>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</si>
  <si>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</si>
  <si>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</si>
  <si>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</si>
  <si>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</si>
  <si>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</si>
  <si>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</si>
  <si>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</si>
  <si>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</si>
  <si>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</si>
  <si>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</si>
  <si>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</si>
  <si>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</si>
  <si>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</si>
  <si>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</si>
  <si>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</si>
  <si>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</si>
  <si>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</si>
  <si>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</si>
  <si>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</si>
  <si>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</si>
  <si>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</si>
  <si>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</si>
  <si>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</si>
  <si>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</si>
  <si>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</si>
  <si>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</si>
  <si>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</si>
  <si>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</si>
  <si>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</si>
  <si>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</si>
  <si>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</si>
  <si>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</si>
  <si>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</si>
  <si>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</si>
  <si>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</si>
  <si>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</si>
  <si>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</si>
  <si>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</si>
  <si>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</si>
  <si>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</si>
  <si>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</si>
  <si>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</si>
  <si>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</si>
  <si>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</si>
  <si>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</si>
  <si>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</si>
  <si>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</si>
  <si>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</si>
  <si>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</si>
  <si>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</si>
  <si>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</si>
  <si>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</si>
  <si>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</si>
  <si>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</si>
  <si>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</si>
  <si>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</si>
  <si>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</si>
  <si>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</si>
  <si>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</si>
  <si>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</si>
  <si>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</si>
  <si>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</si>
  <si>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</si>
  <si>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</si>
  <si>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</si>
  <si>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</si>
  <si>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</si>
  <si>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</si>
  <si>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</si>
  <si>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</si>
  <si>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</si>
  <si>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</si>
  <si>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</si>
  <si>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</si>
  <si>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</si>
  <si>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</si>
  <si>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</si>
  <si>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</si>
  <si>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</si>
  <si>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</si>
  <si>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</si>
  <si>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</si>
  <si>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</si>
  <si>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</si>
  <si>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</si>
  <si>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</si>
  <si>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</si>
  <si>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</si>
  <si>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</si>
  <si>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</si>
  <si>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</si>
  <si>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</si>
  <si>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</si>
  <si>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</si>
  <si>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</si>
  <si>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</si>
  <si>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</si>
  <si>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</si>
  <si>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</si>
  <si>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</si>
  <si>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</si>
  <si>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</si>
  <si>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</si>
  <si>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</si>
  <si>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</si>
  <si>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</si>
  <si>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</si>
  <si>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</si>
  <si>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</si>
  <si>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</si>
  <si>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</si>
  <si>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</si>
  <si>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</si>
  <si>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</si>
  <si>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</si>
  <si>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</si>
  <si>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</si>
  <si>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</si>
  <si>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</si>
  <si>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</si>
  <si>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</si>
  <si>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</si>
  <si>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</si>
  <si>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</si>
  <si>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</si>
  <si>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</si>
  <si>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</si>
  <si>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</si>
  <si>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</si>
  <si>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</si>
  <si>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</si>
  <si>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</si>
  <si>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</si>
  <si>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</si>
  <si>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</si>
  <si>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</si>
  <si>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</si>
  <si>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</si>
  <si>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</si>
  <si>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</si>
  <si>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</si>
  <si>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</si>
  <si>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</si>
  <si>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</si>
  <si>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</si>
  <si>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</si>
  <si>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</si>
  <si>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</si>
  <si>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</si>
  <si>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</si>
  <si>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</si>
  <si>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</si>
  <si>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</si>
  <si>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</si>
  <si>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</si>
  <si>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</si>
  <si>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</si>
  <si>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</si>
  <si>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</si>
  <si>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</si>
  <si>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</si>
  <si>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</si>
  <si>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</si>
  <si>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</si>
  <si>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</si>
  <si>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</si>
  <si>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</si>
  <si>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</si>
  <si>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</si>
  <si>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</si>
  <si>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</si>
  <si>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</si>
  <si>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</si>
  <si>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</si>
  <si>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</si>
  <si>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</si>
  <si>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</si>
  <si>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</si>
  <si>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</si>
  <si>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</si>
  <si>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</si>
  <si>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</si>
  <si>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</si>
  <si>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</si>
  <si>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</si>
  <si>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</si>
  <si>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</si>
  <si>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</si>
  <si>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</si>
  <si>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</si>
  <si>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</si>
  <si>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</si>
  <si>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</si>
  <si>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</si>
  <si>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</si>
  <si>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</si>
  <si>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</si>
  <si>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</si>
  <si>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</si>
  <si>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</si>
  <si>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</si>
  <si>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</si>
  <si>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</si>
  <si>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</si>
  <si>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</si>
  <si>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</si>
  <si>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</si>
  <si>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</si>
  <si>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</si>
  <si>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</si>
  <si>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</si>
  <si>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</si>
  <si>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</si>
  <si>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</si>
  <si>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</si>
  <si>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</si>
  <si>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</si>
  <si>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</si>
  <si>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</si>
  <si>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</si>
  <si>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</si>
  <si>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</si>
  <si>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</si>
  <si>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</si>
  <si>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</si>
  <si>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</si>
  <si>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</si>
  <si>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</si>
  <si>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</si>
  <si>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</si>
  <si>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</si>
  <si>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</si>
  <si>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</si>
  <si>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</si>
  <si>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</si>
  <si>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</si>
  <si>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</si>
  <si>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</si>
  <si>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</si>
  <si>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</si>
  <si>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</si>
  <si>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</si>
  <si>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</si>
  <si>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</si>
  <si>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</si>
  <si>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</si>
  <si>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</si>
  <si>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</si>
  <si>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</si>
  <si>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</si>
  <si>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</si>
  <si>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</si>
  <si>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</si>
  <si>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</si>
  <si>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</si>
  <si>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</si>
  <si>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</si>
  <si>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</si>
  <si>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</si>
  <si>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</si>
  <si>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</si>
  <si>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</si>
  <si>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</si>
  <si>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</si>
  <si>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</si>
  <si>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</si>
  <si>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</si>
  <si>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</si>
  <si>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</si>
  <si>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</si>
  <si>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</si>
  <si>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</si>
  <si>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</si>
  <si>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</si>
  <si>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</si>
  <si>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</si>
  <si>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</si>
  <si>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</si>
  <si>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</si>
  <si>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</si>
  <si>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</si>
  <si>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</si>
  <si>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</si>
  <si>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</si>
  <si>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</si>
  <si>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</si>
  <si>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</si>
  <si>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</si>
  <si>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</si>
  <si>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</si>
  <si>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</si>
  <si>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</si>
  <si>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</si>
  <si>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</si>
  <si>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</si>
  <si>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</si>
  <si>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</si>
  <si>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</si>
  <si>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</si>
  <si>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</si>
  <si>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</si>
  <si>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</si>
  <si>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</si>
  <si>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</si>
  <si>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</si>
  <si>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</si>
  <si>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</si>
  <si>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</si>
  <si>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</si>
  <si>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</si>
  <si>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</si>
  <si>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</si>
  <si>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</si>
  <si>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</si>
  <si>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</si>
  <si>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</si>
  <si>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</si>
  <si>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</si>
  <si>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</si>
  <si>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</si>
  <si>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</si>
  <si>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</si>
  <si>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</si>
  <si>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</si>
  <si>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</si>
  <si>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</si>
  <si>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</si>
  <si>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</si>
  <si>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</si>
  <si>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</si>
  <si>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</si>
  <si>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</si>
  <si>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</si>
  <si>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</si>
  <si>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</si>
  <si>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</si>
  <si>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</si>
  <si>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</si>
  <si>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</si>
  <si>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</si>
  <si>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</si>
  <si>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</si>
  <si>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</si>
  <si>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</si>
  <si>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</si>
  <si>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</si>
  <si>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</si>
  <si>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</si>
  <si>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</si>
  <si>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</si>
  <si>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</si>
  <si>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</si>
  <si>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</si>
  <si>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</si>
  <si>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</si>
  <si>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</si>
  <si>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</si>
  <si>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</si>
  <si>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</si>
  <si>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</si>
  <si>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</si>
  <si>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</si>
  <si>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</si>
  <si>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</si>
  <si>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</si>
  <si>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</si>
  <si>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</si>
  <si>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</si>
  <si>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</si>
  <si>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</si>
  <si>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</si>
  <si>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</si>
  <si>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</si>
  <si>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</si>
  <si>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</si>
  <si>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</si>
  <si>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</si>
  <si>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</si>
  <si>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</si>
  <si>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</si>
  <si>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</si>
  <si>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</si>
  <si>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</si>
  <si>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</si>
  <si>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</si>
  <si>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</si>
  <si>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</si>
  <si>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</si>
  <si>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</si>
  <si>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</si>
  <si>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</si>
  <si>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</si>
  <si>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</si>
  <si>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</si>
  <si>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</si>
  <si>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</si>
  <si>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</si>
  <si>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</si>
  <si>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</si>
  <si>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</si>
  <si>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</si>
  <si>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</si>
  <si>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</si>
  <si>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</si>
  <si>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</si>
  <si>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</si>
  <si>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</si>
  <si>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</si>
  <si>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</si>
  <si>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</si>
  <si>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</si>
  <si>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</si>
  <si>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</si>
  <si>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</si>
  <si>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</si>
  <si>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</si>
  <si>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</si>
  <si>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</si>
  <si>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</si>
  <si>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</si>
  <si>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</si>
  <si>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</si>
  <si>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</si>
  <si>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</si>
  <si>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</si>
  <si>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</si>
  <si>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</si>
  <si>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</si>
  <si>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</si>
  <si>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</si>
  <si>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</si>
  <si>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</si>
  <si>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</si>
  <si>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</si>
  <si>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</si>
  <si>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</si>
  <si>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</si>
  <si>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</si>
  <si>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</si>
  <si>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</si>
  <si>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</si>
  <si>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</si>
  <si>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</si>
  <si>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</si>
  <si>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</si>
  <si>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</si>
  <si>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</si>
  <si>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</si>
  <si>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</si>
  <si>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</si>
  <si>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</si>
  <si>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</si>
  <si>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</si>
  <si>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</si>
  <si>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</si>
  <si>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</si>
  <si>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</si>
  <si>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</si>
  <si>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</si>
  <si>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</si>
  <si>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</si>
  <si>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</si>
  <si>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</si>
  <si>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</si>
  <si>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</si>
  <si>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</si>
  <si>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</si>
  <si>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</si>
  <si>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</si>
  <si>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</si>
  <si>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</si>
  <si>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</si>
  <si>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</si>
  <si>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</si>
  <si>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</si>
  <si>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</si>
  <si>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</si>
  <si>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</si>
  <si>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</si>
  <si>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</si>
  <si>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</si>
  <si>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</si>
  <si>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</si>
  <si>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</si>
  <si>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</si>
  <si>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</si>
  <si>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</si>
  <si>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</si>
  <si>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</si>
  <si>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</si>
  <si>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</si>
  <si>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</si>
  <si>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</si>
  <si>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</si>
  <si>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</si>
  <si>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</si>
  <si>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</si>
  <si>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</si>
  <si>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</si>
  <si>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</si>
  <si>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</si>
  <si>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</si>
  <si>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</si>
  <si>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</si>
  <si>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</si>
  <si>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</si>
  <si>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</si>
  <si>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</si>
  <si>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</si>
  <si>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</si>
  <si>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</si>
  <si>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</si>
  <si>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</si>
  <si>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</si>
  <si>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</si>
  <si>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</si>
  <si>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</si>
  <si>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</si>
  <si>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</si>
  <si>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</si>
  <si>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</si>
  <si>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</si>
  <si>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</si>
  <si>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</si>
  <si>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</si>
  <si>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</si>
  <si>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</si>
  <si>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</si>
  <si>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</si>
  <si>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</si>
  <si>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</si>
  <si>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</si>
  <si>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</si>
  <si>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</si>
  <si>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</si>
  <si>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</si>
  <si>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</si>
  <si>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</si>
  <si>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</si>
  <si>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</si>
  <si>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</si>
  <si>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</si>
  <si>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</si>
  <si>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</si>
  <si>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</si>
  <si>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</si>
  <si>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</si>
  <si>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</si>
  <si>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</si>
  <si>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</si>
  <si>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</si>
  <si>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</si>
  <si>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</si>
  <si>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</si>
  <si>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</si>
  <si>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</si>
  <si>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</si>
  <si>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</si>
  <si>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</si>
  <si>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</si>
  <si>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</si>
  <si>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</si>
  <si>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</si>
  <si>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</si>
  <si>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</si>
  <si>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</si>
  <si>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</si>
  <si>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</si>
  <si>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</si>
  <si>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</si>
  <si>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</si>
  <si>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</si>
  <si>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</si>
  <si>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</si>
  <si>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</si>
  <si>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</si>
  <si>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</si>
  <si>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</si>
  <si>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</si>
  <si>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</si>
  <si>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</si>
  <si>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</si>
  <si>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</si>
  <si>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</si>
  <si>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</si>
  <si>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</si>
  <si>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</si>
  <si>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</si>
  <si>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</si>
  <si>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</si>
  <si>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</si>
  <si>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</si>
  <si>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</si>
  <si>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</si>
  <si>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</si>
  <si>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</si>
  <si>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</si>
  <si>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</si>
  <si>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</si>
  <si>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</si>
  <si>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</si>
  <si>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</si>
  <si>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</si>
  <si>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</si>
  <si>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</si>
  <si>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</si>
  <si>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</si>
  <si>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</si>
  <si>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</si>
  <si>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</si>
  <si>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</si>
  <si>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</si>
  <si>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</si>
  <si>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</si>
  <si>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</si>
  <si>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</si>
  <si>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</si>
  <si>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</si>
  <si>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</si>
  <si>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</si>
  <si>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</si>
  <si>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</si>
  <si>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</si>
  <si>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</si>
  <si>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</si>
  <si>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</si>
  <si>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</si>
  <si>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</si>
  <si>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</si>
  <si>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</si>
  <si>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</si>
  <si>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</si>
  <si>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</si>
  <si>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</si>
  <si>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</si>
  <si>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</si>
  <si>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</si>
  <si>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</si>
  <si>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</si>
  <si>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</si>
  <si>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</si>
  <si>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</si>
  <si>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</si>
  <si>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</si>
  <si>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</si>
  <si>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</si>
  <si>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</si>
  <si>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</si>
  <si>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</si>
  <si>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</si>
  <si>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</si>
  <si>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</si>
  <si>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</si>
  <si>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</si>
  <si>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</si>
  <si>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</si>
  <si>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</si>
  <si>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</si>
  <si>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</si>
  <si>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</si>
  <si>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</si>
  <si>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</si>
  <si>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</si>
  <si>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</si>
  <si>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</si>
  <si>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</si>
  <si>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</si>
  <si>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</si>
  <si>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</si>
  <si>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</si>
  <si>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</si>
  <si>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</si>
  <si>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</si>
  <si>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</si>
  <si>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</si>
  <si>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</si>
  <si>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</si>
  <si>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</si>
  <si>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</si>
  <si>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</si>
  <si>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</si>
  <si>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</si>
  <si>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</si>
  <si>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</si>
  <si>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</si>
  <si>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</si>
  <si>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</si>
  <si>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</si>
  <si>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</si>
  <si>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</si>
  <si>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</si>
  <si>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</si>
  <si>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</si>
  <si>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</si>
  <si>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</si>
  <si>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</si>
  <si>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</si>
  <si>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</si>
  <si>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</si>
  <si>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</si>
  <si>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</si>
  <si>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</si>
  <si>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</si>
  <si>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</si>
  <si>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</si>
  <si>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</si>
  <si>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</si>
  <si>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</si>
  <si>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</si>
  <si>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</si>
  <si>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</si>
  <si>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</si>
  <si>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</si>
  <si>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</si>
  <si>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</si>
  <si>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</si>
  <si>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</si>
  <si>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</si>
  <si>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</si>
  <si>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</si>
  <si>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</si>
  <si>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</si>
  <si>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</si>
  <si>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</si>
  <si>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</si>
  <si>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</si>
  <si>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</si>
  <si>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</si>
  <si>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</si>
  <si>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</si>
  <si>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</si>
  <si>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</si>
  <si>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</si>
  <si>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</si>
  <si>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</si>
  <si>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</si>
  <si>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</si>
  <si>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</si>
  <si>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</si>
  <si>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</si>
  <si>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</si>
  <si>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</si>
  <si>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</si>
  <si>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</si>
  <si>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</si>
  <si>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</si>
  <si>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</si>
  <si>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</si>
  <si>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</si>
  <si>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</si>
  <si>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</si>
  <si>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</si>
  <si>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</si>
  <si>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</si>
  <si>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</si>
  <si>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</si>
  <si>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</si>
  <si>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</si>
  <si>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</si>
  <si>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</si>
  <si>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</si>
  <si>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</si>
  <si>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</si>
  <si>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</si>
  <si>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</si>
  <si>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</si>
  <si>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</si>
  <si>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</si>
  <si>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</si>
  <si>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</si>
  <si>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</si>
  <si>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</si>
  <si>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</si>
  <si>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是</t>
  </si>
  <si>
    <t>地上</t>
  </si>
  <si>
    <t>住宅</t>
  </si>
  <si>
    <t>出让</t>
  </si>
  <si>
    <t>企业</t>
  </si>
  <si>
    <t>其他：</t>
  </si>
  <si>
    <t>南国商苑</t>
  </si>
  <si>
    <t>南国商苑</t>
    <phoneticPr fontId="3" type="noConversion"/>
  </si>
  <si>
    <t>成新度</t>
  </si>
  <si>
    <t>收益法</t>
  </si>
  <si>
    <t>正常</t>
  </si>
  <si>
    <t>比较法-住宅</t>
  </si>
  <si>
    <t>押一</t>
  </si>
  <si>
    <t>按租金收入计税</t>
  </si>
  <si>
    <t>钢混</t>
  </si>
  <si>
    <t>非生产用房</t>
  </si>
  <si>
    <t>否</t>
  </si>
  <si>
    <t>总价</t>
  </si>
  <si>
    <t>收益比率</t>
  </si>
  <si>
    <t>情况4</t>
  </si>
  <si>
    <t>转让取得</t>
  </si>
  <si>
    <t>非个人房产</t>
  </si>
  <si>
    <t>2016年5月1日前购买</t>
  </si>
  <si>
    <t>抵押</t>
  </si>
  <si>
    <t>房地产抵押价值</t>
  </si>
  <si>
    <t>恒大公寓清单</t>
    <phoneticPr fontId="3" type="noConversion"/>
  </si>
  <si>
    <t>序号</t>
    <phoneticPr fontId="3" type="noConversion"/>
  </si>
  <si>
    <t>房号</t>
    <phoneticPr fontId="3" type="noConversion"/>
  </si>
  <si>
    <t>户型</t>
    <phoneticPr fontId="3" type="noConversion"/>
  </si>
  <si>
    <t>功能</t>
    <phoneticPr fontId="3" type="noConversion"/>
  </si>
  <si>
    <t>建筑面积</t>
    <phoneticPr fontId="3" type="noConversion"/>
  </si>
  <si>
    <t>套内面积</t>
    <phoneticPr fontId="3" type="noConversion"/>
  </si>
  <si>
    <t xml:space="preserve">分摊面积 </t>
    <phoneticPr fontId="3" type="noConversion"/>
  </si>
  <si>
    <t>单间</t>
  </si>
  <si>
    <t>住宅</t>
    <phoneticPr fontId="3" type="noConversion"/>
  </si>
  <si>
    <t>合计</t>
    <phoneticPr fontId="3" type="noConversion"/>
  </si>
  <si>
    <t>现房</t>
  </si>
  <si>
    <t>项目局部</t>
  </si>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</sst>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0" borderId="1" xfId="0" applyFont="1" applyBorder="1" applyAlignment="1" applyProtection="1">
      <alignment horizontal="center" vertical="center" wrapText="1"/>
      <protection locked="0"/>
    </xf>
    <xf numFmtId="0" fontId="97" fillId="0" borderId="1" xfId="0" applyFont="1" applyBorder="1" applyAlignment="1">
      <alignment horizontal="center" vertical="center"/>
    </xf>
    <xf numFmtId="0" fontId="254" fillId="3" borderId="1" xfId="0" applyFont="1" applyFill="1" applyBorder="1" applyAlignment="1">
      <alignment horizontal="center" vertical="center" wrapText="1"/>
    </xf>
    <xf numFmtId="0" fontId="97" fillId="3" borderId="1" xfId="0" applyFont="1" applyFill="1" applyBorder="1" applyAlignment="1">
      <alignment horizontal="center" vertical="center" wrapText="1"/>
    </xf>
    <xf numFmtId="43" fontId="254" fillId="3" borderId="1" xfId="0" applyNumberFormat="1" applyFont="1" applyFill="1" applyBorder="1" applyAlignment="1">
      <alignment horizontal="center"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66" fillId="0" borderId="60" xfId="0" applyFont="1" applyBorder="1" applyAlignment="1">
      <alignment horizontal="center" vertical="center"/>
    </xf>
    <xf numFmtId="0" fontId="254" fillId="3" borderId="5" xfId="0" applyFont="1" applyFill="1" applyBorder="1" applyAlignment="1">
      <alignment horizontal="center" vertical="center" wrapText="1"/>
    </xf>
    <xf numFmtId="0" fontId="254" fillId="3" borderId="54" xfId="0" applyFont="1" applyFill="1" applyBorder="1" applyAlignment="1">
      <alignment horizontal="center" vertical="center" wrapText="1"/>
    </xf>
    <xf numFmtId="0" fontId="254" fillId="3" borderId="3" xfId="0" applyFont="1" applyFill="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29</xdr:row>
      <xdr:rowOff>8902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85714" cy="4980952"/>
        </a:xfrm>
        <a:prstGeom prst="rect">
          <a:avLst/>
        </a:prstGeom>
      </xdr:spPr>
    </xdr:pic>
    <xdr:clientData/>
  </xdr:twoCellAnchor>
  <xdr:twoCellAnchor editAs="oneCell">
    <xdr:from>
      <xdr:col>0</xdr:col>
      <xdr:colOff>0</xdr:colOff>
      <xdr:row>46</xdr:row>
      <xdr:rowOff>123825</xdr:rowOff>
    </xdr:from>
    <xdr:to>
      <xdr:col>15</xdr:col>
      <xdr:colOff>513000</xdr:colOff>
      <xdr:row>72</xdr:row>
      <xdr:rowOff>113744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10525"/>
          <a:ext cx="10800000" cy="4447619"/>
        </a:xfrm>
        <a:prstGeom prst="rect">
          <a:avLst/>
        </a:prstGeom>
      </xdr:spPr>
    </xdr:pic>
    <xdr:clientData/>
  </xdr:twoCellAnchor>
  <xdr:twoCellAnchor editAs="oneCell">
    <xdr:from>
      <xdr:col>12</xdr:col>
      <xdr:colOff>0</xdr:colOff>
      <xdr:row>0</xdr:row>
      <xdr:rowOff>0</xdr:rowOff>
    </xdr:from>
    <xdr:to>
      <xdr:col>25</xdr:col>
      <xdr:colOff>103648</xdr:colOff>
      <xdr:row>44</xdr:row>
      <xdr:rowOff>151438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9019048" cy="7695238"/>
        </a:xfrm>
        <a:prstGeom prst="rect">
          <a:avLst/>
        </a:prstGeom>
      </xdr:spPr>
    </xdr:pic>
    <xdr:clientData/>
  </xdr:twoCellAnchor>
  <xdr:twoCellAnchor editAs="oneCell">
    <xdr:from>
      <xdr:col>16</xdr:col>
      <xdr:colOff>104775</xdr:colOff>
      <xdr:row>46</xdr:row>
      <xdr:rowOff>28575</xdr:rowOff>
    </xdr:from>
    <xdr:to>
      <xdr:col>29</xdr:col>
      <xdr:colOff>122708</xdr:colOff>
      <xdr:row>90</xdr:row>
      <xdr:rowOff>151442</xdr:rowOff>
    </xdr:to>
    <xdr:pic>
      <xdr:nvPicPr>
        <xdr:cNvPr id="5" name="图片 4"/>
        <xdr:cNvPicPr>
          <a:picLocks noChangeAspect="1"/>
        </xdr:cNvPicPr>
      </xdr:nvPicPr>
      <xdr:blipFill>
        <a:blip xmlns:r="http://schemas.openxmlformats.org/officeDocument/2006/relationships" r:embed="rId4"/>
        <a:stretch>
          <a:fillRect/>
        </a:stretch>
      </xdr:blipFill>
      <xdr:spPr>
        <a:xfrm>
          <a:off x="11077575" y="7915275"/>
          <a:ext cx="8933333" cy="7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估价对象为房地产，为所有。根据《国有土地使用证》[]，估价对象（分摊）出让国有建设用地使用权面积为0平方米，建筑面积为13623.5624平方米。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估价对象为房地产,属开发建设的，该项目尚在开发建设中。根据《国有土地使用证》[]，估价对象（分摊）出让国有建设用地使用权面积为0平方米，规划建筑面积为13623.5624平方米。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2021年4月21日（评估专业人员实地查勘之日）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130341</v>
      </c>
    </row>
    <row r="21" spans="1:2" s="1365" customFormat="1">
      <c r="A21" s="1363" t="s">
        <v>1202</v>
      </c>
      <c r="B21" s="1364">
        <f ca="1">'预评函-2'!D7</f>
        <v>95673</v>
      </c>
    </row>
    <row r="22" spans="1:2" s="1365" customFormat="1">
      <c r="A22" s="1363" t="s">
        <v>1203</v>
      </c>
      <c r="B22" s="1364" t="str">
        <f ca="1">'预评函-2'!D6</f>
        <v>壹拾叁亿零叁佰肆拾壹万元整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130341</v>
      </c>
    </row>
    <row r="31" spans="1:2" s="1365" customFormat="1">
      <c r="A31" s="1363" t="s">
        <v>1241</v>
      </c>
      <c r="B31" s="1364">
        <f ca="1">'预评函-2'!D15</f>
        <v>95673</v>
      </c>
    </row>
    <row r="32" spans="1:2" s="1365" customFormat="1">
      <c r="A32" s="1363" t="s">
        <v>1208</v>
      </c>
      <c r="B32" s="1364" t="str">
        <f ca="1">'预评函-2'!D14</f>
        <v>壹拾叁亿零叁佰肆拾壹万元整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93048</v>
      </c>
    </row>
    <row r="39" spans="1:2" s="1365" customFormat="1">
      <c r="A39" s="1363" t="s">
        <v>1210</v>
      </c>
      <c r="B39" s="1364">
        <f ca="1">'预评函-2'!D21</f>
        <v>68299</v>
      </c>
    </row>
    <row r="40" spans="1:2" s="1365" customFormat="1">
      <c r="A40" s="1363" t="s">
        <v>1211</v>
      </c>
      <c r="B40" s="1364" t="str">
        <f ca="1">'预评函-2'!D20</f>
        <v>玖亿叁仟零肆拾捌万元整</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13623.56239999999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77423</v>
      </c>
    </row>
    <row r="48" spans="1:2" s="1365" customFormat="1">
      <c r="A48" s="1363" t="s">
        <v>1214</v>
      </c>
      <c r="B48" s="1364">
        <f ca="1">'预评函-3'!E4</f>
        <v>56830</v>
      </c>
    </row>
    <row r="49" spans="1:2" s="1365" customFormat="1">
      <c r="A49" s="1363" t="s">
        <v>1215</v>
      </c>
      <c r="B49" s="1364" t="str">
        <f ca="1">'预评函-3'!D5</f>
        <v>柒亿柒仟肆佰贰拾叁万元整</v>
      </c>
    </row>
    <row r="50" spans="1:2" s="1365" customFormat="1">
      <c r="A50" s="1363" t="s">
        <v>1239</v>
      </c>
      <c r="B50" s="1364" t="str">
        <f>'预评函-3'!F2</f>
        <v>在建建筑物价值</v>
      </c>
    </row>
    <row r="51" spans="1:2" s="1365" customFormat="1">
      <c r="A51" s="1363" t="s">
        <v>1216</v>
      </c>
      <c r="B51" s="1364">
        <f ca="1">'预评函-3'!F4</f>
        <v>52918</v>
      </c>
    </row>
    <row r="52" spans="1:2" s="1365" customFormat="1">
      <c r="A52" s="1363" t="s">
        <v>1217</v>
      </c>
      <c r="B52" s="1364">
        <f ca="1">'预评函-3'!G4</f>
        <v>38843</v>
      </c>
    </row>
    <row r="53" spans="1:2" s="1365" customFormat="1">
      <c r="A53" s="1363" t="s">
        <v>1245</v>
      </c>
      <c r="B53" s="1364" t="str">
        <f ca="1">'预评函-3'!F5</f>
        <v>伍亿贰仟玖佰壹拾捌万元整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3031</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6" t="str">
        <f>IF(B10="北京市","北京市",C10)&amp;F10&amp;IF(结果表!G1="在建","出让国有建设用地使用权及在建建筑物",IF(结果表!G1="土地","出让国有建设用地使用权",))&amp;B9&amp;"预评估"</f>
        <v>房地产抵押价值预评估</v>
      </c>
      <c r="C1" s="3117"/>
      <c r="D1" s="3117"/>
      <c r="E1" s="3117"/>
      <c r="F1" s="3117"/>
      <c r="G1" s="3117"/>
      <c r="H1" s="3117"/>
      <c r="I1" s="311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v>44307</v>
      </c>
      <c r="C3" s="2598" t="s">
        <v>2918</v>
      </c>
      <c r="D3" s="2597">
        <v>44307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3079</v>
      </c>
      <c r="C8" s="2614"/>
      <c r="D8" s="3119" t="s">
        <v>2924</v>
      </c>
      <c r="E8" s="2615" t="s">
        <v>3080</v>
      </c>
      <c r="F8" s="2616"/>
      <c r="G8" s="2890"/>
      <c r="H8" s="2890"/>
      <c r="I8" s="2890"/>
      <c r="J8" s="2665"/>
      <c r="K8" s="2840"/>
      <c r="L8" s="2839"/>
      <c r="M8" s="2839"/>
      <c r="N8" s="2665"/>
      <c r="O8" s="2676"/>
      <c r="P8" s="2665"/>
      <c r="Q8" s="2665"/>
      <c r="R8" s="2665"/>
    </row>
    <row r="9" spans="1:28" ht="13.5" thickBot="1">
      <c r="A9" s="2617" t="s">
        <v>2925</v>
      </c>
      <c r="B9" s="2618" t="s">
        <v>3080</v>
      </c>
      <c r="C9" s="2619"/>
      <c r="D9" s="3120"/>
      <c r="E9" s="2618" t="s">
        <v>1252</v>
      </c>
      <c r="F9" s="2620"/>
      <c r="G9" s="2892"/>
      <c r="H9" s="2892"/>
      <c r="I9" s="2892"/>
      <c r="J9" s="2665"/>
      <c r="K9" s="2842"/>
      <c r="L9" s="2839"/>
      <c r="M9" s="2839"/>
      <c r="N9" s="2665"/>
      <c r="O9" s="2676"/>
      <c r="P9" s="2665"/>
      <c r="Q9" s="2665"/>
      <c r="R9" s="2665"/>
    </row>
    <row r="10" spans="1:28" ht="13.5" thickTop="1">
      <c r="A10" s="2621" t="s">
        <v>2926</v>
      </c>
      <c r="B10" s="2622" t="s">
        <v>3061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3060</v>
      </c>
      <c r="C11" s="2627"/>
      <c r="D11" s="2628"/>
      <c r="E11" s="2594"/>
      <c r="F11" s="2594"/>
      <c r="G11" s="2594"/>
      <c r="H11" s="2594"/>
      <c r="I11" s="2594"/>
      <c r="J11" s="2665"/>
      <c r="K11" s="2842"/>
      <c r="L11" s="2839"/>
      <c r="M11" s="2839"/>
      <c r="N11" s="2665"/>
      <c r="O11" s="2676"/>
      <c r="P11" s="2665"/>
      <c r="Q11" s="2665"/>
      <c r="R11" s="2665"/>
    </row>
    <row r="12" spans="1:28">
      <c r="A12" s="2629" t="s">
        <v>2929</v>
      </c>
      <c r="B12" s="2626" t="s">
        <v>3059</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v>64881</v>
      </c>
      <c r="E13" s="965"/>
      <c r="F13" s="965"/>
      <c r="G13" s="965"/>
      <c r="H13" s="965"/>
      <c r="I13" s="965"/>
      <c r="J13" s="2665"/>
      <c r="K13" s="2842"/>
      <c r="L13" s="2839"/>
      <c r="M13" s="2839"/>
      <c r="N13" s="2665"/>
      <c r="O13" s="2676"/>
      <c r="P13" s="2665"/>
      <c r="Q13" s="2665"/>
      <c r="R13" s="2665"/>
    </row>
    <row r="14" spans="1:28">
      <c r="A14" s="1241"/>
      <c r="B14" s="2631"/>
      <c r="C14" s="2632" t="s">
        <v>2938</v>
      </c>
      <c r="D14" s="2633">
        <v>70</v>
      </c>
      <c r="E14" s="2633"/>
      <c r="F14" s="2633"/>
      <c r="G14" s="2633"/>
      <c r="H14" s="2633"/>
      <c r="I14" s="2633"/>
      <c r="J14" s="2665"/>
      <c r="K14" s="2843"/>
      <c r="L14" s="2839"/>
      <c r="M14" s="2839"/>
      <c r="N14" s="2665"/>
      <c r="O14" s="2676"/>
      <c r="P14" s="2665"/>
      <c r="Q14" s="2665"/>
      <c r="R14" s="2665"/>
    </row>
    <row r="15" spans="1:28">
      <c r="A15" s="326"/>
      <c r="B15" s="2634"/>
      <c r="C15" s="2635" t="s">
        <v>2939</v>
      </c>
      <c r="D15" s="2636">
        <f>IF(B12="出让",IF(D13="","",ROUNDDOWN(MIN((D13-$D$3)/365,D14),2)),D14)</f>
        <v>56.36</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6"/>
      <c r="C16" s="3127"/>
      <c r="D16" s="3128"/>
      <c r="E16" s="2639" t="s">
        <v>2941</v>
      </c>
      <c r="F16" s="3129"/>
      <c r="G16" s="3130"/>
      <c r="H16" s="3130"/>
      <c r="I16" s="3131"/>
      <c r="J16" s="2665"/>
      <c r="K16" s="2844"/>
      <c r="L16" s="2677"/>
      <c r="M16" s="2677"/>
      <c r="N16" s="2735"/>
      <c r="O16" s="2677"/>
      <c r="P16" s="2735"/>
      <c r="Q16" s="2665"/>
      <c r="R16" s="2665"/>
    </row>
    <row r="17" spans="1:28">
      <c r="A17" s="319" t="s">
        <v>2942</v>
      </c>
      <c r="B17" s="308" t="s">
        <v>2943</v>
      </c>
      <c r="C17" s="11">
        <f>'数据-汇总表'!E3</f>
        <v>13623.56239999999</v>
      </c>
      <c r="D17" s="2545" t="s">
        <v>2944</v>
      </c>
      <c r="E17" s="3132" t="s">
        <v>2945</v>
      </c>
      <c r="F17" s="3133"/>
      <c r="G17" s="3133"/>
      <c r="H17" s="3133"/>
      <c r="I17" s="3134"/>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0</v>
      </c>
      <c r="D18" s="1252" t="s">
        <v>2948</v>
      </c>
      <c r="E18" s="3135" t="s">
        <v>2949</v>
      </c>
      <c r="F18" s="3136"/>
      <c r="G18" s="3136"/>
      <c r="H18" s="3136"/>
      <c r="I18" s="3137"/>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22" t="s">
        <v>2953</v>
      </c>
      <c r="C20" s="3123"/>
      <c r="D20" s="3124" t="s">
        <v>2954</v>
      </c>
      <c r="E20" s="3125"/>
      <c r="F20" s="2874" t="s">
        <v>1742</v>
      </c>
      <c r="G20" s="2891"/>
      <c r="H20" s="2891"/>
      <c r="I20" s="2891"/>
      <c r="J20" s="2665"/>
      <c r="K20" s="312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9"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9"/>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9"/>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0"/>
      <c r="B30" s="308" t="s">
        <v>2965</v>
      </c>
      <c r="C30" s="3111"/>
      <c r="D30" s="3112"/>
      <c r="E30" s="2891"/>
      <c r="F30" s="2891"/>
      <c r="G30" s="2891"/>
      <c r="H30" s="2891"/>
      <c r="I30" s="2891"/>
      <c r="J30" s="2665"/>
      <c r="K30" s="2842"/>
      <c r="L30" s="2839"/>
      <c r="M30" s="2839"/>
      <c r="N30" s="2665"/>
      <c r="O30" s="2676"/>
      <c r="P30" s="2665"/>
      <c r="Q30" s="2665"/>
      <c r="R30" s="2665"/>
      <c r="S30" s="2665"/>
      <c r="T30" s="2665"/>
      <c r="U30" s="2665"/>
      <c r="V30" s="2665"/>
    </row>
    <row r="31" spans="1:28">
      <c r="A31" s="3113"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1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1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08" t="s">
        <v>2975</v>
      </c>
      <c r="T34" s="2654" t="str">
        <f>NUMBERSTRING(7-K34,1)&amp;"通"</f>
        <v>七通</v>
      </c>
      <c r="U34" s="2665"/>
      <c r="V34" s="2665"/>
    </row>
    <row r="35" spans="1:30">
      <c r="A35" s="2655"/>
      <c r="B35" s="3115" t="s">
        <v>2976</v>
      </c>
      <c r="C35" s="3115"/>
      <c r="D35" s="3115"/>
      <c r="E35" s="3115"/>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8"/>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13623.56239999999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13623.56239999999</v>
      </c>
      <c r="H5" s="16">
        <f t="shared" ref="H5:AT5" si="0">SUM(H13:H656)</f>
        <v>13623.56239999999</v>
      </c>
      <c r="I5" s="16">
        <f t="shared" si="0"/>
        <v>13623.56239999999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13623.56239999999</v>
      </c>
      <c r="BA5" s="18">
        <f t="shared" si="1"/>
        <v>13623.56239999999</v>
      </c>
      <c r="BB5" s="18">
        <f t="shared" si="1"/>
        <v>13623.56239999999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3057</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3058</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0" t="s">
        <v>3063</v>
      </c>
      <c r="D13" s="1810" t="s">
        <v>3056</v>
      </c>
      <c r="E13" s="16">
        <f>IF($C$3="是",ROUND($A$3*G13/$B$3,2),ROUND($A$3*(G13-AT13)/$B$3,2))</f>
        <v>0</v>
      </c>
      <c r="F13" s="32"/>
      <c r="G13" s="33">
        <f>H13+AC13+AT13</f>
        <v>13623.56239999999</v>
      </c>
      <c r="H13" s="20">
        <f>SUMIF(I$12:AB$12,"总值",I13:AB13)</f>
        <v>13623.56239999999</v>
      </c>
      <c r="I13" s="1811">
        <f>清单!E339</f>
        <v>13623.56239999999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南国商苑</v>
      </c>
      <c r="AY13" s="1533">
        <f>ROUND($AY$6*AZ13/$AZ$5,2)</f>
        <v>0</v>
      </c>
      <c r="AZ13" s="16">
        <f>BA13+BL13</f>
        <v>13623.56239999999</v>
      </c>
      <c r="BA13" s="16">
        <f>SUM(BB13:BK13)</f>
        <v>13623.56239999999</v>
      </c>
      <c r="BB13" s="16">
        <f>IF($D13="是",I13-J13,0)</f>
        <v>13623.56239999999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workbookViewId="0">
      <selection activeCell="K7" sqref="K7"/>
    </sheetView>
  </sheetViews>
  <sheetFormatPr defaultRowHeight="13.5"/>
  <cols>
    <col min="1" max="4" width="5.25" bestFit="1" customWidth="1"/>
    <col min="5" max="5" width="9.875" bestFit="1" customWidth="1"/>
    <col min="6" max="6" width="9.5" bestFit="1" customWidth="1"/>
    <col min="7" max="7" width="10" bestFit="1" customWidth="1"/>
  </cols>
  <sheetData>
    <row r="1" spans="1:7" ht="20.25">
      <c r="A1" s="3140" t="s">
        <v>3081</v>
      </c>
      <c r="B1" s="3140"/>
      <c r="C1" s="3140"/>
      <c r="D1" s="3140"/>
      <c r="E1" s="3140"/>
      <c r="F1" s="3140"/>
      <c r="G1" s="3140"/>
    </row>
    <row r="2" spans="1:7">
      <c r="A2" s="3061" t="s">
        <v>3082</v>
      </c>
      <c r="B2" s="3061" t="s">
        <v>3083</v>
      </c>
      <c r="C2" s="3061" t="s">
        <v>3084</v>
      </c>
      <c r="D2" s="3061" t="s">
        <v>3085</v>
      </c>
      <c r="E2" s="3061" t="s">
        <v>3086</v>
      </c>
      <c r="F2" s="3061" t="s">
        <v>3087</v>
      </c>
      <c r="G2" s="3061" t="s">
        <v>3088</v>
      </c>
    </row>
    <row r="3" spans="1:7" ht="15">
      <c r="A3" s="3061">
        <v>1</v>
      </c>
      <c r="B3" s="3062">
        <v>302</v>
      </c>
      <c r="C3" s="3062" t="s">
        <v>3089</v>
      </c>
      <c r="D3" s="3062" t="s">
        <v>3058</v>
      </c>
      <c r="E3" s="3062">
        <v>36.154499999999999</v>
      </c>
      <c r="F3" s="3062">
        <v>27.581299999999999</v>
      </c>
      <c r="G3" s="3062">
        <v>8.5731999999999999</v>
      </c>
    </row>
    <row r="4" spans="1:7" ht="15">
      <c r="A4" s="3061">
        <v>2</v>
      </c>
      <c r="B4" s="3062">
        <v>303</v>
      </c>
      <c r="C4" s="3062" t="s">
        <v>3089</v>
      </c>
      <c r="D4" s="3062" t="s">
        <v>3058</v>
      </c>
      <c r="E4" s="3062">
        <v>26.0855</v>
      </c>
      <c r="F4" s="3062">
        <v>19.899999999999999</v>
      </c>
      <c r="G4" s="3062">
        <v>6.1855000000000002</v>
      </c>
    </row>
    <row r="5" spans="1:7" ht="15">
      <c r="A5" s="3061">
        <v>3</v>
      </c>
      <c r="B5" s="3062">
        <v>304</v>
      </c>
      <c r="C5" s="3062" t="s">
        <v>3089</v>
      </c>
      <c r="D5" s="3062" t="s">
        <v>3058</v>
      </c>
      <c r="E5" s="3062">
        <v>37.473399999999998</v>
      </c>
      <c r="F5" s="3062">
        <v>28.587499999999999</v>
      </c>
      <c r="G5" s="3062">
        <v>8.8858999999999995</v>
      </c>
    </row>
    <row r="6" spans="1:7" ht="15">
      <c r="A6" s="3061">
        <v>4</v>
      </c>
      <c r="B6" s="3062">
        <v>305</v>
      </c>
      <c r="C6" s="3062" t="s">
        <v>3089</v>
      </c>
      <c r="D6" s="3062" t="s">
        <v>3058</v>
      </c>
      <c r="E6" s="3062">
        <v>38.482700000000001</v>
      </c>
      <c r="F6" s="3062">
        <v>29.357500000000002</v>
      </c>
      <c r="G6" s="3062">
        <v>9.1251999999999995</v>
      </c>
    </row>
    <row r="7" spans="1:7" ht="15">
      <c r="A7" s="3061">
        <v>5</v>
      </c>
      <c r="B7" s="3062">
        <v>306</v>
      </c>
      <c r="C7" s="3062" t="s">
        <v>3089</v>
      </c>
      <c r="D7" s="3062" t="s">
        <v>3058</v>
      </c>
      <c r="E7" s="3062">
        <v>38.482700000000001</v>
      </c>
      <c r="F7" s="3062">
        <v>29.357500000000002</v>
      </c>
      <c r="G7" s="3062">
        <v>9.1251999999999995</v>
      </c>
    </row>
    <row r="8" spans="1:7" ht="15">
      <c r="A8" s="3061">
        <v>6</v>
      </c>
      <c r="B8" s="3062">
        <v>307</v>
      </c>
      <c r="C8" s="3062" t="s">
        <v>3089</v>
      </c>
      <c r="D8" s="3062" t="s">
        <v>3058</v>
      </c>
      <c r="E8" s="3062">
        <v>38.482700000000001</v>
      </c>
      <c r="F8" s="3062">
        <v>29.357500000000002</v>
      </c>
      <c r="G8" s="3062">
        <v>9.1251999999999995</v>
      </c>
    </row>
    <row r="9" spans="1:7" ht="15">
      <c r="A9" s="3061">
        <v>7</v>
      </c>
      <c r="B9" s="3062">
        <v>308</v>
      </c>
      <c r="C9" s="3062" t="s">
        <v>3089</v>
      </c>
      <c r="D9" s="3062" t="s">
        <v>3058</v>
      </c>
      <c r="E9" s="3062">
        <v>38.410600000000002</v>
      </c>
      <c r="F9" s="3062">
        <v>29.302499999999998</v>
      </c>
      <c r="G9" s="3062">
        <v>9.1081000000000003</v>
      </c>
    </row>
    <row r="10" spans="1:7" ht="15">
      <c r="A10" s="3061">
        <v>8</v>
      </c>
      <c r="B10" s="3062">
        <v>309</v>
      </c>
      <c r="C10" s="3062" t="s">
        <v>3089</v>
      </c>
      <c r="D10" s="3062" t="s">
        <v>3058</v>
      </c>
      <c r="E10" s="3062">
        <v>39.875500000000002</v>
      </c>
      <c r="F10" s="3062">
        <v>30.42</v>
      </c>
      <c r="G10" s="3062">
        <v>9.4555000000000007</v>
      </c>
    </row>
    <row r="11" spans="1:7" ht="15">
      <c r="A11" s="3061">
        <v>9</v>
      </c>
      <c r="B11" s="3062">
        <v>310</v>
      </c>
      <c r="C11" s="3062" t="s">
        <v>3089</v>
      </c>
      <c r="D11" s="3062" t="s">
        <v>3058</v>
      </c>
      <c r="E11" s="3062">
        <v>39.947400000000002</v>
      </c>
      <c r="F11" s="3062">
        <v>30.475000000000001</v>
      </c>
      <c r="G11" s="3062">
        <v>9.4724000000000004</v>
      </c>
    </row>
    <row r="12" spans="1:7" ht="15">
      <c r="A12" s="3061">
        <v>10</v>
      </c>
      <c r="B12" s="3062">
        <v>311</v>
      </c>
      <c r="C12" s="3062" t="s">
        <v>3089</v>
      </c>
      <c r="D12" s="3062" t="s">
        <v>3058</v>
      </c>
      <c r="E12" s="3062">
        <v>50.8078</v>
      </c>
      <c r="F12" s="3062">
        <v>38.76</v>
      </c>
      <c r="G12" s="3062">
        <v>12.047800000000001</v>
      </c>
    </row>
    <row r="13" spans="1:7" ht="15">
      <c r="A13" s="3061">
        <v>11</v>
      </c>
      <c r="B13" s="3062">
        <v>312</v>
      </c>
      <c r="C13" s="3062" t="s">
        <v>3089</v>
      </c>
      <c r="D13" s="3062" t="s">
        <v>3058</v>
      </c>
      <c r="E13" s="3062">
        <v>38.885899999999999</v>
      </c>
      <c r="F13" s="3062">
        <v>29.664999999999999</v>
      </c>
      <c r="G13" s="3062">
        <v>9.2209000000000003</v>
      </c>
    </row>
    <row r="14" spans="1:7" ht="15">
      <c r="A14" s="3061">
        <v>12</v>
      </c>
      <c r="B14" s="3062">
        <v>313</v>
      </c>
      <c r="C14" s="3062" t="s">
        <v>3089</v>
      </c>
      <c r="D14" s="3062" t="s">
        <v>3058</v>
      </c>
      <c r="E14" s="3062">
        <v>63.467100000000002</v>
      </c>
      <c r="F14" s="3062">
        <v>48.417499999999997</v>
      </c>
      <c r="G14" s="3062">
        <v>15.0496</v>
      </c>
    </row>
    <row r="15" spans="1:7" ht="15">
      <c r="A15" s="3061">
        <v>13</v>
      </c>
      <c r="B15" s="3062">
        <v>402</v>
      </c>
      <c r="C15" s="3062" t="s">
        <v>3089</v>
      </c>
      <c r="D15" s="3062" t="s">
        <v>3058</v>
      </c>
      <c r="E15" s="3062">
        <v>36.154499999999999</v>
      </c>
      <c r="F15" s="3062">
        <v>27.581299999999999</v>
      </c>
      <c r="G15" s="3062">
        <v>8.5731999999999999</v>
      </c>
    </row>
    <row r="16" spans="1:7" ht="15">
      <c r="A16" s="3061">
        <v>14</v>
      </c>
      <c r="B16" s="3062">
        <v>403</v>
      </c>
      <c r="C16" s="3062" t="s">
        <v>3089</v>
      </c>
      <c r="D16" s="3062" t="s">
        <v>3058</v>
      </c>
      <c r="E16" s="3062">
        <v>26.0855</v>
      </c>
      <c r="F16" s="3062">
        <v>19.899999999999999</v>
      </c>
      <c r="G16" s="3062">
        <v>6.1855000000000002</v>
      </c>
    </row>
    <row r="17" spans="1:7" ht="15">
      <c r="A17" s="3061">
        <v>15</v>
      </c>
      <c r="B17" s="3062">
        <v>404</v>
      </c>
      <c r="C17" s="3062" t="s">
        <v>3089</v>
      </c>
      <c r="D17" s="3062" t="s">
        <v>3058</v>
      </c>
      <c r="E17" s="3062">
        <v>37.473399999999998</v>
      </c>
      <c r="F17" s="3062">
        <v>28.587499999999999</v>
      </c>
      <c r="G17" s="3062">
        <v>8.8858999999999995</v>
      </c>
    </row>
    <row r="18" spans="1:7" ht="15">
      <c r="A18" s="3061">
        <v>16</v>
      </c>
      <c r="B18" s="3062">
        <v>405</v>
      </c>
      <c r="C18" s="3062" t="s">
        <v>3089</v>
      </c>
      <c r="D18" s="3062" t="s">
        <v>3058</v>
      </c>
      <c r="E18" s="3062">
        <v>38.482700000000001</v>
      </c>
      <c r="F18" s="3062">
        <v>29.357500000000002</v>
      </c>
      <c r="G18" s="3062">
        <v>9.1251999999999995</v>
      </c>
    </row>
    <row r="19" spans="1:7" ht="15">
      <c r="A19" s="3061">
        <v>17</v>
      </c>
      <c r="B19" s="3062">
        <v>406</v>
      </c>
      <c r="C19" s="3062" t="s">
        <v>3089</v>
      </c>
      <c r="D19" s="3062" t="s">
        <v>3058</v>
      </c>
      <c r="E19" s="3062">
        <v>38.482700000000001</v>
      </c>
      <c r="F19" s="3062">
        <v>29.357500000000002</v>
      </c>
      <c r="G19" s="3062">
        <v>9.1251999999999995</v>
      </c>
    </row>
    <row r="20" spans="1:7" ht="15">
      <c r="A20" s="3061">
        <v>18</v>
      </c>
      <c r="B20" s="3062">
        <v>407</v>
      </c>
      <c r="C20" s="3062" t="s">
        <v>3089</v>
      </c>
      <c r="D20" s="3062" t="s">
        <v>3058</v>
      </c>
      <c r="E20" s="3062">
        <v>38.482700000000001</v>
      </c>
      <c r="F20" s="3062">
        <v>29.357500000000002</v>
      </c>
      <c r="G20" s="3062">
        <v>9.1251999999999995</v>
      </c>
    </row>
    <row r="21" spans="1:7" ht="15">
      <c r="A21" s="3061">
        <v>19</v>
      </c>
      <c r="B21" s="3062">
        <v>408</v>
      </c>
      <c r="C21" s="3062" t="s">
        <v>3089</v>
      </c>
      <c r="D21" s="3062" t="s">
        <v>3058</v>
      </c>
      <c r="E21" s="3062">
        <v>38.410600000000002</v>
      </c>
      <c r="F21" s="3062">
        <v>29.302499999999998</v>
      </c>
      <c r="G21" s="3062">
        <v>9.1081000000000003</v>
      </c>
    </row>
    <row r="22" spans="1:7" ht="15">
      <c r="A22" s="3061">
        <v>20</v>
      </c>
      <c r="B22" s="3062">
        <v>409</v>
      </c>
      <c r="C22" s="3062" t="s">
        <v>3089</v>
      </c>
      <c r="D22" s="3062" t="s">
        <v>3058</v>
      </c>
      <c r="E22" s="3062">
        <v>39.875500000000002</v>
      </c>
      <c r="F22" s="3062">
        <v>30.42</v>
      </c>
      <c r="G22" s="3062">
        <v>9.4555000000000007</v>
      </c>
    </row>
    <row r="23" spans="1:7" ht="15">
      <c r="A23" s="3061">
        <v>21</v>
      </c>
      <c r="B23" s="3062">
        <v>410</v>
      </c>
      <c r="C23" s="3062" t="s">
        <v>3089</v>
      </c>
      <c r="D23" s="3062" t="s">
        <v>3058</v>
      </c>
      <c r="E23" s="3062">
        <v>39.947400000000002</v>
      </c>
      <c r="F23" s="3062">
        <v>30.475000000000001</v>
      </c>
      <c r="G23" s="3062">
        <v>9.4724000000000004</v>
      </c>
    </row>
    <row r="24" spans="1:7" ht="15">
      <c r="A24" s="3061">
        <v>22</v>
      </c>
      <c r="B24" s="3062">
        <v>411</v>
      </c>
      <c r="C24" s="3062" t="s">
        <v>3089</v>
      </c>
      <c r="D24" s="3062" t="s">
        <v>3058</v>
      </c>
      <c r="E24" s="3062">
        <v>50.8078</v>
      </c>
      <c r="F24" s="3062">
        <v>38.76</v>
      </c>
      <c r="G24" s="3062">
        <v>12.047800000000001</v>
      </c>
    </row>
    <row r="25" spans="1:7" ht="15">
      <c r="A25" s="3061">
        <v>23</v>
      </c>
      <c r="B25" s="3062">
        <v>412</v>
      </c>
      <c r="C25" s="3062" t="s">
        <v>3089</v>
      </c>
      <c r="D25" s="3062" t="s">
        <v>3058</v>
      </c>
      <c r="E25" s="3062">
        <v>38.885899999999999</v>
      </c>
      <c r="F25" s="3062">
        <v>29.664999999999999</v>
      </c>
      <c r="G25" s="3062">
        <v>9.2209000000000003</v>
      </c>
    </row>
    <row r="26" spans="1:7" ht="15">
      <c r="A26" s="3061">
        <v>24</v>
      </c>
      <c r="B26" s="3062">
        <v>413</v>
      </c>
      <c r="C26" s="3062" t="s">
        <v>3089</v>
      </c>
      <c r="D26" s="3062" t="s">
        <v>3058</v>
      </c>
      <c r="E26" s="3062">
        <v>63.467100000000002</v>
      </c>
      <c r="F26" s="3062">
        <v>48.417499999999997</v>
      </c>
      <c r="G26" s="3062">
        <v>15.0496</v>
      </c>
    </row>
    <row r="27" spans="1:7" ht="15">
      <c r="A27" s="3061">
        <v>25</v>
      </c>
      <c r="B27" s="3062">
        <v>502</v>
      </c>
      <c r="C27" s="3062" t="s">
        <v>3089</v>
      </c>
      <c r="D27" s="3062" t="s">
        <v>3058</v>
      </c>
      <c r="E27" s="3062">
        <v>36.154499999999999</v>
      </c>
      <c r="F27" s="3062">
        <v>27.581299999999999</v>
      </c>
      <c r="G27" s="3062">
        <v>8.5731999999999999</v>
      </c>
    </row>
    <row r="28" spans="1:7" ht="15">
      <c r="A28" s="3061">
        <v>26</v>
      </c>
      <c r="B28" s="3062">
        <v>503</v>
      </c>
      <c r="C28" s="3062" t="s">
        <v>3089</v>
      </c>
      <c r="D28" s="3062" t="s">
        <v>3058</v>
      </c>
      <c r="E28" s="3062">
        <v>26.0855</v>
      </c>
      <c r="F28" s="3062">
        <v>19.899999999999999</v>
      </c>
      <c r="G28" s="3062">
        <v>6.1855000000000002</v>
      </c>
    </row>
    <row r="29" spans="1:7" ht="15">
      <c r="A29" s="3061">
        <v>27</v>
      </c>
      <c r="B29" s="3062">
        <v>504</v>
      </c>
      <c r="C29" s="3062" t="s">
        <v>3089</v>
      </c>
      <c r="D29" s="3062" t="s">
        <v>3058</v>
      </c>
      <c r="E29" s="3062">
        <v>37.473399999999998</v>
      </c>
      <c r="F29" s="3062">
        <v>28.587499999999999</v>
      </c>
      <c r="G29" s="3062">
        <v>8.8858999999999995</v>
      </c>
    </row>
    <row r="30" spans="1:7" ht="15">
      <c r="A30" s="3061">
        <v>28</v>
      </c>
      <c r="B30" s="3062">
        <v>505</v>
      </c>
      <c r="C30" s="3062" t="s">
        <v>3089</v>
      </c>
      <c r="D30" s="3062" t="s">
        <v>3058</v>
      </c>
      <c r="E30" s="3062">
        <v>38.482700000000001</v>
      </c>
      <c r="F30" s="3062">
        <v>29.357500000000002</v>
      </c>
      <c r="G30" s="3062">
        <v>9.1251999999999995</v>
      </c>
    </row>
    <row r="31" spans="1:7" ht="15">
      <c r="A31" s="3061">
        <v>29</v>
      </c>
      <c r="B31" s="3062">
        <v>506</v>
      </c>
      <c r="C31" s="3062" t="s">
        <v>3089</v>
      </c>
      <c r="D31" s="3062" t="s">
        <v>3058</v>
      </c>
      <c r="E31" s="3062">
        <v>38.482700000000001</v>
      </c>
      <c r="F31" s="3062">
        <v>29.357500000000002</v>
      </c>
      <c r="G31" s="3062">
        <v>9.1251999999999995</v>
      </c>
    </row>
    <row r="32" spans="1:7" ht="15">
      <c r="A32" s="3061">
        <v>30</v>
      </c>
      <c r="B32" s="3062">
        <v>507</v>
      </c>
      <c r="C32" s="3062" t="s">
        <v>3089</v>
      </c>
      <c r="D32" s="3062" t="s">
        <v>3058</v>
      </c>
      <c r="E32" s="3062">
        <v>38.482700000000001</v>
      </c>
      <c r="F32" s="3062">
        <v>29.357500000000002</v>
      </c>
      <c r="G32" s="3062">
        <v>9.1251999999999995</v>
      </c>
    </row>
    <row r="33" spans="1:7" ht="15">
      <c r="A33" s="3061">
        <v>31</v>
      </c>
      <c r="B33" s="3062">
        <v>508</v>
      </c>
      <c r="C33" s="3062" t="s">
        <v>3089</v>
      </c>
      <c r="D33" s="3062" t="s">
        <v>3058</v>
      </c>
      <c r="E33" s="3062">
        <v>38.410600000000002</v>
      </c>
      <c r="F33" s="3062">
        <v>29.302499999999998</v>
      </c>
      <c r="G33" s="3062">
        <v>9.1081000000000003</v>
      </c>
    </row>
    <row r="34" spans="1:7" ht="15">
      <c r="A34" s="3061">
        <v>32</v>
      </c>
      <c r="B34" s="3062">
        <v>509</v>
      </c>
      <c r="C34" s="3062" t="s">
        <v>3089</v>
      </c>
      <c r="D34" s="3062" t="s">
        <v>3058</v>
      </c>
      <c r="E34" s="3062">
        <v>39.875500000000002</v>
      </c>
      <c r="F34" s="3062">
        <v>30.42</v>
      </c>
      <c r="G34" s="3062">
        <v>9.4555000000000007</v>
      </c>
    </row>
    <row r="35" spans="1:7" ht="15">
      <c r="A35" s="3061">
        <v>33</v>
      </c>
      <c r="B35" s="3062">
        <v>510</v>
      </c>
      <c r="C35" s="3062" t="s">
        <v>3089</v>
      </c>
      <c r="D35" s="3062" t="s">
        <v>3058</v>
      </c>
      <c r="E35" s="3062">
        <v>39.947400000000002</v>
      </c>
      <c r="F35" s="3062">
        <v>30.475000000000001</v>
      </c>
      <c r="G35" s="3062">
        <v>9.4724000000000004</v>
      </c>
    </row>
    <row r="36" spans="1:7" ht="15">
      <c r="A36" s="3061">
        <v>34</v>
      </c>
      <c r="B36" s="3062">
        <v>511</v>
      </c>
      <c r="C36" s="3062" t="s">
        <v>3089</v>
      </c>
      <c r="D36" s="3062" t="s">
        <v>3058</v>
      </c>
      <c r="E36" s="3062">
        <v>50.8078</v>
      </c>
      <c r="F36" s="3062">
        <v>38.76</v>
      </c>
      <c r="G36" s="3062">
        <v>12.047800000000001</v>
      </c>
    </row>
    <row r="37" spans="1:7" ht="15">
      <c r="A37" s="3061">
        <v>35</v>
      </c>
      <c r="B37" s="3062">
        <v>512</v>
      </c>
      <c r="C37" s="3062" t="s">
        <v>3089</v>
      </c>
      <c r="D37" s="3062" t="s">
        <v>3058</v>
      </c>
      <c r="E37" s="3062">
        <v>38.885899999999999</v>
      </c>
      <c r="F37" s="3062">
        <v>29.664999999999999</v>
      </c>
      <c r="G37" s="3062">
        <v>9.2209000000000003</v>
      </c>
    </row>
    <row r="38" spans="1:7" ht="15">
      <c r="A38" s="3061">
        <v>36</v>
      </c>
      <c r="B38" s="3062">
        <v>513</v>
      </c>
      <c r="C38" s="3062" t="s">
        <v>3089</v>
      </c>
      <c r="D38" s="3062" t="s">
        <v>3058</v>
      </c>
      <c r="E38" s="3062">
        <v>63.467100000000002</v>
      </c>
      <c r="F38" s="3062">
        <v>48.417499999999997</v>
      </c>
      <c r="G38" s="3062">
        <v>15.0496</v>
      </c>
    </row>
    <row r="39" spans="1:7" ht="15">
      <c r="A39" s="3061">
        <v>37</v>
      </c>
      <c r="B39" s="3062">
        <v>602</v>
      </c>
      <c r="C39" s="3062" t="s">
        <v>3089</v>
      </c>
      <c r="D39" s="3062" t="s">
        <v>3058</v>
      </c>
      <c r="E39" s="3062">
        <v>36.154499999999999</v>
      </c>
      <c r="F39" s="3062">
        <v>27.581299999999999</v>
      </c>
      <c r="G39" s="3062">
        <v>8.5731999999999999</v>
      </c>
    </row>
    <row r="40" spans="1:7" ht="15">
      <c r="A40" s="3061">
        <v>38</v>
      </c>
      <c r="B40" s="3062">
        <v>603</v>
      </c>
      <c r="C40" s="3062" t="s">
        <v>3089</v>
      </c>
      <c r="D40" s="3062" t="s">
        <v>3058</v>
      </c>
      <c r="E40" s="3062">
        <v>26.0855</v>
      </c>
      <c r="F40" s="3062">
        <v>19.899999999999999</v>
      </c>
      <c r="G40" s="3062">
        <v>6.1855000000000002</v>
      </c>
    </row>
    <row r="41" spans="1:7" ht="15">
      <c r="A41" s="3061">
        <v>39</v>
      </c>
      <c r="B41" s="3062">
        <v>604</v>
      </c>
      <c r="C41" s="3062" t="s">
        <v>3089</v>
      </c>
      <c r="D41" s="3062" t="s">
        <v>3058</v>
      </c>
      <c r="E41" s="3062">
        <v>37.473399999999998</v>
      </c>
      <c r="F41" s="3062">
        <v>28.587499999999999</v>
      </c>
      <c r="G41" s="3062">
        <v>8.8858999999999995</v>
      </c>
    </row>
    <row r="42" spans="1:7" ht="15">
      <c r="A42" s="3061">
        <v>40</v>
      </c>
      <c r="B42" s="3062">
        <v>605</v>
      </c>
      <c r="C42" s="3062" t="s">
        <v>3089</v>
      </c>
      <c r="D42" s="3062" t="s">
        <v>3058</v>
      </c>
      <c r="E42" s="3062">
        <v>38.482700000000001</v>
      </c>
      <c r="F42" s="3062">
        <v>29.357500000000002</v>
      </c>
      <c r="G42" s="3062">
        <v>9.1251999999999995</v>
      </c>
    </row>
    <row r="43" spans="1:7" ht="15">
      <c r="A43" s="3061">
        <v>41</v>
      </c>
      <c r="B43" s="3062">
        <v>606</v>
      </c>
      <c r="C43" s="3062" t="s">
        <v>3089</v>
      </c>
      <c r="D43" s="3062" t="s">
        <v>3058</v>
      </c>
      <c r="E43" s="3062">
        <v>38.482700000000001</v>
      </c>
      <c r="F43" s="3062">
        <v>29.357500000000002</v>
      </c>
      <c r="G43" s="3062">
        <v>9.1251999999999995</v>
      </c>
    </row>
    <row r="44" spans="1:7" ht="15">
      <c r="A44" s="3061">
        <v>42</v>
      </c>
      <c r="B44" s="3062">
        <v>607</v>
      </c>
      <c r="C44" s="3062" t="s">
        <v>3089</v>
      </c>
      <c r="D44" s="3062" t="s">
        <v>3058</v>
      </c>
      <c r="E44" s="3062">
        <v>38.482700000000001</v>
      </c>
      <c r="F44" s="3062">
        <v>29.357500000000002</v>
      </c>
      <c r="G44" s="3062">
        <v>9.1251999999999995</v>
      </c>
    </row>
    <row r="45" spans="1:7" ht="15">
      <c r="A45" s="3061">
        <v>43</v>
      </c>
      <c r="B45" s="3062">
        <v>608</v>
      </c>
      <c r="C45" s="3062" t="s">
        <v>3089</v>
      </c>
      <c r="D45" s="3062" t="s">
        <v>3058</v>
      </c>
      <c r="E45" s="3062">
        <v>38.410600000000002</v>
      </c>
      <c r="F45" s="3062">
        <v>29.302499999999998</v>
      </c>
      <c r="G45" s="3062">
        <v>9.1081000000000003</v>
      </c>
    </row>
    <row r="46" spans="1:7" ht="15">
      <c r="A46" s="3061">
        <v>44</v>
      </c>
      <c r="B46" s="3062">
        <v>609</v>
      </c>
      <c r="C46" s="3062" t="s">
        <v>3089</v>
      </c>
      <c r="D46" s="3062" t="s">
        <v>3058</v>
      </c>
      <c r="E46" s="3062">
        <v>39.875500000000002</v>
      </c>
      <c r="F46" s="3062">
        <v>30.42</v>
      </c>
      <c r="G46" s="3062">
        <v>9.4555000000000007</v>
      </c>
    </row>
    <row r="47" spans="1:7" ht="15">
      <c r="A47" s="3061">
        <v>45</v>
      </c>
      <c r="B47" s="3062">
        <v>610</v>
      </c>
      <c r="C47" s="3062" t="s">
        <v>3089</v>
      </c>
      <c r="D47" s="3062" t="s">
        <v>3058</v>
      </c>
      <c r="E47" s="3062">
        <v>39.947400000000002</v>
      </c>
      <c r="F47" s="3062">
        <v>30.475000000000001</v>
      </c>
      <c r="G47" s="3062">
        <v>9.4724000000000004</v>
      </c>
    </row>
    <row r="48" spans="1:7" ht="15">
      <c r="A48" s="3061">
        <v>46</v>
      </c>
      <c r="B48" s="3062">
        <v>611</v>
      </c>
      <c r="C48" s="3062" t="s">
        <v>3089</v>
      </c>
      <c r="D48" s="3062" t="s">
        <v>3058</v>
      </c>
      <c r="E48" s="3062">
        <v>50.8078</v>
      </c>
      <c r="F48" s="3062">
        <v>38.76</v>
      </c>
      <c r="G48" s="3062">
        <v>12.047800000000001</v>
      </c>
    </row>
    <row r="49" spans="1:7" ht="15">
      <c r="A49" s="3061">
        <v>47</v>
      </c>
      <c r="B49" s="3062">
        <v>612</v>
      </c>
      <c r="C49" s="3062" t="s">
        <v>3089</v>
      </c>
      <c r="D49" s="3062" t="s">
        <v>3058</v>
      </c>
      <c r="E49" s="3062">
        <v>38.885899999999999</v>
      </c>
      <c r="F49" s="3062">
        <v>29.664999999999999</v>
      </c>
      <c r="G49" s="3062">
        <v>9.2209000000000003</v>
      </c>
    </row>
    <row r="50" spans="1:7" ht="15">
      <c r="A50" s="3061">
        <v>48</v>
      </c>
      <c r="B50" s="3062">
        <v>613</v>
      </c>
      <c r="C50" s="3062" t="s">
        <v>3089</v>
      </c>
      <c r="D50" s="3062" t="s">
        <v>3058</v>
      </c>
      <c r="E50" s="3062">
        <v>63.467100000000002</v>
      </c>
      <c r="F50" s="3062">
        <v>48.417499999999997</v>
      </c>
      <c r="G50" s="3062">
        <v>15.0496</v>
      </c>
    </row>
    <row r="51" spans="1:7" ht="15">
      <c r="A51" s="3061">
        <v>49</v>
      </c>
      <c r="B51" s="3062">
        <v>702</v>
      </c>
      <c r="C51" s="3062" t="s">
        <v>3089</v>
      </c>
      <c r="D51" s="3062" t="s">
        <v>3058</v>
      </c>
      <c r="E51" s="3062">
        <v>36.154499999999999</v>
      </c>
      <c r="F51" s="3062">
        <v>27.581299999999999</v>
      </c>
      <c r="G51" s="3062">
        <v>8.5731999999999999</v>
      </c>
    </row>
    <row r="52" spans="1:7" ht="15">
      <c r="A52" s="3061">
        <v>50</v>
      </c>
      <c r="B52" s="3062">
        <v>703</v>
      </c>
      <c r="C52" s="3062" t="s">
        <v>3089</v>
      </c>
      <c r="D52" s="3062" t="s">
        <v>3058</v>
      </c>
      <c r="E52" s="3062">
        <v>26.0855</v>
      </c>
      <c r="F52" s="3062">
        <v>19.899999999999999</v>
      </c>
      <c r="G52" s="3062">
        <v>6.1855000000000002</v>
      </c>
    </row>
    <row r="53" spans="1:7" ht="15">
      <c r="A53" s="3061">
        <v>51</v>
      </c>
      <c r="B53" s="3062">
        <v>704</v>
      </c>
      <c r="C53" s="3062" t="s">
        <v>3089</v>
      </c>
      <c r="D53" s="3062" t="s">
        <v>3058</v>
      </c>
      <c r="E53" s="3062">
        <v>37.473399999999998</v>
      </c>
      <c r="F53" s="3062">
        <v>28.587499999999999</v>
      </c>
      <c r="G53" s="3062">
        <v>8.8858999999999995</v>
      </c>
    </row>
    <row r="54" spans="1:7" ht="15">
      <c r="A54" s="3061">
        <v>52</v>
      </c>
      <c r="B54" s="3062">
        <v>705</v>
      </c>
      <c r="C54" s="3062" t="s">
        <v>3089</v>
      </c>
      <c r="D54" s="3062" t="s">
        <v>3058</v>
      </c>
      <c r="E54" s="3062">
        <v>38.482700000000001</v>
      </c>
      <c r="F54" s="3062">
        <v>29.357500000000002</v>
      </c>
      <c r="G54" s="3062">
        <v>9.1251999999999995</v>
      </c>
    </row>
    <row r="55" spans="1:7" ht="15">
      <c r="A55" s="3061">
        <v>53</v>
      </c>
      <c r="B55" s="3062">
        <v>706</v>
      </c>
      <c r="C55" s="3062" t="s">
        <v>3089</v>
      </c>
      <c r="D55" s="3062" t="s">
        <v>3058</v>
      </c>
      <c r="E55" s="3062">
        <v>38.482700000000001</v>
      </c>
      <c r="F55" s="3062">
        <v>29.357500000000002</v>
      </c>
      <c r="G55" s="3062">
        <v>9.1251999999999995</v>
      </c>
    </row>
    <row r="56" spans="1:7" ht="15">
      <c r="A56" s="3061">
        <v>54</v>
      </c>
      <c r="B56" s="3062">
        <v>707</v>
      </c>
      <c r="C56" s="3062" t="s">
        <v>3089</v>
      </c>
      <c r="D56" s="3062" t="s">
        <v>3058</v>
      </c>
      <c r="E56" s="3062">
        <v>38.482700000000001</v>
      </c>
      <c r="F56" s="3062">
        <v>29.357500000000002</v>
      </c>
      <c r="G56" s="3062">
        <v>9.1251999999999995</v>
      </c>
    </row>
    <row r="57" spans="1:7" ht="15">
      <c r="A57" s="3061">
        <v>55</v>
      </c>
      <c r="B57" s="3062">
        <v>708</v>
      </c>
      <c r="C57" s="3062" t="s">
        <v>3089</v>
      </c>
      <c r="D57" s="3062" t="s">
        <v>3058</v>
      </c>
      <c r="E57" s="3062">
        <v>38.410600000000002</v>
      </c>
      <c r="F57" s="3062">
        <v>29.302499999999998</v>
      </c>
      <c r="G57" s="3062">
        <v>9.1081000000000003</v>
      </c>
    </row>
    <row r="58" spans="1:7" ht="15">
      <c r="A58" s="3061">
        <v>56</v>
      </c>
      <c r="B58" s="3062">
        <v>709</v>
      </c>
      <c r="C58" s="3062" t="s">
        <v>3089</v>
      </c>
      <c r="D58" s="3062" t="s">
        <v>3058</v>
      </c>
      <c r="E58" s="3062">
        <v>39.875500000000002</v>
      </c>
      <c r="F58" s="3062">
        <v>30.42</v>
      </c>
      <c r="G58" s="3062">
        <v>9.4555000000000007</v>
      </c>
    </row>
    <row r="59" spans="1:7" ht="15">
      <c r="A59" s="3061">
        <v>57</v>
      </c>
      <c r="B59" s="3062">
        <v>710</v>
      </c>
      <c r="C59" s="3062" t="s">
        <v>3089</v>
      </c>
      <c r="D59" s="3062" t="s">
        <v>3058</v>
      </c>
      <c r="E59" s="3062">
        <v>39.947400000000002</v>
      </c>
      <c r="F59" s="3062">
        <v>30.475000000000001</v>
      </c>
      <c r="G59" s="3062">
        <v>9.4724000000000004</v>
      </c>
    </row>
    <row r="60" spans="1:7" ht="15">
      <c r="A60" s="3061">
        <v>58</v>
      </c>
      <c r="B60" s="3062">
        <v>711</v>
      </c>
      <c r="C60" s="3062" t="s">
        <v>3089</v>
      </c>
      <c r="D60" s="3062" t="s">
        <v>3058</v>
      </c>
      <c r="E60" s="3062">
        <v>50.8078</v>
      </c>
      <c r="F60" s="3062">
        <v>38.76</v>
      </c>
      <c r="G60" s="3062">
        <v>12.047800000000001</v>
      </c>
    </row>
    <row r="61" spans="1:7" ht="15">
      <c r="A61" s="3061">
        <v>59</v>
      </c>
      <c r="B61" s="3062">
        <v>712</v>
      </c>
      <c r="C61" s="3062" t="s">
        <v>3089</v>
      </c>
      <c r="D61" s="3062" t="s">
        <v>3058</v>
      </c>
      <c r="E61" s="3062">
        <v>38.885899999999999</v>
      </c>
      <c r="F61" s="3062">
        <v>29.664999999999999</v>
      </c>
      <c r="G61" s="3062">
        <v>9.2209000000000003</v>
      </c>
    </row>
    <row r="62" spans="1:7" ht="15">
      <c r="A62" s="3061">
        <v>60</v>
      </c>
      <c r="B62" s="3062">
        <v>713</v>
      </c>
      <c r="C62" s="3062" t="s">
        <v>3089</v>
      </c>
      <c r="D62" s="3062" t="s">
        <v>3058</v>
      </c>
      <c r="E62" s="3062">
        <v>63.467100000000002</v>
      </c>
      <c r="F62" s="3062">
        <v>48.417499999999997</v>
      </c>
      <c r="G62" s="3062">
        <v>15.0496</v>
      </c>
    </row>
    <row r="63" spans="1:7" ht="15">
      <c r="A63" s="3061">
        <v>61</v>
      </c>
      <c r="B63" s="3062">
        <v>802</v>
      </c>
      <c r="C63" s="3062" t="s">
        <v>3089</v>
      </c>
      <c r="D63" s="3062" t="s">
        <v>3058</v>
      </c>
      <c r="E63" s="3062">
        <v>36.154499999999999</v>
      </c>
      <c r="F63" s="3062">
        <v>27.581299999999999</v>
      </c>
      <c r="G63" s="3062">
        <v>8.5731999999999999</v>
      </c>
    </row>
    <row r="64" spans="1:7" ht="15">
      <c r="A64" s="3061">
        <v>62</v>
      </c>
      <c r="B64" s="3062">
        <v>803</v>
      </c>
      <c r="C64" s="3062" t="s">
        <v>3089</v>
      </c>
      <c r="D64" s="3062" t="s">
        <v>3058</v>
      </c>
      <c r="E64" s="3062">
        <v>26.0855</v>
      </c>
      <c r="F64" s="3062">
        <v>19.899999999999999</v>
      </c>
      <c r="G64" s="3062">
        <v>6.1855000000000002</v>
      </c>
    </row>
    <row r="65" spans="1:7" ht="15">
      <c r="A65" s="3061">
        <v>63</v>
      </c>
      <c r="B65" s="3062">
        <v>804</v>
      </c>
      <c r="C65" s="3062" t="s">
        <v>3089</v>
      </c>
      <c r="D65" s="3062" t="s">
        <v>3058</v>
      </c>
      <c r="E65" s="3062">
        <v>37.473399999999998</v>
      </c>
      <c r="F65" s="3062">
        <v>28.587499999999999</v>
      </c>
      <c r="G65" s="3062">
        <v>8.8858999999999995</v>
      </c>
    </row>
    <row r="66" spans="1:7" ht="15">
      <c r="A66" s="3061">
        <v>64</v>
      </c>
      <c r="B66" s="3062">
        <v>805</v>
      </c>
      <c r="C66" s="3062" t="s">
        <v>3089</v>
      </c>
      <c r="D66" s="3062" t="s">
        <v>3058</v>
      </c>
      <c r="E66" s="3062">
        <v>38.482700000000001</v>
      </c>
      <c r="F66" s="3062">
        <v>29.357500000000002</v>
      </c>
      <c r="G66" s="3062">
        <v>9.1251999999999995</v>
      </c>
    </row>
    <row r="67" spans="1:7" ht="15">
      <c r="A67" s="3061">
        <v>65</v>
      </c>
      <c r="B67" s="3062">
        <v>806</v>
      </c>
      <c r="C67" s="3062" t="s">
        <v>3089</v>
      </c>
      <c r="D67" s="3062" t="s">
        <v>3058</v>
      </c>
      <c r="E67" s="3062">
        <v>38.482700000000001</v>
      </c>
      <c r="F67" s="3062">
        <v>29.357500000000002</v>
      </c>
      <c r="G67" s="3062">
        <v>9.1251999999999995</v>
      </c>
    </row>
    <row r="68" spans="1:7" ht="15">
      <c r="A68" s="3061">
        <v>66</v>
      </c>
      <c r="B68" s="3062">
        <v>807</v>
      </c>
      <c r="C68" s="3062" t="s">
        <v>3089</v>
      </c>
      <c r="D68" s="3062" t="s">
        <v>3058</v>
      </c>
      <c r="E68" s="3062">
        <v>38.482700000000001</v>
      </c>
      <c r="F68" s="3062">
        <v>29.357500000000002</v>
      </c>
      <c r="G68" s="3062">
        <v>9.1251999999999995</v>
      </c>
    </row>
    <row r="69" spans="1:7" ht="15">
      <c r="A69" s="3061">
        <v>67</v>
      </c>
      <c r="B69" s="3062">
        <v>808</v>
      </c>
      <c r="C69" s="3062" t="s">
        <v>3089</v>
      </c>
      <c r="D69" s="3062" t="s">
        <v>3058</v>
      </c>
      <c r="E69" s="3062">
        <v>38.410600000000002</v>
      </c>
      <c r="F69" s="3062">
        <v>29.302499999999998</v>
      </c>
      <c r="G69" s="3062">
        <v>9.1081000000000003</v>
      </c>
    </row>
    <row r="70" spans="1:7" ht="15">
      <c r="A70" s="3061">
        <v>68</v>
      </c>
      <c r="B70" s="3062">
        <v>809</v>
      </c>
      <c r="C70" s="3062" t="s">
        <v>3089</v>
      </c>
      <c r="D70" s="3062" t="s">
        <v>3058</v>
      </c>
      <c r="E70" s="3062">
        <v>39.875500000000002</v>
      </c>
      <c r="F70" s="3062">
        <v>30.42</v>
      </c>
      <c r="G70" s="3062">
        <v>9.4555000000000007</v>
      </c>
    </row>
    <row r="71" spans="1:7" ht="15">
      <c r="A71" s="3061">
        <v>69</v>
      </c>
      <c r="B71" s="3062">
        <v>810</v>
      </c>
      <c r="C71" s="3062" t="s">
        <v>3089</v>
      </c>
      <c r="D71" s="3062" t="s">
        <v>3058</v>
      </c>
      <c r="E71" s="3062">
        <v>39.947400000000002</v>
      </c>
      <c r="F71" s="3062">
        <v>30.475000000000001</v>
      </c>
      <c r="G71" s="3062">
        <v>9.4724000000000004</v>
      </c>
    </row>
    <row r="72" spans="1:7" ht="15">
      <c r="A72" s="3061">
        <v>70</v>
      </c>
      <c r="B72" s="3062">
        <v>811</v>
      </c>
      <c r="C72" s="3062" t="s">
        <v>3089</v>
      </c>
      <c r="D72" s="3062" t="s">
        <v>3058</v>
      </c>
      <c r="E72" s="3062">
        <v>50.8078</v>
      </c>
      <c r="F72" s="3062">
        <v>38.76</v>
      </c>
      <c r="G72" s="3062">
        <v>12.047800000000001</v>
      </c>
    </row>
    <row r="73" spans="1:7" ht="15">
      <c r="A73" s="3061">
        <v>71</v>
      </c>
      <c r="B73" s="3062">
        <v>812</v>
      </c>
      <c r="C73" s="3062" t="s">
        <v>3089</v>
      </c>
      <c r="D73" s="3062" t="s">
        <v>3058</v>
      </c>
      <c r="E73" s="3062">
        <v>38.885899999999999</v>
      </c>
      <c r="F73" s="3062">
        <v>29.664999999999999</v>
      </c>
      <c r="G73" s="3062">
        <v>9.2209000000000003</v>
      </c>
    </row>
    <row r="74" spans="1:7" ht="15">
      <c r="A74" s="3061">
        <v>72</v>
      </c>
      <c r="B74" s="3062">
        <v>813</v>
      </c>
      <c r="C74" s="3062" t="s">
        <v>3089</v>
      </c>
      <c r="D74" s="3062" t="s">
        <v>3058</v>
      </c>
      <c r="E74" s="3062">
        <v>63.467100000000002</v>
      </c>
      <c r="F74" s="3062">
        <v>48.417499999999997</v>
      </c>
      <c r="G74" s="3062">
        <v>15.0496</v>
      </c>
    </row>
    <row r="75" spans="1:7" ht="15">
      <c r="A75" s="3061">
        <v>73</v>
      </c>
      <c r="B75" s="3062">
        <v>902</v>
      </c>
      <c r="C75" s="3062" t="s">
        <v>3089</v>
      </c>
      <c r="D75" s="3062" t="s">
        <v>3058</v>
      </c>
      <c r="E75" s="3062">
        <v>36.154499999999999</v>
      </c>
      <c r="F75" s="3062">
        <v>27.581299999999999</v>
      </c>
      <c r="G75" s="3062">
        <v>8.5731999999999999</v>
      </c>
    </row>
    <row r="76" spans="1:7" ht="15">
      <c r="A76" s="3061">
        <v>74</v>
      </c>
      <c r="B76" s="3062">
        <v>903</v>
      </c>
      <c r="C76" s="3062" t="s">
        <v>3089</v>
      </c>
      <c r="D76" s="3062" t="s">
        <v>3058</v>
      </c>
      <c r="E76" s="3062">
        <v>26.0855</v>
      </c>
      <c r="F76" s="3062">
        <v>19.899999999999999</v>
      </c>
      <c r="G76" s="3062">
        <v>6.1855000000000002</v>
      </c>
    </row>
    <row r="77" spans="1:7" ht="15">
      <c r="A77" s="3061">
        <v>75</v>
      </c>
      <c r="B77" s="3062">
        <v>904</v>
      </c>
      <c r="C77" s="3062" t="s">
        <v>3089</v>
      </c>
      <c r="D77" s="3062" t="s">
        <v>3058</v>
      </c>
      <c r="E77" s="3062">
        <v>37.473399999999998</v>
      </c>
      <c r="F77" s="3062">
        <v>28.587499999999999</v>
      </c>
      <c r="G77" s="3062">
        <v>8.8858999999999995</v>
      </c>
    </row>
    <row r="78" spans="1:7" ht="15">
      <c r="A78" s="3061">
        <v>76</v>
      </c>
      <c r="B78" s="3062">
        <v>905</v>
      </c>
      <c r="C78" s="3062" t="s">
        <v>3089</v>
      </c>
      <c r="D78" s="3062" t="s">
        <v>3058</v>
      </c>
      <c r="E78" s="3062">
        <v>38.482700000000001</v>
      </c>
      <c r="F78" s="3062">
        <v>29.357500000000002</v>
      </c>
      <c r="G78" s="3062">
        <v>9.1251999999999995</v>
      </c>
    </row>
    <row r="79" spans="1:7" ht="15">
      <c r="A79" s="3061">
        <v>77</v>
      </c>
      <c r="B79" s="3062">
        <v>906</v>
      </c>
      <c r="C79" s="3062" t="s">
        <v>3089</v>
      </c>
      <c r="D79" s="3062" t="s">
        <v>3058</v>
      </c>
      <c r="E79" s="3062">
        <v>38.482700000000001</v>
      </c>
      <c r="F79" s="3062">
        <v>29.357500000000002</v>
      </c>
      <c r="G79" s="3062">
        <v>9.1251999999999995</v>
      </c>
    </row>
    <row r="80" spans="1:7" ht="15">
      <c r="A80" s="3061">
        <v>78</v>
      </c>
      <c r="B80" s="3062">
        <v>907</v>
      </c>
      <c r="C80" s="3062" t="s">
        <v>3089</v>
      </c>
      <c r="D80" s="3062" t="s">
        <v>3058</v>
      </c>
      <c r="E80" s="3062">
        <v>38.482700000000001</v>
      </c>
      <c r="F80" s="3062">
        <v>29.357500000000002</v>
      </c>
      <c r="G80" s="3062">
        <v>9.1251999999999995</v>
      </c>
    </row>
    <row r="81" spans="1:7" ht="15">
      <c r="A81" s="3061">
        <v>79</v>
      </c>
      <c r="B81" s="3062">
        <v>908</v>
      </c>
      <c r="C81" s="3062" t="s">
        <v>3089</v>
      </c>
      <c r="D81" s="3062" t="s">
        <v>3058</v>
      </c>
      <c r="E81" s="3062">
        <v>38.410600000000002</v>
      </c>
      <c r="F81" s="3062">
        <v>29.302499999999998</v>
      </c>
      <c r="G81" s="3062">
        <v>9.1081000000000003</v>
      </c>
    </row>
    <row r="82" spans="1:7" ht="15">
      <c r="A82" s="3061">
        <v>80</v>
      </c>
      <c r="B82" s="3062">
        <v>909</v>
      </c>
      <c r="C82" s="3062" t="s">
        <v>3089</v>
      </c>
      <c r="D82" s="3062" t="s">
        <v>3058</v>
      </c>
      <c r="E82" s="3062">
        <v>39.875500000000002</v>
      </c>
      <c r="F82" s="3062">
        <v>30.42</v>
      </c>
      <c r="G82" s="3062">
        <v>9.4555000000000007</v>
      </c>
    </row>
    <row r="83" spans="1:7" ht="15">
      <c r="A83" s="3061">
        <v>81</v>
      </c>
      <c r="B83" s="3062">
        <v>910</v>
      </c>
      <c r="C83" s="3062" t="s">
        <v>3089</v>
      </c>
      <c r="D83" s="3062" t="s">
        <v>3058</v>
      </c>
      <c r="E83" s="3062">
        <v>39.947400000000002</v>
      </c>
      <c r="F83" s="3062">
        <v>30.475000000000001</v>
      </c>
      <c r="G83" s="3062">
        <v>9.4724000000000004</v>
      </c>
    </row>
    <row r="84" spans="1:7" ht="15">
      <c r="A84" s="3061">
        <v>82</v>
      </c>
      <c r="B84" s="3062">
        <v>911</v>
      </c>
      <c r="C84" s="3062" t="s">
        <v>3089</v>
      </c>
      <c r="D84" s="3062" t="s">
        <v>3058</v>
      </c>
      <c r="E84" s="3062">
        <v>50.8078</v>
      </c>
      <c r="F84" s="3062">
        <v>38.76</v>
      </c>
      <c r="G84" s="3062">
        <v>12.047800000000001</v>
      </c>
    </row>
    <row r="85" spans="1:7" ht="15">
      <c r="A85" s="3061">
        <v>83</v>
      </c>
      <c r="B85" s="3062">
        <v>912</v>
      </c>
      <c r="C85" s="3062" t="s">
        <v>3089</v>
      </c>
      <c r="D85" s="3062" t="s">
        <v>3058</v>
      </c>
      <c r="E85" s="3062">
        <v>38.885899999999999</v>
      </c>
      <c r="F85" s="3062">
        <v>29.664999999999999</v>
      </c>
      <c r="G85" s="3062">
        <v>9.2209000000000003</v>
      </c>
    </row>
    <row r="86" spans="1:7" ht="15">
      <c r="A86" s="3061">
        <v>84</v>
      </c>
      <c r="B86" s="3062">
        <v>913</v>
      </c>
      <c r="C86" s="3062" t="s">
        <v>3089</v>
      </c>
      <c r="D86" s="3062" t="s">
        <v>3058</v>
      </c>
      <c r="E86" s="3062">
        <v>63.467100000000002</v>
      </c>
      <c r="F86" s="3062">
        <v>48.417499999999997</v>
      </c>
      <c r="G86" s="3062">
        <v>15.0496</v>
      </c>
    </row>
    <row r="87" spans="1:7" ht="15">
      <c r="A87" s="3061">
        <v>85</v>
      </c>
      <c r="B87" s="3062">
        <v>1002</v>
      </c>
      <c r="C87" s="3062" t="s">
        <v>3089</v>
      </c>
      <c r="D87" s="3062" t="s">
        <v>3058</v>
      </c>
      <c r="E87" s="3062">
        <v>36.154499999999999</v>
      </c>
      <c r="F87" s="3062">
        <v>27.581299999999999</v>
      </c>
      <c r="G87" s="3062">
        <v>8.5731999999999999</v>
      </c>
    </row>
    <row r="88" spans="1:7" ht="15">
      <c r="A88" s="3061">
        <v>86</v>
      </c>
      <c r="B88" s="3062">
        <v>1003</v>
      </c>
      <c r="C88" s="3062" t="s">
        <v>3089</v>
      </c>
      <c r="D88" s="3062" t="s">
        <v>3058</v>
      </c>
      <c r="E88" s="3062">
        <v>26.0855</v>
      </c>
      <c r="F88" s="3062">
        <v>19.899999999999999</v>
      </c>
      <c r="G88" s="3062">
        <v>6.1855000000000002</v>
      </c>
    </row>
    <row r="89" spans="1:7" ht="15">
      <c r="A89" s="3061">
        <v>87</v>
      </c>
      <c r="B89" s="3062">
        <v>1004</v>
      </c>
      <c r="C89" s="3062" t="s">
        <v>3089</v>
      </c>
      <c r="D89" s="3062" t="s">
        <v>3058</v>
      </c>
      <c r="E89" s="3062">
        <v>37.473399999999998</v>
      </c>
      <c r="F89" s="3062">
        <v>28.587499999999999</v>
      </c>
      <c r="G89" s="3062">
        <v>8.8858999999999995</v>
      </c>
    </row>
    <row r="90" spans="1:7" ht="15">
      <c r="A90" s="3061">
        <v>88</v>
      </c>
      <c r="B90" s="3062">
        <v>1005</v>
      </c>
      <c r="C90" s="3062" t="s">
        <v>3089</v>
      </c>
      <c r="D90" s="3062" t="s">
        <v>3058</v>
      </c>
      <c r="E90" s="3062">
        <v>38.482700000000001</v>
      </c>
      <c r="F90" s="3062">
        <v>29.357500000000002</v>
      </c>
      <c r="G90" s="3062">
        <v>9.1251999999999995</v>
      </c>
    </row>
    <row r="91" spans="1:7" ht="15">
      <c r="A91" s="3061">
        <v>89</v>
      </c>
      <c r="B91" s="3062">
        <v>1006</v>
      </c>
      <c r="C91" s="3062" t="s">
        <v>3089</v>
      </c>
      <c r="D91" s="3062" t="s">
        <v>3058</v>
      </c>
      <c r="E91" s="3062">
        <v>38.482700000000001</v>
      </c>
      <c r="F91" s="3062">
        <v>29.357500000000002</v>
      </c>
      <c r="G91" s="3062">
        <v>9.1251999999999995</v>
      </c>
    </row>
    <row r="92" spans="1:7" ht="15">
      <c r="A92" s="3061">
        <v>90</v>
      </c>
      <c r="B92" s="3062">
        <v>1007</v>
      </c>
      <c r="C92" s="3062" t="s">
        <v>3089</v>
      </c>
      <c r="D92" s="3062" t="s">
        <v>3058</v>
      </c>
      <c r="E92" s="3062">
        <v>38.482700000000001</v>
      </c>
      <c r="F92" s="3062">
        <v>29.357500000000002</v>
      </c>
      <c r="G92" s="3062">
        <v>9.1251999999999995</v>
      </c>
    </row>
    <row r="93" spans="1:7" ht="15">
      <c r="A93" s="3061">
        <v>91</v>
      </c>
      <c r="B93" s="3062">
        <v>1008</v>
      </c>
      <c r="C93" s="3062" t="s">
        <v>3089</v>
      </c>
      <c r="D93" s="3062" t="s">
        <v>3058</v>
      </c>
      <c r="E93" s="3062">
        <v>38.410600000000002</v>
      </c>
      <c r="F93" s="3062">
        <v>29.302499999999998</v>
      </c>
      <c r="G93" s="3062">
        <v>9.1081000000000003</v>
      </c>
    </row>
    <row r="94" spans="1:7" ht="15">
      <c r="A94" s="3061">
        <v>92</v>
      </c>
      <c r="B94" s="3062">
        <v>1009</v>
      </c>
      <c r="C94" s="3062" t="s">
        <v>3089</v>
      </c>
      <c r="D94" s="3062" t="s">
        <v>3058</v>
      </c>
      <c r="E94" s="3062">
        <v>39.875500000000002</v>
      </c>
      <c r="F94" s="3062">
        <v>30.42</v>
      </c>
      <c r="G94" s="3062">
        <v>9.4555000000000007</v>
      </c>
    </row>
    <row r="95" spans="1:7" ht="15">
      <c r="A95" s="3061">
        <v>93</v>
      </c>
      <c r="B95" s="3062">
        <v>1010</v>
      </c>
      <c r="C95" s="3062" t="s">
        <v>3089</v>
      </c>
      <c r="D95" s="3062" t="s">
        <v>3058</v>
      </c>
      <c r="E95" s="3062">
        <v>39.947400000000002</v>
      </c>
      <c r="F95" s="3062">
        <v>30.475000000000001</v>
      </c>
      <c r="G95" s="3062">
        <v>9.4724000000000004</v>
      </c>
    </row>
    <row r="96" spans="1:7" ht="15">
      <c r="A96" s="3061">
        <v>94</v>
      </c>
      <c r="B96" s="3062">
        <v>1011</v>
      </c>
      <c r="C96" s="3062" t="s">
        <v>3089</v>
      </c>
      <c r="D96" s="3062" t="s">
        <v>3058</v>
      </c>
      <c r="E96" s="3062">
        <v>50.8078</v>
      </c>
      <c r="F96" s="3062">
        <v>38.76</v>
      </c>
      <c r="G96" s="3062">
        <v>12.047800000000001</v>
      </c>
    </row>
    <row r="97" spans="1:7" ht="15">
      <c r="A97" s="3061">
        <v>95</v>
      </c>
      <c r="B97" s="3062">
        <v>1012</v>
      </c>
      <c r="C97" s="3062" t="s">
        <v>3089</v>
      </c>
      <c r="D97" s="3062" t="s">
        <v>3058</v>
      </c>
      <c r="E97" s="3062">
        <v>38.885899999999999</v>
      </c>
      <c r="F97" s="3062">
        <v>29.664999999999999</v>
      </c>
      <c r="G97" s="3062">
        <v>9.2209000000000003</v>
      </c>
    </row>
    <row r="98" spans="1:7" ht="15">
      <c r="A98" s="3061">
        <v>96</v>
      </c>
      <c r="B98" s="3062">
        <v>1013</v>
      </c>
      <c r="C98" s="3062" t="s">
        <v>3089</v>
      </c>
      <c r="D98" s="3062" t="s">
        <v>3058</v>
      </c>
      <c r="E98" s="3062">
        <v>63.467100000000002</v>
      </c>
      <c r="F98" s="3062">
        <v>48.417499999999997</v>
      </c>
      <c r="G98" s="3062">
        <v>15.0496</v>
      </c>
    </row>
    <row r="99" spans="1:7" ht="15">
      <c r="A99" s="3061">
        <v>97</v>
      </c>
      <c r="B99" s="3062">
        <v>1102</v>
      </c>
      <c r="C99" s="3062" t="s">
        <v>3089</v>
      </c>
      <c r="D99" s="3062" t="s">
        <v>3058</v>
      </c>
      <c r="E99" s="3062">
        <v>36.154499999999999</v>
      </c>
      <c r="F99" s="3062">
        <v>27.581299999999999</v>
      </c>
      <c r="G99" s="3062">
        <v>8.5731999999999999</v>
      </c>
    </row>
    <row r="100" spans="1:7" ht="15">
      <c r="A100" s="3061">
        <v>98</v>
      </c>
      <c r="B100" s="3062">
        <v>1103</v>
      </c>
      <c r="C100" s="3062" t="s">
        <v>3089</v>
      </c>
      <c r="D100" s="3062" t="s">
        <v>3058</v>
      </c>
      <c r="E100" s="3062">
        <v>26.0855</v>
      </c>
      <c r="F100" s="3062">
        <v>19.899999999999999</v>
      </c>
      <c r="G100" s="3062">
        <v>6.1855000000000002</v>
      </c>
    </row>
    <row r="101" spans="1:7" ht="15">
      <c r="A101" s="3061">
        <v>99</v>
      </c>
      <c r="B101" s="3062">
        <v>1104</v>
      </c>
      <c r="C101" s="3062" t="s">
        <v>3089</v>
      </c>
      <c r="D101" s="3062" t="s">
        <v>3058</v>
      </c>
      <c r="E101" s="3062">
        <v>37.473399999999998</v>
      </c>
      <c r="F101" s="3062">
        <v>28.587499999999999</v>
      </c>
      <c r="G101" s="3062">
        <v>8.8858999999999995</v>
      </c>
    </row>
    <row r="102" spans="1:7" ht="15">
      <c r="A102" s="3061">
        <v>100</v>
      </c>
      <c r="B102" s="3062">
        <v>1105</v>
      </c>
      <c r="C102" s="3062" t="s">
        <v>3089</v>
      </c>
      <c r="D102" s="3062" t="s">
        <v>3058</v>
      </c>
      <c r="E102" s="3062">
        <v>38.482700000000001</v>
      </c>
      <c r="F102" s="3062">
        <v>29.357500000000002</v>
      </c>
      <c r="G102" s="3062">
        <v>9.1251999999999995</v>
      </c>
    </row>
    <row r="103" spans="1:7" ht="15">
      <c r="A103" s="3061">
        <v>101</v>
      </c>
      <c r="B103" s="3062">
        <v>1106</v>
      </c>
      <c r="C103" s="3062" t="s">
        <v>3089</v>
      </c>
      <c r="D103" s="3062" t="s">
        <v>3058</v>
      </c>
      <c r="E103" s="3062">
        <v>38.482700000000001</v>
      </c>
      <c r="F103" s="3062">
        <v>29.357500000000002</v>
      </c>
      <c r="G103" s="3062">
        <v>9.1251999999999995</v>
      </c>
    </row>
    <row r="104" spans="1:7" ht="15">
      <c r="A104" s="3061">
        <v>102</v>
      </c>
      <c r="B104" s="3062">
        <v>1107</v>
      </c>
      <c r="C104" s="3062" t="s">
        <v>3089</v>
      </c>
      <c r="D104" s="3062" t="s">
        <v>3058</v>
      </c>
      <c r="E104" s="3062">
        <v>38.482700000000001</v>
      </c>
      <c r="F104" s="3062">
        <v>29.357500000000002</v>
      </c>
      <c r="G104" s="3062">
        <v>9.1251999999999995</v>
      </c>
    </row>
    <row r="105" spans="1:7" ht="15">
      <c r="A105" s="3061">
        <v>103</v>
      </c>
      <c r="B105" s="3062">
        <v>1108</v>
      </c>
      <c r="C105" s="3062" t="s">
        <v>3089</v>
      </c>
      <c r="D105" s="3062" t="s">
        <v>3058</v>
      </c>
      <c r="E105" s="3062">
        <v>38.410600000000002</v>
      </c>
      <c r="F105" s="3062">
        <v>29.302499999999998</v>
      </c>
      <c r="G105" s="3062">
        <v>9.1081000000000003</v>
      </c>
    </row>
    <row r="106" spans="1:7" ht="15">
      <c r="A106" s="3061">
        <v>104</v>
      </c>
      <c r="B106" s="3062">
        <v>1109</v>
      </c>
      <c r="C106" s="3062" t="s">
        <v>3089</v>
      </c>
      <c r="D106" s="3062" t="s">
        <v>3058</v>
      </c>
      <c r="E106" s="3062">
        <v>39.875500000000002</v>
      </c>
      <c r="F106" s="3062">
        <v>30.42</v>
      </c>
      <c r="G106" s="3062">
        <v>9.4555000000000007</v>
      </c>
    </row>
    <row r="107" spans="1:7" ht="15">
      <c r="A107" s="3061">
        <v>105</v>
      </c>
      <c r="B107" s="3062">
        <v>1110</v>
      </c>
      <c r="C107" s="3062" t="s">
        <v>3089</v>
      </c>
      <c r="D107" s="3062" t="s">
        <v>3058</v>
      </c>
      <c r="E107" s="3062">
        <v>39.947400000000002</v>
      </c>
      <c r="F107" s="3062">
        <v>30.475000000000001</v>
      </c>
      <c r="G107" s="3062">
        <v>9.4724000000000004</v>
      </c>
    </row>
    <row r="108" spans="1:7" ht="15">
      <c r="A108" s="3061">
        <v>106</v>
      </c>
      <c r="B108" s="3062">
        <v>1111</v>
      </c>
      <c r="C108" s="3062" t="s">
        <v>3089</v>
      </c>
      <c r="D108" s="3062" t="s">
        <v>3058</v>
      </c>
      <c r="E108" s="3062">
        <v>50.8078</v>
      </c>
      <c r="F108" s="3062">
        <v>38.76</v>
      </c>
      <c r="G108" s="3062">
        <v>12.047800000000001</v>
      </c>
    </row>
    <row r="109" spans="1:7" ht="15">
      <c r="A109" s="3061">
        <v>107</v>
      </c>
      <c r="B109" s="3062">
        <v>1112</v>
      </c>
      <c r="C109" s="3062" t="s">
        <v>3089</v>
      </c>
      <c r="D109" s="3062" t="s">
        <v>3058</v>
      </c>
      <c r="E109" s="3062">
        <v>38.885899999999999</v>
      </c>
      <c r="F109" s="3062">
        <v>29.664999999999999</v>
      </c>
      <c r="G109" s="3062">
        <v>9.2209000000000003</v>
      </c>
    </row>
    <row r="110" spans="1:7" ht="15">
      <c r="A110" s="3061">
        <v>108</v>
      </c>
      <c r="B110" s="3062">
        <v>1113</v>
      </c>
      <c r="C110" s="3062" t="s">
        <v>3089</v>
      </c>
      <c r="D110" s="3062" t="s">
        <v>3058</v>
      </c>
      <c r="E110" s="3062">
        <v>63.467100000000002</v>
      </c>
      <c r="F110" s="3062">
        <v>48.417499999999997</v>
      </c>
      <c r="G110" s="3062">
        <v>15.0496</v>
      </c>
    </row>
    <row r="111" spans="1:7" ht="15">
      <c r="A111" s="3061">
        <v>109</v>
      </c>
      <c r="B111" s="3062">
        <v>1202</v>
      </c>
      <c r="C111" s="3062" t="s">
        <v>3089</v>
      </c>
      <c r="D111" s="3062" t="s">
        <v>3058</v>
      </c>
      <c r="E111" s="3062">
        <v>36.154499999999999</v>
      </c>
      <c r="F111" s="3062">
        <v>27.581299999999999</v>
      </c>
      <c r="G111" s="3062">
        <v>8.5731999999999999</v>
      </c>
    </row>
    <row r="112" spans="1:7" ht="15">
      <c r="A112" s="3061">
        <v>110</v>
      </c>
      <c r="B112" s="3062">
        <v>1203</v>
      </c>
      <c r="C112" s="3062" t="s">
        <v>3089</v>
      </c>
      <c r="D112" s="3062" t="s">
        <v>3058</v>
      </c>
      <c r="E112" s="3062">
        <v>26.0855</v>
      </c>
      <c r="F112" s="3062">
        <v>19.899999999999999</v>
      </c>
      <c r="G112" s="3062">
        <v>6.1855000000000002</v>
      </c>
    </row>
    <row r="113" spans="1:7" ht="15">
      <c r="A113" s="3061">
        <v>111</v>
      </c>
      <c r="B113" s="3062">
        <v>1204</v>
      </c>
      <c r="C113" s="3062" t="s">
        <v>3089</v>
      </c>
      <c r="D113" s="3062" t="s">
        <v>3058</v>
      </c>
      <c r="E113" s="3062">
        <v>37.473399999999998</v>
      </c>
      <c r="F113" s="3062">
        <v>28.587499999999999</v>
      </c>
      <c r="G113" s="3062">
        <v>8.8858999999999995</v>
      </c>
    </row>
    <row r="114" spans="1:7" ht="15">
      <c r="A114" s="3061">
        <v>112</v>
      </c>
      <c r="B114" s="3062">
        <v>1205</v>
      </c>
      <c r="C114" s="3062" t="s">
        <v>3089</v>
      </c>
      <c r="D114" s="3062" t="s">
        <v>3058</v>
      </c>
      <c r="E114" s="3062">
        <v>38.482700000000001</v>
      </c>
      <c r="F114" s="3062">
        <v>29.357500000000002</v>
      </c>
      <c r="G114" s="3062">
        <v>9.1251999999999995</v>
      </c>
    </row>
    <row r="115" spans="1:7" ht="15">
      <c r="A115" s="3061">
        <v>113</v>
      </c>
      <c r="B115" s="3062">
        <v>1206</v>
      </c>
      <c r="C115" s="3062" t="s">
        <v>3089</v>
      </c>
      <c r="D115" s="3062" t="s">
        <v>3058</v>
      </c>
      <c r="E115" s="3062">
        <v>38.482700000000001</v>
      </c>
      <c r="F115" s="3062">
        <v>29.357500000000002</v>
      </c>
      <c r="G115" s="3062">
        <v>9.1251999999999995</v>
      </c>
    </row>
    <row r="116" spans="1:7" ht="15">
      <c r="A116" s="3061">
        <v>114</v>
      </c>
      <c r="B116" s="3062">
        <v>1207</v>
      </c>
      <c r="C116" s="3062" t="s">
        <v>3089</v>
      </c>
      <c r="D116" s="3062" t="s">
        <v>3058</v>
      </c>
      <c r="E116" s="3062">
        <v>38.482700000000001</v>
      </c>
      <c r="F116" s="3062">
        <v>29.357500000000002</v>
      </c>
      <c r="G116" s="3062">
        <v>9.1251999999999995</v>
      </c>
    </row>
    <row r="117" spans="1:7" ht="15">
      <c r="A117" s="3061">
        <v>115</v>
      </c>
      <c r="B117" s="3062">
        <v>1208</v>
      </c>
      <c r="C117" s="3062" t="s">
        <v>3089</v>
      </c>
      <c r="D117" s="3062" t="s">
        <v>3058</v>
      </c>
      <c r="E117" s="3062">
        <v>38.410600000000002</v>
      </c>
      <c r="F117" s="3062">
        <v>29.302499999999998</v>
      </c>
      <c r="G117" s="3062">
        <v>9.1081000000000003</v>
      </c>
    </row>
    <row r="118" spans="1:7" ht="15">
      <c r="A118" s="3061">
        <v>116</v>
      </c>
      <c r="B118" s="3062">
        <v>1209</v>
      </c>
      <c r="C118" s="3062" t="s">
        <v>3089</v>
      </c>
      <c r="D118" s="3062" t="s">
        <v>3058</v>
      </c>
      <c r="E118" s="3062">
        <v>39.875500000000002</v>
      </c>
      <c r="F118" s="3062">
        <v>30.42</v>
      </c>
      <c r="G118" s="3062">
        <v>9.4555000000000007</v>
      </c>
    </row>
    <row r="119" spans="1:7" ht="15">
      <c r="A119" s="3061">
        <v>117</v>
      </c>
      <c r="B119" s="3062">
        <v>1210</v>
      </c>
      <c r="C119" s="3062" t="s">
        <v>3089</v>
      </c>
      <c r="D119" s="3062" t="s">
        <v>3058</v>
      </c>
      <c r="E119" s="3062">
        <v>39.947400000000002</v>
      </c>
      <c r="F119" s="3062">
        <v>30.475000000000001</v>
      </c>
      <c r="G119" s="3062">
        <v>9.4724000000000004</v>
      </c>
    </row>
    <row r="120" spans="1:7" ht="15">
      <c r="A120" s="3061">
        <v>118</v>
      </c>
      <c r="B120" s="3062">
        <v>1211</v>
      </c>
      <c r="C120" s="3062" t="s">
        <v>3089</v>
      </c>
      <c r="D120" s="3062" t="s">
        <v>3058</v>
      </c>
      <c r="E120" s="3062">
        <v>50.8078</v>
      </c>
      <c r="F120" s="3062">
        <v>38.76</v>
      </c>
      <c r="G120" s="3062">
        <v>12.047800000000001</v>
      </c>
    </row>
    <row r="121" spans="1:7" ht="15">
      <c r="A121" s="3061">
        <v>119</v>
      </c>
      <c r="B121" s="3062">
        <v>1212</v>
      </c>
      <c r="C121" s="3062" t="s">
        <v>3089</v>
      </c>
      <c r="D121" s="3062" t="s">
        <v>3058</v>
      </c>
      <c r="E121" s="3062">
        <v>38.885899999999999</v>
      </c>
      <c r="F121" s="3062">
        <v>29.664999999999999</v>
      </c>
      <c r="G121" s="3062">
        <v>9.2209000000000003</v>
      </c>
    </row>
    <row r="122" spans="1:7" ht="15">
      <c r="A122" s="3061">
        <v>120</v>
      </c>
      <c r="B122" s="3062">
        <v>1213</v>
      </c>
      <c r="C122" s="3062" t="s">
        <v>3089</v>
      </c>
      <c r="D122" s="3062" t="s">
        <v>3058</v>
      </c>
      <c r="E122" s="3062">
        <v>63.467100000000002</v>
      </c>
      <c r="F122" s="3062">
        <v>48.417499999999997</v>
      </c>
      <c r="G122" s="3062">
        <v>15.0496</v>
      </c>
    </row>
    <row r="123" spans="1:7" ht="15">
      <c r="A123" s="3061">
        <v>121</v>
      </c>
      <c r="B123" s="3062">
        <v>1302</v>
      </c>
      <c r="C123" s="3062" t="s">
        <v>3089</v>
      </c>
      <c r="D123" s="3062" t="s">
        <v>3058</v>
      </c>
      <c r="E123" s="3062">
        <v>36.154499999999999</v>
      </c>
      <c r="F123" s="3062">
        <v>27.581299999999999</v>
      </c>
      <c r="G123" s="3062">
        <v>8.5731999999999999</v>
      </c>
    </row>
    <row r="124" spans="1:7" ht="15">
      <c r="A124" s="3061">
        <v>122</v>
      </c>
      <c r="B124" s="3062">
        <v>1303</v>
      </c>
      <c r="C124" s="3062" t="s">
        <v>3089</v>
      </c>
      <c r="D124" s="3062" t="s">
        <v>3058</v>
      </c>
      <c r="E124" s="3062">
        <v>26.0855</v>
      </c>
      <c r="F124" s="3062">
        <v>19.899999999999999</v>
      </c>
      <c r="G124" s="3062">
        <v>6.1855000000000002</v>
      </c>
    </row>
    <row r="125" spans="1:7" ht="15">
      <c r="A125" s="3061">
        <v>123</v>
      </c>
      <c r="B125" s="3062">
        <v>1304</v>
      </c>
      <c r="C125" s="3062" t="s">
        <v>3089</v>
      </c>
      <c r="D125" s="3062" t="s">
        <v>3058</v>
      </c>
      <c r="E125" s="3062">
        <v>37.473399999999998</v>
      </c>
      <c r="F125" s="3062">
        <v>28.587499999999999</v>
      </c>
      <c r="G125" s="3062">
        <v>8.8858999999999995</v>
      </c>
    </row>
    <row r="126" spans="1:7" ht="15">
      <c r="A126" s="3061">
        <v>124</v>
      </c>
      <c r="B126" s="3062">
        <v>1305</v>
      </c>
      <c r="C126" s="3062" t="s">
        <v>3089</v>
      </c>
      <c r="D126" s="3062" t="s">
        <v>3058</v>
      </c>
      <c r="E126" s="3062">
        <v>38.482700000000001</v>
      </c>
      <c r="F126" s="3062">
        <v>29.357500000000002</v>
      </c>
      <c r="G126" s="3062">
        <v>9.1251999999999995</v>
      </c>
    </row>
    <row r="127" spans="1:7" ht="15">
      <c r="A127" s="3061">
        <v>125</v>
      </c>
      <c r="B127" s="3062">
        <v>1306</v>
      </c>
      <c r="C127" s="3062" t="s">
        <v>3089</v>
      </c>
      <c r="D127" s="3062" t="s">
        <v>3058</v>
      </c>
      <c r="E127" s="3062">
        <v>38.482700000000001</v>
      </c>
      <c r="F127" s="3062">
        <v>29.357500000000002</v>
      </c>
      <c r="G127" s="3062">
        <v>9.1251999999999995</v>
      </c>
    </row>
    <row r="128" spans="1:7" ht="15">
      <c r="A128" s="3061">
        <v>126</v>
      </c>
      <c r="B128" s="3062">
        <v>1307</v>
      </c>
      <c r="C128" s="3062" t="s">
        <v>3089</v>
      </c>
      <c r="D128" s="3062" t="s">
        <v>3058</v>
      </c>
      <c r="E128" s="3062">
        <v>38.482700000000001</v>
      </c>
      <c r="F128" s="3062">
        <v>29.357500000000002</v>
      </c>
      <c r="G128" s="3062">
        <v>9.1251999999999995</v>
      </c>
    </row>
    <row r="129" spans="1:7" ht="15">
      <c r="A129" s="3061">
        <v>127</v>
      </c>
      <c r="B129" s="3062">
        <v>1308</v>
      </c>
      <c r="C129" s="3062" t="s">
        <v>3089</v>
      </c>
      <c r="D129" s="3062" t="s">
        <v>3058</v>
      </c>
      <c r="E129" s="3062">
        <v>38.410600000000002</v>
      </c>
      <c r="F129" s="3062">
        <v>29.302499999999998</v>
      </c>
      <c r="G129" s="3062">
        <v>9.1081000000000003</v>
      </c>
    </row>
    <row r="130" spans="1:7" ht="15">
      <c r="A130" s="3061">
        <v>128</v>
      </c>
      <c r="B130" s="3062">
        <v>1309</v>
      </c>
      <c r="C130" s="3062" t="s">
        <v>3089</v>
      </c>
      <c r="D130" s="3062" t="s">
        <v>3058</v>
      </c>
      <c r="E130" s="3062">
        <v>39.875500000000002</v>
      </c>
      <c r="F130" s="3062">
        <v>30.42</v>
      </c>
      <c r="G130" s="3062">
        <v>9.4555000000000007</v>
      </c>
    </row>
    <row r="131" spans="1:7" ht="15">
      <c r="A131" s="3061">
        <v>129</v>
      </c>
      <c r="B131" s="3062">
        <v>1310</v>
      </c>
      <c r="C131" s="3062" t="s">
        <v>3089</v>
      </c>
      <c r="D131" s="3062" t="s">
        <v>3058</v>
      </c>
      <c r="E131" s="3062">
        <v>39.947400000000002</v>
      </c>
      <c r="F131" s="3062">
        <v>30.475000000000001</v>
      </c>
      <c r="G131" s="3062">
        <v>9.4724000000000004</v>
      </c>
    </row>
    <row r="132" spans="1:7" ht="15">
      <c r="A132" s="3061">
        <v>130</v>
      </c>
      <c r="B132" s="3062">
        <v>1311</v>
      </c>
      <c r="C132" s="3062" t="s">
        <v>3089</v>
      </c>
      <c r="D132" s="3062" t="s">
        <v>3058</v>
      </c>
      <c r="E132" s="3062">
        <v>50.8078</v>
      </c>
      <c r="F132" s="3062">
        <v>38.76</v>
      </c>
      <c r="G132" s="3062">
        <v>12.047800000000001</v>
      </c>
    </row>
    <row r="133" spans="1:7" ht="15">
      <c r="A133" s="3061">
        <v>131</v>
      </c>
      <c r="B133" s="3062">
        <v>1312</v>
      </c>
      <c r="C133" s="3062" t="s">
        <v>3089</v>
      </c>
      <c r="D133" s="3062" t="s">
        <v>3058</v>
      </c>
      <c r="E133" s="3062">
        <v>38.885899999999999</v>
      </c>
      <c r="F133" s="3062">
        <v>29.664999999999999</v>
      </c>
      <c r="G133" s="3062">
        <v>9.2209000000000003</v>
      </c>
    </row>
    <row r="134" spans="1:7" ht="15">
      <c r="A134" s="3061">
        <v>132</v>
      </c>
      <c r="B134" s="3062">
        <v>1313</v>
      </c>
      <c r="C134" s="3062" t="s">
        <v>3089</v>
      </c>
      <c r="D134" s="3062" t="s">
        <v>3058</v>
      </c>
      <c r="E134" s="3062">
        <v>63.467100000000002</v>
      </c>
      <c r="F134" s="3062">
        <v>48.417499999999997</v>
      </c>
      <c r="G134" s="3062">
        <v>15.0496</v>
      </c>
    </row>
    <row r="135" spans="1:7" ht="15">
      <c r="A135" s="3061">
        <v>133</v>
      </c>
      <c r="B135" s="3062">
        <v>1402</v>
      </c>
      <c r="C135" s="3062" t="s">
        <v>3089</v>
      </c>
      <c r="D135" s="3062" t="s">
        <v>3058</v>
      </c>
      <c r="E135" s="3062">
        <v>36.154499999999999</v>
      </c>
      <c r="F135" s="3062">
        <v>27.581299999999999</v>
      </c>
      <c r="G135" s="3062">
        <v>8.5731999999999999</v>
      </c>
    </row>
    <row r="136" spans="1:7" ht="15">
      <c r="A136" s="3061">
        <v>134</v>
      </c>
      <c r="B136" s="3062">
        <v>1403</v>
      </c>
      <c r="C136" s="3062" t="s">
        <v>3089</v>
      </c>
      <c r="D136" s="3062" t="s">
        <v>3058</v>
      </c>
      <c r="E136" s="3062">
        <v>26.0855</v>
      </c>
      <c r="F136" s="3062">
        <v>19.899999999999999</v>
      </c>
      <c r="G136" s="3062">
        <v>6.1855000000000002</v>
      </c>
    </row>
    <row r="137" spans="1:7" ht="15">
      <c r="A137" s="3061">
        <v>135</v>
      </c>
      <c r="B137" s="3062">
        <v>1404</v>
      </c>
      <c r="C137" s="3062" t="s">
        <v>3089</v>
      </c>
      <c r="D137" s="3062" t="s">
        <v>3058</v>
      </c>
      <c r="E137" s="3062">
        <v>37.473399999999998</v>
      </c>
      <c r="F137" s="3062">
        <v>28.587499999999999</v>
      </c>
      <c r="G137" s="3062">
        <v>8.8858999999999995</v>
      </c>
    </row>
    <row r="138" spans="1:7" ht="15">
      <c r="A138" s="3061">
        <v>136</v>
      </c>
      <c r="B138" s="3062">
        <v>1405</v>
      </c>
      <c r="C138" s="3062" t="s">
        <v>3089</v>
      </c>
      <c r="D138" s="3062" t="s">
        <v>3058</v>
      </c>
      <c r="E138" s="3062">
        <v>38.482700000000001</v>
      </c>
      <c r="F138" s="3062">
        <v>29.357500000000002</v>
      </c>
      <c r="G138" s="3062">
        <v>9.1251999999999995</v>
      </c>
    </row>
    <row r="139" spans="1:7" ht="15">
      <c r="A139" s="3061">
        <v>137</v>
      </c>
      <c r="B139" s="3062">
        <v>1406</v>
      </c>
      <c r="C139" s="3062" t="s">
        <v>3089</v>
      </c>
      <c r="D139" s="3062" t="s">
        <v>3058</v>
      </c>
      <c r="E139" s="3062">
        <v>38.482700000000001</v>
      </c>
      <c r="F139" s="3062">
        <v>29.357500000000002</v>
      </c>
      <c r="G139" s="3062">
        <v>9.1251999999999995</v>
      </c>
    </row>
    <row r="140" spans="1:7" ht="15">
      <c r="A140" s="3061">
        <v>138</v>
      </c>
      <c r="B140" s="3062">
        <v>1407</v>
      </c>
      <c r="C140" s="3062" t="s">
        <v>3089</v>
      </c>
      <c r="D140" s="3062" t="s">
        <v>3058</v>
      </c>
      <c r="E140" s="3062">
        <v>38.482700000000001</v>
      </c>
      <c r="F140" s="3062">
        <v>29.357500000000002</v>
      </c>
      <c r="G140" s="3062">
        <v>9.1251999999999995</v>
      </c>
    </row>
    <row r="141" spans="1:7" ht="15">
      <c r="A141" s="3061">
        <v>139</v>
      </c>
      <c r="B141" s="3062">
        <v>1408</v>
      </c>
      <c r="C141" s="3062" t="s">
        <v>3089</v>
      </c>
      <c r="D141" s="3062" t="s">
        <v>3058</v>
      </c>
      <c r="E141" s="3062">
        <v>38.410600000000002</v>
      </c>
      <c r="F141" s="3062">
        <v>29.302499999999998</v>
      </c>
      <c r="G141" s="3062">
        <v>9.1081000000000003</v>
      </c>
    </row>
    <row r="142" spans="1:7" ht="15">
      <c r="A142" s="3061">
        <v>140</v>
      </c>
      <c r="B142" s="3062">
        <v>1409</v>
      </c>
      <c r="C142" s="3062" t="s">
        <v>3089</v>
      </c>
      <c r="D142" s="3062" t="s">
        <v>3058</v>
      </c>
      <c r="E142" s="3062">
        <v>39.875500000000002</v>
      </c>
      <c r="F142" s="3062">
        <v>30.42</v>
      </c>
      <c r="G142" s="3062">
        <v>9.4555000000000007</v>
      </c>
    </row>
    <row r="143" spans="1:7" ht="15">
      <c r="A143" s="3061">
        <v>141</v>
      </c>
      <c r="B143" s="3062">
        <v>1410</v>
      </c>
      <c r="C143" s="3062" t="s">
        <v>3089</v>
      </c>
      <c r="D143" s="3062" t="s">
        <v>3058</v>
      </c>
      <c r="E143" s="3062">
        <v>39.947400000000002</v>
      </c>
      <c r="F143" s="3062">
        <v>30.475000000000001</v>
      </c>
      <c r="G143" s="3062">
        <v>9.4724000000000004</v>
      </c>
    </row>
    <row r="144" spans="1:7" ht="15">
      <c r="A144" s="3061">
        <v>142</v>
      </c>
      <c r="B144" s="3062">
        <v>1411</v>
      </c>
      <c r="C144" s="3062" t="s">
        <v>3089</v>
      </c>
      <c r="D144" s="3062" t="s">
        <v>3058</v>
      </c>
      <c r="E144" s="3062">
        <v>50.8078</v>
      </c>
      <c r="F144" s="3062">
        <v>38.76</v>
      </c>
      <c r="G144" s="3062">
        <v>12.047800000000001</v>
      </c>
    </row>
    <row r="145" spans="1:7" ht="15">
      <c r="A145" s="3061">
        <v>143</v>
      </c>
      <c r="B145" s="3062">
        <v>1412</v>
      </c>
      <c r="C145" s="3062" t="s">
        <v>3089</v>
      </c>
      <c r="D145" s="3062" t="s">
        <v>3058</v>
      </c>
      <c r="E145" s="3062">
        <v>38.885899999999999</v>
      </c>
      <c r="F145" s="3062">
        <v>29.664999999999999</v>
      </c>
      <c r="G145" s="3062">
        <v>9.2209000000000003</v>
      </c>
    </row>
    <row r="146" spans="1:7" ht="15">
      <c r="A146" s="3061">
        <v>144</v>
      </c>
      <c r="B146" s="3062">
        <v>1413</v>
      </c>
      <c r="C146" s="3062" t="s">
        <v>3089</v>
      </c>
      <c r="D146" s="3062" t="s">
        <v>3058</v>
      </c>
      <c r="E146" s="3062">
        <v>63.467100000000002</v>
      </c>
      <c r="F146" s="3062">
        <v>48.417499999999997</v>
      </c>
      <c r="G146" s="3062">
        <v>15.0496</v>
      </c>
    </row>
    <row r="147" spans="1:7" ht="15">
      <c r="A147" s="3061">
        <v>145</v>
      </c>
      <c r="B147" s="3062">
        <v>1502</v>
      </c>
      <c r="C147" s="3062" t="s">
        <v>3089</v>
      </c>
      <c r="D147" s="3062" t="s">
        <v>3058</v>
      </c>
      <c r="E147" s="3062">
        <v>36.154499999999999</v>
      </c>
      <c r="F147" s="3062">
        <v>27.581299999999999</v>
      </c>
      <c r="G147" s="3062">
        <v>8.5731999999999999</v>
      </c>
    </row>
    <row r="148" spans="1:7" ht="15">
      <c r="A148" s="3061">
        <v>146</v>
      </c>
      <c r="B148" s="3062">
        <v>1503</v>
      </c>
      <c r="C148" s="3062" t="s">
        <v>3089</v>
      </c>
      <c r="D148" s="3062" t="s">
        <v>3058</v>
      </c>
      <c r="E148" s="3062">
        <v>26.0855</v>
      </c>
      <c r="F148" s="3062">
        <v>19.899999999999999</v>
      </c>
      <c r="G148" s="3062">
        <v>6.1855000000000002</v>
      </c>
    </row>
    <row r="149" spans="1:7" ht="15">
      <c r="A149" s="3061">
        <v>147</v>
      </c>
      <c r="B149" s="3062">
        <v>1504</v>
      </c>
      <c r="C149" s="3062" t="s">
        <v>3089</v>
      </c>
      <c r="D149" s="3062" t="s">
        <v>3058</v>
      </c>
      <c r="E149" s="3062">
        <v>37.473399999999998</v>
      </c>
      <c r="F149" s="3062">
        <v>28.587499999999999</v>
      </c>
      <c r="G149" s="3062">
        <v>8.8858999999999995</v>
      </c>
    </row>
    <row r="150" spans="1:7" ht="15">
      <c r="A150" s="3061">
        <v>148</v>
      </c>
      <c r="B150" s="3062">
        <v>1505</v>
      </c>
      <c r="C150" s="3062" t="s">
        <v>3089</v>
      </c>
      <c r="D150" s="3062" t="s">
        <v>3058</v>
      </c>
      <c r="E150" s="3062">
        <v>38.482700000000001</v>
      </c>
      <c r="F150" s="3062">
        <v>29.357500000000002</v>
      </c>
      <c r="G150" s="3062">
        <v>9.1251999999999995</v>
      </c>
    </row>
    <row r="151" spans="1:7" ht="15">
      <c r="A151" s="3061">
        <v>149</v>
      </c>
      <c r="B151" s="3062">
        <v>1506</v>
      </c>
      <c r="C151" s="3062" t="s">
        <v>3089</v>
      </c>
      <c r="D151" s="3062" t="s">
        <v>3058</v>
      </c>
      <c r="E151" s="3062">
        <v>38.482700000000001</v>
      </c>
      <c r="F151" s="3062">
        <v>29.357500000000002</v>
      </c>
      <c r="G151" s="3062">
        <v>9.1251999999999995</v>
      </c>
    </row>
    <row r="152" spans="1:7" ht="15">
      <c r="A152" s="3061">
        <v>150</v>
      </c>
      <c r="B152" s="3062">
        <v>1507</v>
      </c>
      <c r="C152" s="3062" t="s">
        <v>3089</v>
      </c>
      <c r="D152" s="3062" t="s">
        <v>3058</v>
      </c>
      <c r="E152" s="3062">
        <v>38.482700000000001</v>
      </c>
      <c r="F152" s="3062">
        <v>29.357500000000002</v>
      </c>
      <c r="G152" s="3062">
        <v>9.1251999999999995</v>
      </c>
    </row>
    <row r="153" spans="1:7" ht="15">
      <c r="A153" s="3061">
        <v>151</v>
      </c>
      <c r="B153" s="3062">
        <v>1508</v>
      </c>
      <c r="C153" s="3062" t="s">
        <v>3089</v>
      </c>
      <c r="D153" s="3062" t="s">
        <v>3058</v>
      </c>
      <c r="E153" s="3062">
        <v>38.410600000000002</v>
      </c>
      <c r="F153" s="3062">
        <v>29.302499999999998</v>
      </c>
      <c r="G153" s="3062">
        <v>9.1081000000000003</v>
      </c>
    </row>
    <row r="154" spans="1:7" ht="15">
      <c r="A154" s="3061">
        <v>152</v>
      </c>
      <c r="B154" s="3062">
        <v>1509</v>
      </c>
      <c r="C154" s="3062" t="s">
        <v>3089</v>
      </c>
      <c r="D154" s="3062" t="s">
        <v>3058</v>
      </c>
      <c r="E154" s="3062">
        <v>39.875500000000002</v>
      </c>
      <c r="F154" s="3062">
        <v>30.42</v>
      </c>
      <c r="G154" s="3062">
        <v>9.4555000000000007</v>
      </c>
    </row>
    <row r="155" spans="1:7" ht="15">
      <c r="A155" s="3061">
        <v>153</v>
      </c>
      <c r="B155" s="3062">
        <v>1510</v>
      </c>
      <c r="C155" s="3062" t="s">
        <v>3089</v>
      </c>
      <c r="D155" s="3062" t="s">
        <v>3058</v>
      </c>
      <c r="E155" s="3062">
        <v>39.947400000000002</v>
      </c>
      <c r="F155" s="3062">
        <v>30.475000000000001</v>
      </c>
      <c r="G155" s="3062">
        <v>9.4724000000000004</v>
      </c>
    </row>
    <row r="156" spans="1:7" ht="15">
      <c r="A156" s="3061">
        <v>154</v>
      </c>
      <c r="B156" s="3062">
        <v>1511</v>
      </c>
      <c r="C156" s="3062" t="s">
        <v>3089</v>
      </c>
      <c r="D156" s="3062" t="s">
        <v>3058</v>
      </c>
      <c r="E156" s="3062">
        <v>50.8078</v>
      </c>
      <c r="F156" s="3062">
        <v>38.76</v>
      </c>
      <c r="G156" s="3062">
        <v>12.047800000000001</v>
      </c>
    </row>
    <row r="157" spans="1:7" ht="15">
      <c r="A157" s="3061">
        <v>155</v>
      </c>
      <c r="B157" s="3062">
        <v>1512</v>
      </c>
      <c r="C157" s="3062" t="s">
        <v>3089</v>
      </c>
      <c r="D157" s="3062" t="s">
        <v>3058</v>
      </c>
      <c r="E157" s="3062">
        <v>38.885899999999999</v>
      </c>
      <c r="F157" s="3062">
        <v>29.664999999999999</v>
      </c>
      <c r="G157" s="3062">
        <v>9.2209000000000003</v>
      </c>
    </row>
    <row r="158" spans="1:7" ht="15">
      <c r="A158" s="3061">
        <v>156</v>
      </c>
      <c r="B158" s="3062">
        <v>1513</v>
      </c>
      <c r="C158" s="3062" t="s">
        <v>3089</v>
      </c>
      <c r="D158" s="3062" t="s">
        <v>3058</v>
      </c>
      <c r="E158" s="3062">
        <v>63.467100000000002</v>
      </c>
      <c r="F158" s="3062">
        <v>48.417499999999997</v>
      </c>
      <c r="G158" s="3062">
        <v>15.0496</v>
      </c>
    </row>
    <row r="159" spans="1:7" ht="15">
      <c r="A159" s="3061">
        <v>157</v>
      </c>
      <c r="B159" s="3062">
        <v>1602</v>
      </c>
      <c r="C159" s="3062" t="s">
        <v>3089</v>
      </c>
      <c r="D159" s="3062" t="s">
        <v>3058</v>
      </c>
      <c r="E159" s="3062">
        <v>36.154499999999999</v>
      </c>
      <c r="F159" s="3062">
        <v>27.581299999999999</v>
      </c>
      <c r="G159" s="3062">
        <v>8.5731999999999999</v>
      </c>
    </row>
    <row r="160" spans="1:7" ht="15">
      <c r="A160" s="3061">
        <v>158</v>
      </c>
      <c r="B160" s="3062">
        <v>1603</v>
      </c>
      <c r="C160" s="3062" t="s">
        <v>3089</v>
      </c>
      <c r="D160" s="3062" t="s">
        <v>3058</v>
      </c>
      <c r="E160" s="3062">
        <v>26.0855</v>
      </c>
      <c r="F160" s="3062">
        <v>19.899999999999999</v>
      </c>
      <c r="G160" s="3062">
        <v>6.1855000000000002</v>
      </c>
    </row>
    <row r="161" spans="1:7" ht="15">
      <c r="A161" s="3061">
        <v>159</v>
      </c>
      <c r="B161" s="3062">
        <v>1604</v>
      </c>
      <c r="C161" s="3062" t="s">
        <v>3089</v>
      </c>
      <c r="D161" s="3062" t="s">
        <v>3058</v>
      </c>
      <c r="E161" s="3062">
        <v>37.473399999999998</v>
      </c>
      <c r="F161" s="3062">
        <v>28.587499999999999</v>
      </c>
      <c r="G161" s="3062">
        <v>8.8858999999999995</v>
      </c>
    </row>
    <row r="162" spans="1:7" ht="15">
      <c r="A162" s="3061">
        <v>160</v>
      </c>
      <c r="B162" s="3062">
        <v>1605</v>
      </c>
      <c r="C162" s="3062" t="s">
        <v>3089</v>
      </c>
      <c r="D162" s="3062" t="s">
        <v>3058</v>
      </c>
      <c r="E162" s="3062">
        <v>38.482700000000001</v>
      </c>
      <c r="F162" s="3062">
        <v>29.357500000000002</v>
      </c>
      <c r="G162" s="3062">
        <v>9.1251999999999995</v>
      </c>
    </row>
    <row r="163" spans="1:7" ht="15">
      <c r="A163" s="3061">
        <v>161</v>
      </c>
      <c r="B163" s="3062">
        <v>1606</v>
      </c>
      <c r="C163" s="3062" t="s">
        <v>3089</v>
      </c>
      <c r="D163" s="3062" t="s">
        <v>3058</v>
      </c>
      <c r="E163" s="3062">
        <v>38.482700000000001</v>
      </c>
      <c r="F163" s="3062">
        <v>29.357500000000002</v>
      </c>
      <c r="G163" s="3062">
        <v>9.1251999999999995</v>
      </c>
    </row>
    <row r="164" spans="1:7" ht="15">
      <c r="A164" s="3061">
        <v>162</v>
      </c>
      <c r="B164" s="3062">
        <v>1607</v>
      </c>
      <c r="C164" s="3062" t="s">
        <v>3089</v>
      </c>
      <c r="D164" s="3062" t="s">
        <v>3058</v>
      </c>
      <c r="E164" s="3062">
        <v>38.482700000000001</v>
      </c>
      <c r="F164" s="3062">
        <v>29.357500000000002</v>
      </c>
      <c r="G164" s="3062">
        <v>9.1251999999999995</v>
      </c>
    </row>
    <row r="165" spans="1:7" ht="15">
      <c r="A165" s="3061">
        <v>163</v>
      </c>
      <c r="B165" s="3062">
        <v>1608</v>
      </c>
      <c r="C165" s="3062" t="s">
        <v>3089</v>
      </c>
      <c r="D165" s="3062" t="s">
        <v>3058</v>
      </c>
      <c r="E165" s="3062">
        <v>38.410600000000002</v>
      </c>
      <c r="F165" s="3062">
        <v>29.302499999999998</v>
      </c>
      <c r="G165" s="3062">
        <v>9.1081000000000003</v>
      </c>
    </row>
    <row r="166" spans="1:7" ht="15">
      <c r="A166" s="3061">
        <v>164</v>
      </c>
      <c r="B166" s="3062">
        <v>1609</v>
      </c>
      <c r="C166" s="3062" t="s">
        <v>3089</v>
      </c>
      <c r="D166" s="3062" t="s">
        <v>3058</v>
      </c>
      <c r="E166" s="3062">
        <v>39.875500000000002</v>
      </c>
      <c r="F166" s="3062">
        <v>30.42</v>
      </c>
      <c r="G166" s="3062">
        <v>9.4555000000000007</v>
      </c>
    </row>
    <row r="167" spans="1:7" ht="15">
      <c r="A167" s="3061">
        <v>165</v>
      </c>
      <c r="B167" s="3062">
        <v>1610</v>
      </c>
      <c r="C167" s="3062" t="s">
        <v>3089</v>
      </c>
      <c r="D167" s="3062" t="s">
        <v>3058</v>
      </c>
      <c r="E167" s="3062">
        <v>39.947400000000002</v>
      </c>
      <c r="F167" s="3062">
        <v>30.475000000000001</v>
      </c>
      <c r="G167" s="3062">
        <v>9.4724000000000004</v>
      </c>
    </row>
    <row r="168" spans="1:7" ht="15">
      <c r="A168" s="3061">
        <v>166</v>
      </c>
      <c r="B168" s="3062">
        <v>1611</v>
      </c>
      <c r="C168" s="3062" t="s">
        <v>3089</v>
      </c>
      <c r="D168" s="3062" t="s">
        <v>3058</v>
      </c>
      <c r="E168" s="3062">
        <v>50.8078</v>
      </c>
      <c r="F168" s="3062">
        <v>38.76</v>
      </c>
      <c r="G168" s="3062">
        <v>12.047800000000001</v>
      </c>
    </row>
    <row r="169" spans="1:7" ht="15">
      <c r="A169" s="3061">
        <v>167</v>
      </c>
      <c r="B169" s="3062">
        <v>1612</v>
      </c>
      <c r="C169" s="3062" t="s">
        <v>3089</v>
      </c>
      <c r="D169" s="3062" t="s">
        <v>3058</v>
      </c>
      <c r="E169" s="3062">
        <v>38.885899999999999</v>
      </c>
      <c r="F169" s="3062">
        <v>29.664999999999999</v>
      </c>
      <c r="G169" s="3062">
        <v>9.2209000000000003</v>
      </c>
    </row>
    <row r="170" spans="1:7" ht="15">
      <c r="A170" s="3061">
        <v>168</v>
      </c>
      <c r="B170" s="3062">
        <v>1613</v>
      </c>
      <c r="C170" s="3062" t="s">
        <v>3089</v>
      </c>
      <c r="D170" s="3062" t="s">
        <v>3058</v>
      </c>
      <c r="E170" s="3062">
        <v>63.467100000000002</v>
      </c>
      <c r="F170" s="3062">
        <v>48.417499999999997</v>
      </c>
      <c r="G170" s="3062">
        <v>15.0496</v>
      </c>
    </row>
    <row r="171" spans="1:7" ht="15">
      <c r="A171" s="3061">
        <v>169</v>
      </c>
      <c r="B171" s="3062">
        <v>1702</v>
      </c>
      <c r="C171" s="3062" t="s">
        <v>3089</v>
      </c>
      <c r="D171" s="3062" t="s">
        <v>3058</v>
      </c>
      <c r="E171" s="3062">
        <v>36.154499999999999</v>
      </c>
      <c r="F171" s="3062">
        <v>27.581299999999999</v>
      </c>
      <c r="G171" s="3062">
        <v>8.5731999999999999</v>
      </c>
    </row>
    <row r="172" spans="1:7" ht="15">
      <c r="A172" s="3061">
        <v>170</v>
      </c>
      <c r="B172" s="3062">
        <v>1703</v>
      </c>
      <c r="C172" s="3062" t="s">
        <v>3089</v>
      </c>
      <c r="D172" s="3062" t="s">
        <v>3058</v>
      </c>
      <c r="E172" s="3062">
        <v>26.0855</v>
      </c>
      <c r="F172" s="3062">
        <v>19.899999999999999</v>
      </c>
      <c r="G172" s="3062">
        <v>6.1855000000000002</v>
      </c>
    </row>
    <row r="173" spans="1:7" ht="15">
      <c r="A173" s="3061">
        <v>171</v>
      </c>
      <c r="B173" s="3062">
        <v>1704</v>
      </c>
      <c r="C173" s="3062" t="s">
        <v>3089</v>
      </c>
      <c r="D173" s="3062" t="s">
        <v>3058</v>
      </c>
      <c r="E173" s="3062">
        <v>37.473399999999998</v>
      </c>
      <c r="F173" s="3062">
        <v>28.587499999999999</v>
      </c>
      <c r="G173" s="3062">
        <v>8.8858999999999995</v>
      </c>
    </row>
    <row r="174" spans="1:7" ht="15">
      <c r="A174" s="3061">
        <v>172</v>
      </c>
      <c r="B174" s="3062">
        <v>1705</v>
      </c>
      <c r="C174" s="3062" t="s">
        <v>3089</v>
      </c>
      <c r="D174" s="3062" t="s">
        <v>3058</v>
      </c>
      <c r="E174" s="3062">
        <v>38.482700000000001</v>
      </c>
      <c r="F174" s="3062">
        <v>29.357500000000002</v>
      </c>
      <c r="G174" s="3062">
        <v>9.1251999999999995</v>
      </c>
    </row>
    <row r="175" spans="1:7" ht="15">
      <c r="A175" s="3061">
        <v>173</v>
      </c>
      <c r="B175" s="3062">
        <v>1706</v>
      </c>
      <c r="C175" s="3062" t="s">
        <v>3089</v>
      </c>
      <c r="D175" s="3062" t="s">
        <v>3058</v>
      </c>
      <c r="E175" s="3062">
        <v>38.482700000000001</v>
      </c>
      <c r="F175" s="3062">
        <v>29.357500000000002</v>
      </c>
      <c r="G175" s="3062">
        <v>9.1251999999999995</v>
      </c>
    </row>
    <row r="176" spans="1:7" ht="15">
      <c r="A176" s="3061">
        <v>174</v>
      </c>
      <c r="B176" s="3062">
        <v>1707</v>
      </c>
      <c r="C176" s="3062" t="s">
        <v>3089</v>
      </c>
      <c r="D176" s="3062" t="s">
        <v>3058</v>
      </c>
      <c r="E176" s="3062">
        <v>38.482700000000001</v>
      </c>
      <c r="F176" s="3062">
        <v>29.357500000000002</v>
      </c>
      <c r="G176" s="3062">
        <v>9.1251999999999995</v>
      </c>
    </row>
    <row r="177" spans="1:7" ht="15">
      <c r="A177" s="3061">
        <v>175</v>
      </c>
      <c r="B177" s="3062">
        <v>1708</v>
      </c>
      <c r="C177" s="3062" t="s">
        <v>3089</v>
      </c>
      <c r="D177" s="3062" t="s">
        <v>3058</v>
      </c>
      <c r="E177" s="3062">
        <v>38.410600000000002</v>
      </c>
      <c r="F177" s="3062">
        <v>29.302499999999998</v>
      </c>
      <c r="G177" s="3062">
        <v>9.1081000000000003</v>
      </c>
    </row>
    <row r="178" spans="1:7" ht="15">
      <c r="A178" s="3061">
        <v>176</v>
      </c>
      <c r="B178" s="3062">
        <v>1709</v>
      </c>
      <c r="C178" s="3062" t="s">
        <v>3089</v>
      </c>
      <c r="D178" s="3062" t="s">
        <v>3058</v>
      </c>
      <c r="E178" s="3062">
        <v>39.875500000000002</v>
      </c>
      <c r="F178" s="3062">
        <v>30.42</v>
      </c>
      <c r="G178" s="3062">
        <v>9.4555000000000007</v>
      </c>
    </row>
    <row r="179" spans="1:7" ht="15">
      <c r="A179" s="3061">
        <v>177</v>
      </c>
      <c r="B179" s="3062">
        <v>1710</v>
      </c>
      <c r="C179" s="3062" t="s">
        <v>3089</v>
      </c>
      <c r="D179" s="3062" t="s">
        <v>3058</v>
      </c>
      <c r="E179" s="3062">
        <v>39.947400000000002</v>
      </c>
      <c r="F179" s="3062">
        <v>30.475000000000001</v>
      </c>
      <c r="G179" s="3062">
        <v>9.4724000000000004</v>
      </c>
    </row>
    <row r="180" spans="1:7" ht="15">
      <c r="A180" s="3061">
        <v>178</v>
      </c>
      <c r="B180" s="3062">
        <v>1711</v>
      </c>
      <c r="C180" s="3062" t="s">
        <v>3089</v>
      </c>
      <c r="D180" s="3062" t="s">
        <v>3058</v>
      </c>
      <c r="E180" s="3062">
        <v>50.8078</v>
      </c>
      <c r="F180" s="3062">
        <v>38.76</v>
      </c>
      <c r="G180" s="3062">
        <v>12.047800000000001</v>
      </c>
    </row>
    <row r="181" spans="1:7" ht="15">
      <c r="A181" s="3061">
        <v>179</v>
      </c>
      <c r="B181" s="3062">
        <v>1712</v>
      </c>
      <c r="C181" s="3062" t="s">
        <v>3089</v>
      </c>
      <c r="D181" s="3062" t="s">
        <v>3058</v>
      </c>
      <c r="E181" s="3062">
        <v>38.885899999999999</v>
      </c>
      <c r="F181" s="3062">
        <v>29.664999999999999</v>
      </c>
      <c r="G181" s="3062">
        <v>9.2209000000000003</v>
      </c>
    </row>
    <row r="182" spans="1:7" ht="15">
      <c r="A182" s="3061">
        <v>180</v>
      </c>
      <c r="B182" s="3062">
        <v>1713</v>
      </c>
      <c r="C182" s="3062" t="s">
        <v>3089</v>
      </c>
      <c r="D182" s="3062" t="s">
        <v>3058</v>
      </c>
      <c r="E182" s="3062">
        <v>63.467100000000002</v>
      </c>
      <c r="F182" s="3062">
        <v>48.417499999999997</v>
      </c>
      <c r="G182" s="3062">
        <v>15.0496</v>
      </c>
    </row>
    <row r="183" spans="1:7" ht="15">
      <c r="A183" s="3061">
        <v>181</v>
      </c>
      <c r="B183" s="3062">
        <v>1802</v>
      </c>
      <c r="C183" s="3062" t="s">
        <v>3089</v>
      </c>
      <c r="D183" s="3062" t="s">
        <v>3058</v>
      </c>
      <c r="E183" s="3062">
        <v>36.154499999999999</v>
      </c>
      <c r="F183" s="3062">
        <v>27.581299999999999</v>
      </c>
      <c r="G183" s="3062">
        <v>8.5731999999999999</v>
      </c>
    </row>
    <row r="184" spans="1:7" ht="15">
      <c r="A184" s="3061">
        <v>182</v>
      </c>
      <c r="B184" s="3062">
        <v>1803</v>
      </c>
      <c r="C184" s="3062" t="s">
        <v>3089</v>
      </c>
      <c r="D184" s="3062" t="s">
        <v>3058</v>
      </c>
      <c r="E184" s="3062">
        <v>26.0855</v>
      </c>
      <c r="F184" s="3062">
        <v>19.899999999999999</v>
      </c>
      <c r="G184" s="3062">
        <v>6.1855000000000002</v>
      </c>
    </row>
    <row r="185" spans="1:7" ht="15">
      <c r="A185" s="3061">
        <v>183</v>
      </c>
      <c r="B185" s="3062">
        <v>1804</v>
      </c>
      <c r="C185" s="3062" t="s">
        <v>3089</v>
      </c>
      <c r="D185" s="3062" t="s">
        <v>3058</v>
      </c>
      <c r="E185" s="3062">
        <v>37.473399999999998</v>
      </c>
      <c r="F185" s="3062">
        <v>28.587499999999999</v>
      </c>
      <c r="G185" s="3062">
        <v>8.8858999999999995</v>
      </c>
    </row>
    <row r="186" spans="1:7" ht="15">
      <c r="A186" s="3061">
        <v>184</v>
      </c>
      <c r="B186" s="3062">
        <v>1805</v>
      </c>
      <c r="C186" s="3062" t="s">
        <v>3089</v>
      </c>
      <c r="D186" s="3062" t="s">
        <v>3058</v>
      </c>
      <c r="E186" s="3062">
        <v>38.482700000000001</v>
      </c>
      <c r="F186" s="3062">
        <v>29.357500000000002</v>
      </c>
      <c r="G186" s="3062">
        <v>9.1251999999999995</v>
      </c>
    </row>
    <row r="187" spans="1:7" ht="15">
      <c r="A187" s="3061">
        <v>185</v>
      </c>
      <c r="B187" s="3062">
        <v>1806</v>
      </c>
      <c r="C187" s="3062" t="s">
        <v>3089</v>
      </c>
      <c r="D187" s="3062" t="s">
        <v>3058</v>
      </c>
      <c r="E187" s="3062">
        <v>38.482700000000001</v>
      </c>
      <c r="F187" s="3062">
        <v>29.357500000000002</v>
      </c>
      <c r="G187" s="3062">
        <v>9.1251999999999995</v>
      </c>
    </row>
    <row r="188" spans="1:7" ht="15">
      <c r="A188" s="3061">
        <v>186</v>
      </c>
      <c r="B188" s="3062">
        <v>1807</v>
      </c>
      <c r="C188" s="3062" t="s">
        <v>3089</v>
      </c>
      <c r="D188" s="3062" t="s">
        <v>3058</v>
      </c>
      <c r="E188" s="3062">
        <v>38.482700000000001</v>
      </c>
      <c r="F188" s="3062">
        <v>29.357500000000002</v>
      </c>
      <c r="G188" s="3062">
        <v>9.1251999999999995</v>
      </c>
    </row>
    <row r="189" spans="1:7" ht="15">
      <c r="A189" s="3061">
        <v>187</v>
      </c>
      <c r="B189" s="3062">
        <v>1808</v>
      </c>
      <c r="C189" s="3062" t="s">
        <v>3089</v>
      </c>
      <c r="D189" s="3062" t="s">
        <v>3058</v>
      </c>
      <c r="E189" s="3062">
        <v>38.410600000000002</v>
      </c>
      <c r="F189" s="3062">
        <v>29.302499999999998</v>
      </c>
      <c r="G189" s="3062">
        <v>9.1081000000000003</v>
      </c>
    </row>
    <row r="190" spans="1:7" ht="15">
      <c r="A190" s="3061">
        <v>188</v>
      </c>
      <c r="B190" s="3062">
        <v>1809</v>
      </c>
      <c r="C190" s="3062" t="s">
        <v>3089</v>
      </c>
      <c r="D190" s="3062" t="s">
        <v>3058</v>
      </c>
      <c r="E190" s="3062">
        <v>39.875500000000002</v>
      </c>
      <c r="F190" s="3062">
        <v>30.42</v>
      </c>
      <c r="G190" s="3062">
        <v>9.4555000000000007</v>
      </c>
    </row>
    <row r="191" spans="1:7" ht="15">
      <c r="A191" s="3061">
        <v>189</v>
      </c>
      <c r="B191" s="3062">
        <v>1810</v>
      </c>
      <c r="C191" s="3062" t="s">
        <v>3089</v>
      </c>
      <c r="D191" s="3062" t="s">
        <v>3058</v>
      </c>
      <c r="E191" s="3062">
        <v>39.947400000000002</v>
      </c>
      <c r="F191" s="3062">
        <v>30.475000000000001</v>
      </c>
      <c r="G191" s="3062">
        <v>9.4724000000000004</v>
      </c>
    </row>
    <row r="192" spans="1:7" ht="15">
      <c r="A192" s="3061">
        <v>190</v>
      </c>
      <c r="B192" s="3062">
        <v>1811</v>
      </c>
      <c r="C192" s="3062" t="s">
        <v>3089</v>
      </c>
      <c r="D192" s="3062" t="s">
        <v>3058</v>
      </c>
      <c r="E192" s="3062">
        <v>50.8078</v>
      </c>
      <c r="F192" s="3062">
        <v>38.76</v>
      </c>
      <c r="G192" s="3062">
        <v>12.047800000000001</v>
      </c>
    </row>
    <row r="193" spans="1:7" ht="15">
      <c r="A193" s="3061">
        <v>191</v>
      </c>
      <c r="B193" s="3062">
        <v>1812</v>
      </c>
      <c r="C193" s="3062" t="s">
        <v>3089</v>
      </c>
      <c r="D193" s="3062" t="s">
        <v>3058</v>
      </c>
      <c r="E193" s="3062">
        <v>38.885899999999999</v>
      </c>
      <c r="F193" s="3062">
        <v>29.664999999999999</v>
      </c>
      <c r="G193" s="3062">
        <v>9.2209000000000003</v>
      </c>
    </row>
    <row r="194" spans="1:7" ht="15">
      <c r="A194" s="3061">
        <v>192</v>
      </c>
      <c r="B194" s="3062">
        <v>1813</v>
      </c>
      <c r="C194" s="3062" t="s">
        <v>3089</v>
      </c>
      <c r="D194" s="3062" t="s">
        <v>3058</v>
      </c>
      <c r="E194" s="3062">
        <v>63.467100000000002</v>
      </c>
      <c r="F194" s="3062">
        <v>48.417499999999997</v>
      </c>
      <c r="G194" s="3062">
        <v>15.0496</v>
      </c>
    </row>
    <row r="195" spans="1:7" ht="15">
      <c r="A195" s="3061">
        <v>193</v>
      </c>
      <c r="B195" s="3062">
        <v>1902</v>
      </c>
      <c r="C195" s="3062" t="s">
        <v>3089</v>
      </c>
      <c r="D195" s="3062" t="s">
        <v>3058</v>
      </c>
      <c r="E195" s="3062">
        <v>36.154499999999999</v>
      </c>
      <c r="F195" s="3062">
        <v>27.581299999999999</v>
      </c>
      <c r="G195" s="3062">
        <v>8.5731999999999999</v>
      </c>
    </row>
    <row r="196" spans="1:7" ht="15">
      <c r="A196" s="3061">
        <v>194</v>
      </c>
      <c r="B196" s="3062">
        <v>1903</v>
      </c>
      <c r="C196" s="3062" t="s">
        <v>3089</v>
      </c>
      <c r="D196" s="3062" t="s">
        <v>3058</v>
      </c>
      <c r="E196" s="3062">
        <v>26.0855</v>
      </c>
      <c r="F196" s="3062">
        <v>19.899999999999999</v>
      </c>
      <c r="G196" s="3062">
        <v>6.1855000000000002</v>
      </c>
    </row>
    <row r="197" spans="1:7" ht="15">
      <c r="A197" s="3061">
        <v>195</v>
      </c>
      <c r="B197" s="3062">
        <v>1904</v>
      </c>
      <c r="C197" s="3062" t="s">
        <v>3089</v>
      </c>
      <c r="D197" s="3062" t="s">
        <v>3058</v>
      </c>
      <c r="E197" s="3062">
        <v>37.473399999999998</v>
      </c>
      <c r="F197" s="3062">
        <v>28.587499999999999</v>
      </c>
      <c r="G197" s="3062">
        <v>8.8858999999999995</v>
      </c>
    </row>
    <row r="198" spans="1:7" ht="15">
      <c r="A198" s="3061">
        <v>196</v>
      </c>
      <c r="B198" s="3062">
        <v>1905</v>
      </c>
      <c r="C198" s="3062" t="s">
        <v>3089</v>
      </c>
      <c r="D198" s="3062" t="s">
        <v>3058</v>
      </c>
      <c r="E198" s="3062">
        <v>38.482700000000001</v>
      </c>
      <c r="F198" s="3062">
        <v>29.357500000000002</v>
      </c>
      <c r="G198" s="3062">
        <v>9.1251999999999995</v>
      </c>
    </row>
    <row r="199" spans="1:7" ht="15">
      <c r="A199" s="3061">
        <v>197</v>
      </c>
      <c r="B199" s="3062">
        <v>1906</v>
      </c>
      <c r="C199" s="3062" t="s">
        <v>3089</v>
      </c>
      <c r="D199" s="3062" t="s">
        <v>3058</v>
      </c>
      <c r="E199" s="3062">
        <v>38.482700000000001</v>
      </c>
      <c r="F199" s="3062">
        <v>29.357500000000002</v>
      </c>
      <c r="G199" s="3062">
        <v>9.1251999999999995</v>
      </c>
    </row>
    <row r="200" spans="1:7" ht="15">
      <c r="A200" s="3061">
        <v>198</v>
      </c>
      <c r="B200" s="3062">
        <v>1907</v>
      </c>
      <c r="C200" s="3062" t="s">
        <v>3089</v>
      </c>
      <c r="D200" s="3062" t="s">
        <v>3058</v>
      </c>
      <c r="E200" s="3062">
        <v>38.482700000000001</v>
      </c>
      <c r="F200" s="3062">
        <v>29.357500000000002</v>
      </c>
      <c r="G200" s="3062">
        <v>9.1251999999999995</v>
      </c>
    </row>
    <row r="201" spans="1:7" ht="15">
      <c r="A201" s="3061">
        <v>199</v>
      </c>
      <c r="B201" s="3062">
        <v>1908</v>
      </c>
      <c r="C201" s="3062" t="s">
        <v>3089</v>
      </c>
      <c r="D201" s="3062" t="s">
        <v>3058</v>
      </c>
      <c r="E201" s="3062">
        <v>38.410600000000002</v>
      </c>
      <c r="F201" s="3062">
        <v>29.302499999999998</v>
      </c>
      <c r="G201" s="3062">
        <v>9.1081000000000003</v>
      </c>
    </row>
    <row r="202" spans="1:7" ht="15">
      <c r="A202" s="3061">
        <v>200</v>
      </c>
      <c r="B202" s="3062">
        <v>1909</v>
      </c>
      <c r="C202" s="3062" t="s">
        <v>3089</v>
      </c>
      <c r="D202" s="3062" t="s">
        <v>3058</v>
      </c>
      <c r="E202" s="3062">
        <v>39.875500000000002</v>
      </c>
      <c r="F202" s="3062">
        <v>30.42</v>
      </c>
      <c r="G202" s="3062">
        <v>9.4555000000000007</v>
      </c>
    </row>
    <row r="203" spans="1:7" ht="15">
      <c r="A203" s="3061">
        <v>201</v>
      </c>
      <c r="B203" s="3062">
        <v>1910</v>
      </c>
      <c r="C203" s="3062" t="s">
        <v>3089</v>
      </c>
      <c r="D203" s="3062" t="s">
        <v>3058</v>
      </c>
      <c r="E203" s="3062">
        <v>39.947400000000002</v>
      </c>
      <c r="F203" s="3062">
        <v>30.475000000000001</v>
      </c>
      <c r="G203" s="3062">
        <v>9.4724000000000004</v>
      </c>
    </row>
    <row r="204" spans="1:7" ht="15">
      <c r="A204" s="3061">
        <v>202</v>
      </c>
      <c r="B204" s="3062">
        <v>1911</v>
      </c>
      <c r="C204" s="3062" t="s">
        <v>3089</v>
      </c>
      <c r="D204" s="3062" t="s">
        <v>3058</v>
      </c>
      <c r="E204" s="3062">
        <v>50.8078</v>
      </c>
      <c r="F204" s="3062">
        <v>38.76</v>
      </c>
      <c r="G204" s="3062">
        <v>12.047800000000001</v>
      </c>
    </row>
    <row r="205" spans="1:7" ht="15">
      <c r="A205" s="3061">
        <v>203</v>
      </c>
      <c r="B205" s="3062">
        <v>1912</v>
      </c>
      <c r="C205" s="3062" t="s">
        <v>3089</v>
      </c>
      <c r="D205" s="3062" t="s">
        <v>3058</v>
      </c>
      <c r="E205" s="3062">
        <v>38.885899999999999</v>
      </c>
      <c r="F205" s="3062">
        <v>29.664999999999999</v>
      </c>
      <c r="G205" s="3062">
        <v>9.2209000000000003</v>
      </c>
    </row>
    <row r="206" spans="1:7" ht="15">
      <c r="A206" s="3061">
        <v>204</v>
      </c>
      <c r="B206" s="3062">
        <v>1913</v>
      </c>
      <c r="C206" s="3062" t="s">
        <v>3089</v>
      </c>
      <c r="D206" s="3062" t="s">
        <v>3058</v>
      </c>
      <c r="E206" s="3062">
        <v>63.467100000000002</v>
      </c>
      <c r="F206" s="3062">
        <v>48.417499999999997</v>
      </c>
      <c r="G206" s="3062">
        <v>15.0496</v>
      </c>
    </row>
    <row r="207" spans="1:7" ht="15">
      <c r="A207" s="3061">
        <v>205</v>
      </c>
      <c r="B207" s="3062">
        <v>2002</v>
      </c>
      <c r="C207" s="3062" t="s">
        <v>3089</v>
      </c>
      <c r="D207" s="3062" t="s">
        <v>3058</v>
      </c>
      <c r="E207" s="3062">
        <v>36.154499999999999</v>
      </c>
      <c r="F207" s="3062">
        <v>27.581299999999999</v>
      </c>
      <c r="G207" s="3062">
        <v>8.5731999999999999</v>
      </c>
    </row>
    <row r="208" spans="1:7" ht="15">
      <c r="A208" s="3061">
        <v>206</v>
      </c>
      <c r="B208" s="3062">
        <v>2003</v>
      </c>
      <c r="C208" s="3062" t="s">
        <v>3089</v>
      </c>
      <c r="D208" s="3062" t="s">
        <v>3058</v>
      </c>
      <c r="E208" s="3062">
        <v>26.0855</v>
      </c>
      <c r="F208" s="3062">
        <v>19.899999999999999</v>
      </c>
      <c r="G208" s="3062">
        <v>6.1855000000000002</v>
      </c>
    </row>
    <row r="209" spans="1:7" ht="15">
      <c r="A209" s="3061">
        <v>207</v>
      </c>
      <c r="B209" s="3062">
        <v>2004</v>
      </c>
      <c r="C209" s="3062" t="s">
        <v>3089</v>
      </c>
      <c r="D209" s="3062" t="s">
        <v>3058</v>
      </c>
      <c r="E209" s="3062">
        <v>37.473399999999998</v>
      </c>
      <c r="F209" s="3062">
        <v>28.587499999999999</v>
      </c>
      <c r="G209" s="3062">
        <v>8.8858999999999995</v>
      </c>
    </row>
    <row r="210" spans="1:7" ht="15">
      <c r="A210" s="3061">
        <v>208</v>
      </c>
      <c r="B210" s="3062">
        <v>2005</v>
      </c>
      <c r="C210" s="3062" t="s">
        <v>3089</v>
      </c>
      <c r="D210" s="3062" t="s">
        <v>3058</v>
      </c>
      <c r="E210" s="3062">
        <v>38.482700000000001</v>
      </c>
      <c r="F210" s="3062">
        <v>29.357500000000002</v>
      </c>
      <c r="G210" s="3062">
        <v>9.1251999999999995</v>
      </c>
    </row>
    <row r="211" spans="1:7" ht="15">
      <c r="A211" s="3061">
        <v>209</v>
      </c>
      <c r="B211" s="3062">
        <v>2006</v>
      </c>
      <c r="C211" s="3062" t="s">
        <v>3089</v>
      </c>
      <c r="D211" s="3062" t="s">
        <v>3058</v>
      </c>
      <c r="E211" s="3062">
        <v>38.482700000000001</v>
      </c>
      <c r="F211" s="3062">
        <v>29.357500000000002</v>
      </c>
      <c r="G211" s="3062">
        <v>9.1251999999999995</v>
      </c>
    </row>
    <row r="212" spans="1:7" ht="15">
      <c r="A212" s="3061">
        <v>210</v>
      </c>
      <c r="B212" s="3062">
        <v>2007</v>
      </c>
      <c r="C212" s="3062" t="s">
        <v>3089</v>
      </c>
      <c r="D212" s="3062" t="s">
        <v>3058</v>
      </c>
      <c r="E212" s="3062">
        <v>38.482700000000001</v>
      </c>
      <c r="F212" s="3062">
        <v>29.357500000000002</v>
      </c>
      <c r="G212" s="3062">
        <v>9.1251999999999995</v>
      </c>
    </row>
    <row r="213" spans="1:7" ht="15">
      <c r="A213" s="3061">
        <v>211</v>
      </c>
      <c r="B213" s="3062">
        <v>2008</v>
      </c>
      <c r="C213" s="3062" t="s">
        <v>3089</v>
      </c>
      <c r="D213" s="3062" t="s">
        <v>3058</v>
      </c>
      <c r="E213" s="3062">
        <v>38.410600000000002</v>
      </c>
      <c r="F213" s="3062">
        <v>29.302499999999998</v>
      </c>
      <c r="G213" s="3062">
        <v>9.1081000000000003</v>
      </c>
    </row>
    <row r="214" spans="1:7" ht="15">
      <c r="A214" s="3061">
        <v>212</v>
      </c>
      <c r="B214" s="3062">
        <v>2009</v>
      </c>
      <c r="C214" s="3062" t="s">
        <v>3089</v>
      </c>
      <c r="D214" s="3062" t="s">
        <v>3058</v>
      </c>
      <c r="E214" s="3062">
        <v>39.875500000000002</v>
      </c>
      <c r="F214" s="3062">
        <v>30.42</v>
      </c>
      <c r="G214" s="3062">
        <v>9.4555000000000007</v>
      </c>
    </row>
    <row r="215" spans="1:7" ht="15">
      <c r="A215" s="3061">
        <v>213</v>
      </c>
      <c r="B215" s="3062">
        <v>2010</v>
      </c>
      <c r="C215" s="3062" t="s">
        <v>3089</v>
      </c>
      <c r="D215" s="3062" t="s">
        <v>3058</v>
      </c>
      <c r="E215" s="3062">
        <v>39.947400000000002</v>
      </c>
      <c r="F215" s="3062">
        <v>30.475000000000001</v>
      </c>
      <c r="G215" s="3062">
        <v>9.4724000000000004</v>
      </c>
    </row>
    <row r="216" spans="1:7" ht="15">
      <c r="A216" s="3061">
        <v>214</v>
      </c>
      <c r="B216" s="3062">
        <v>2011</v>
      </c>
      <c r="C216" s="3062" t="s">
        <v>3089</v>
      </c>
      <c r="D216" s="3062" t="s">
        <v>3058</v>
      </c>
      <c r="E216" s="3062">
        <v>50.8078</v>
      </c>
      <c r="F216" s="3062">
        <v>38.76</v>
      </c>
      <c r="G216" s="3062">
        <v>12.047800000000001</v>
      </c>
    </row>
    <row r="217" spans="1:7" ht="15">
      <c r="A217" s="3061">
        <v>215</v>
      </c>
      <c r="B217" s="3062">
        <v>2012</v>
      </c>
      <c r="C217" s="3062" t="s">
        <v>3089</v>
      </c>
      <c r="D217" s="3062" t="s">
        <v>3058</v>
      </c>
      <c r="E217" s="3062">
        <v>38.885899999999999</v>
      </c>
      <c r="F217" s="3062">
        <v>29.664999999999999</v>
      </c>
      <c r="G217" s="3062">
        <v>9.2209000000000003</v>
      </c>
    </row>
    <row r="218" spans="1:7" ht="15">
      <c r="A218" s="3061">
        <v>216</v>
      </c>
      <c r="B218" s="3062">
        <v>2013</v>
      </c>
      <c r="C218" s="3062" t="s">
        <v>3089</v>
      </c>
      <c r="D218" s="3062" t="s">
        <v>3058</v>
      </c>
      <c r="E218" s="3062">
        <v>63.467100000000002</v>
      </c>
      <c r="F218" s="3062">
        <v>48.417499999999997</v>
      </c>
      <c r="G218" s="3062">
        <v>15.0496</v>
      </c>
    </row>
    <row r="219" spans="1:7" ht="15">
      <c r="A219" s="3061">
        <v>217</v>
      </c>
      <c r="B219" s="3062">
        <v>2102</v>
      </c>
      <c r="C219" s="3062" t="s">
        <v>3089</v>
      </c>
      <c r="D219" s="3062" t="s">
        <v>3058</v>
      </c>
      <c r="E219" s="3062">
        <v>36.154499999999999</v>
      </c>
      <c r="F219" s="3062">
        <v>27.581299999999999</v>
      </c>
      <c r="G219" s="3062">
        <v>8.5731999999999999</v>
      </c>
    </row>
    <row r="220" spans="1:7" ht="15">
      <c r="A220" s="3061">
        <v>218</v>
      </c>
      <c r="B220" s="3062">
        <v>2103</v>
      </c>
      <c r="C220" s="3062" t="s">
        <v>3089</v>
      </c>
      <c r="D220" s="3062" t="s">
        <v>3058</v>
      </c>
      <c r="E220" s="3062">
        <v>26.0855</v>
      </c>
      <c r="F220" s="3062">
        <v>19.899999999999999</v>
      </c>
      <c r="G220" s="3062">
        <v>6.1855000000000002</v>
      </c>
    </row>
    <row r="221" spans="1:7" ht="15">
      <c r="A221" s="3061">
        <v>219</v>
      </c>
      <c r="B221" s="3062">
        <v>2104</v>
      </c>
      <c r="C221" s="3062" t="s">
        <v>3089</v>
      </c>
      <c r="D221" s="3062" t="s">
        <v>3058</v>
      </c>
      <c r="E221" s="3062">
        <v>37.473399999999998</v>
      </c>
      <c r="F221" s="3062">
        <v>28.587499999999999</v>
      </c>
      <c r="G221" s="3062">
        <v>8.8858999999999995</v>
      </c>
    </row>
    <row r="222" spans="1:7" ht="15">
      <c r="A222" s="3061">
        <v>220</v>
      </c>
      <c r="B222" s="3062">
        <v>2105</v>
      </c>
      <c r="C222" s="3062" t="s">
        <v>3089</v>
      </c>
      <c r="D222" s="3062" t="s">
        <v>3058</v>
      </c>
      <c r="E222" s="3062">
        <v>38.482700000000001</v>
      </c>
      <c r="F222" s="3062">
        <v>29.357500000000002</v>
      </c>
      <c r="G222" s="3062">
        <v>9.1251999999999995</v>
      </c>
    </row>
    <row r="223" spans="1:7" ht="15">
      <c r="A223" s="3061">
        <v>221</v>
      </c>
      <c r="B223" s="3062">
        <v>2106</v>
      </c>
      <c r="C223" s="3062" t="s">
        <v>3089</v>
      </c>
      <c r="D223" s="3062" t="s">
        <v>3058</v>
      </c>
      <c r="E223" s="3062">
        <v>38.482700000000001</v>
      </c>
      <c r="F223" s="3062">
        <v>29.357500000000002</v>
      </c>
      <c r="G223" s="3062">
        <v>9.1251999999999995</v>
      </c>
    </row>
    <row r="224" spans="1:7" ht="15">
      <c r="A224" s="3061">
        <v>222</v>
      </c>
      <c r="B224" s="3062">
        <v>2107</v>
      </c>
      <c r="C224" s="3062" t="s">
        <v>3089</v>
      </c>
      <c r="D224" s="3062" t="s">
        <v>3058</v>
      </c>
      <c r="E224" s="3062">
        <v>38.482700000000001</v>
      </c>
      <c r="F224" s="3062">
        <v>29.357500000000002</v>
      </c>
      <c r="G224" s="3062">
        <v>9.1251999999999995</v>
      </c>
    </row>
    <row r="225" spans="1:7" ht="15">
      <c r="A225" s="3061">
        <v>223</v>
      </c>
      <c r="B225" s="3062">
        <v>2108</v>
      </c>
      <c r="C225" s="3062" t="s">
        <v>3089</v>
      </c>
      <c r="D225" s="3062" t="s">
        <v>3058</v>
      </c>
      <c r="E225" s="3062">
        <v>38.410600000000002</v>
      </c>
      <c r="F225" s="3062">
        <v>29.302499999999998</v>
      </c>
      <c r="G225" s="3062">
        <v>9.1081000000000003</v>
      </c>
    </row>
    <row r="226" spans="1:7" ht="15">
      <c r="A226" s="3061">
        <v>224</v>
      </c>
      <c r="B226" s="3062">
        <v>2109</v>
      </c>
      <c r="C226" s="3062" t="s">
        <v>3089</v>
      </c>
      <c r="D226" s="3062" t="s">
        <v>3058</v>
      </c>
      <c r="E226" s="3062">
        <v>39.875500000000002</v>
      </c>
      <c r="F226" s="3062">
        <v>30.42</v>
      </c>
      <c r="G226" s="3062">
        <v>9.4555000000000007</v>
      </c>
    </row>
    <row r="227" spans="1:7" ht="15">
      <c r="A227" s="3061">
        <v>225</v>
      </c>
      <c r="B227" s="3062">
        <v>2110</v>
      </c>
      <c r="C227" s="3062" t="s">
        <v>3089</v>
      </c>
      <c r="D227" s="3062" t="s">
        <v>3058</v>
      </c>
      <c r="E227" s="3062">
        <v>39.947400000000002</v>
      </c>
      <c r="F227" s="3062">
        <v>30.475000000000001</v>
      </c>
      <c r="G227" s="3062">
        <v>9.4724000000000004</v>
      </c>
    </row>
    <row r="228" spans="1:7" ht="15">
      <c r="A228" s="3061">
        <v>226</v>
      </c>
      <c r="B228" s="3062">
        <v>2111</v>
      </c>
      <c r="C228" s="3062" t="s">
        <v>3089</v>
      </c>
      <c r="D228" s="3062" t="s">
        <v>3058</v>
      </c>
      <c r="E228" s="3062">
        <v>50.8078</v>
      </c>
      <c r="F228" s="3062">
        <v>38.76</v>
      </c>
      <c r="G228" s="3062">
        <v>12.047800000000001</v>
      </c>
    </row>
    <row r="229" spans="1:7" ht="15">
      <c r="A229" s="3061">
        <v>227</v>
      </c>
      <c r="B229" s="3062">
        <v>2112</v>
      </c>
      <c r="C229" s="3062" t="s">
        <v>3089</v>
      </c>
      <c r="D229" s="3062" t="s">
        <v>3058</v>
      </c>
      <c r="E229" s="3062">
        <v>38.885899999999999</v>
      </c>
      <c r="F229" s="3062">
        <v>29.664999999999999</v>
      </c>
      <c r="G229" s="3062">
        <v>9.2209000000000003</v>
      </c>
    </row>
    <row r="230" spans="1:7" ht="15">
      <c r="A230" s="3061">
        <v>228</v>
      </c>
      <c r="B230" s="3062">
        <v>2113</v>
      </c>
      <c r="C230" s="3062" t="s">
        <v>3089</v>
      </c>
      <c r="D230" s="3062" t="s">
        <v>3058</v>
      </c>
      <c r="E230" s="3062">
        <v>63.467100000000002</v>
      </c>
      <c r="F230" s="3062">
        <v>48.417499999999997</v>
      </c>
      <c r="G230" s="3062">
        <v>15.0496</v>
      </c>
    </row>
    <row r="231" spans="1:7" ht="15">
      <c r="A231" s="3061">
        <v>229</v>
      </c>
      <c r="B231" s="3062">
        <v>2202</v>
      </c>
      <c r="C231" s="3062" t="s">
        <v>3089</v>
      </c>
      <c r="D231" s="3062" t="s">
        <v>3058</v>
      </c>
      <c r="E231" s="3062">
        <v>36.154499999999999</v>
      </c>
      <c r="F231" s="3062">
        <v>27.581299999999999</v>
      </c>
      <c r="G231" s="3062">
        <v>8.5731999999999999</v>
      </c>
    </row>
    <row r="232" spans="1:7" ht="15">
      <c r="A232" s="3061">
        <v>230</v>
      </c>
      <c r="B232" s="3062">
        <v>2203</v>
      </c>
      <c r="C232" s="3062" t="s">
        <v>3089</v>
      </c>
      <c r="D232" s="3062" t="s">
        <v>3058</v>
      </c>
      <c r="E232" s="3062">
        <v>26.0855</v>
      </c>
      <c r="F232" s="3062">
        <v>19.899999999999999</v>
      </c>
      <c r="G232" s="3062">
        <v>6.1855000000000002</v>
      </c>
    </row>
    <row r="233" spans="1:7" ht="15">
      <c r="A233" s="3061">
        <v>231</v>
      </c>
      <c r="B233" s="3062">
        <v>2204</v>
      </c>
      <c r="C233" s="3062" t="s">
        <v>3089</v>
      </c>
      <c r="D233" s="3062" t="s">
        <v>3058</v>
      </c>
      <c r="E233" s="3062">
        <v>37.473399999999998</v>
      </c>
      <c r="F233" s="3062">
        <v>28.587499999999999</v>
      </c>
      <c r="G233" s="3062">
        <v>8.8858999999999995</v>
      </c>
    </row>
    <row r="234" spans="1:7" ht="15">
      <c r="A234" s="3061">
        <v>232</v>
      </c>
      <c r="B234" s="3062">
        <v>2205</v>
      </c>
      <c r="C234" s="3062" t="s">
        <v>3089</v>
      </c>
      <c r="D234" s="3062" t="s">
        <v>3058</v>
      </c>
      <c r="E234" s="3062">
        <v>38.482700000000001</v>
      </c>
      <c r="F234" s="3062">
        <v>29.357500000000002</v>
      </c>
      <c r="G234" s="3062">
        <v>9.1251999999999995</v>
      </c>
    </row>
    <row r="235" spans="1:7" ht="15">
      <c r="A235" s="3061">
        <v>233</v>
      </c>
      <c r="B235" s="3062">
        <v>2206</v>
      </c>
      <c r="C235" s="3062" t="s">
        <v>3089</v>
      </c>
      <c r="D235" s="3062" t="s">
        <v>3058</v>
      </c>
      <c r="E235" s="3062">
        <v>38.482700000000001</v>
      </c>
      <c r="F235" s="3062">
        <v>29.357500000000002</v>
      </c>
      <c r="G235" s="3062">
        <v>9.1251999999999995</v>
      </c>
    </row>
    <row r="236" spans="1:7" ht="15">
      <c r="A236" s="3061">
        <v>234</v>
      </c>
      <c r="B236" s="3062">
        <v>2207</v>
      </c>
      <c r="C236" s="3062" t="s">
        <v>3089</v>
      </c>
      <c r="D236" s="3062" t="s">
        <v>3058</v>
      </c>
      <c r="E236" s="3062">
        <v>38.482700000000001</v>
      </c>
      <c r="F236" s="3062">
        <v>29.357500000000002</v>
      </c>
      <c r="G236" s="3062">
        <v>9.1251999999999995</v>
      </c>
    </row>
    <row r="237" spans="1:7" ht="15">
      <c r="A237" s="3061">
        <v>235</v>
      </c>
      <c r="B237" s="3062">
        <v>2208</v>
      </c>
      <c r="C237" s="3062" t="s">
        <v>3089</v>
      </c>
      <c r="D237" s="3062" t="s">
        <v>3058</v>
      </c>
      <c r="E237" s="3062">
        <v>38.410600000000002</v>
      </c>
      <c r="F237" s="3062">
        <v>29.302499999999998</v>
      </c>
      <c r="G237" s="3062">
        <v>9.1081000000000003</v>
      </c>
    </row>
    <row r="238" spans="1:7" ht="15">
      <c r="A238" s="3061">
        <v>236</v>
      </c>
      <c r="B238" s="3062">
        <v>2209</v>
      </c>
      <c r="C238" s="3062" t="s">
        <v>3089</v>
      </c>
      <c r="D238" s="3062" t="s">
        <v>3058</v>
      </c>
      <c r="E238" s="3062">
        <v>39.875500000000002</v>
      </c>
      <c r="F238" s="3062">
        <v>30.42</v>
      </c>
      <c r="G238" s="3062">
        <v>9.4555000000000007</v>
      </c>
    </row>
    <row r="239" spans="1:7" ht="15">
      <c r="A239" s="3061">
        <v>237</v>
      </c>
      <c r="B239" s="3062">
        <v>2210</v>
      </c>
      <c r="C239" s="3062" t="s">
        <v>3089</v>
      </c>
      <c r="D239" s="3062" t="s">
        <v>3058</v>
      </c>
      <c r="E239" s="3062">
        <v>39.947400000000002</v>
      </c>
      <c r="F239" s="3062">
        <v>30.475000000000001</v>
      </c>
      <c r="G239" s="3062">
        <v>9.4724000000000004</v>
      </c>
    </row>
    <row r="240" spans="1:7" ht="15">
      <c r="A240" s="3061">
        <v>238</v>
      </c>
      <c r="B240" s="3062">
        <v>2211</v>
      </c>
      <c r="C240" s="3062" t="s">
        <v>3089</v>
      </c>
      <c r="D240" s="3062" t="s">
        <v>3058</v>
      </c>
      <c r="E240" s="3062">
        <v>50.8078</v>
      </c>
      <c r="F240" s="3062">
        <v>38.76</v>
      </c>
      <c r="G240" s="3062">
        <v>12.047800000000001</v>
      </c>
    </row>
    <row r="241" spans="1:7" ht="15">
      <c r="A241" s="3061">
        <v>239</v>
      </c>
      <c r="B241" s="3062">
        <v>2212</v>
      </c>
      <c r="C241" s="3062" t="s">
        <v>3089</v>
      </c>
      <c r="D241" s="3062" t="s">
        <v>3058</v>
      </c>
      <c r="E241" s="3062">
        <v>38.885899999999999</v>
      </c>
      <c r="F241" s="3062">
        <v>29.664999999999999</v>
      </c>
      <c r="G241" s="3062">
        <v>9.2209000000000003</v>
      </c>
    </row>
    <row r="242" spans="1:7" ht="15">
      <c r="A242" s="3061">
        <v>240</v>
      </c>
      <c r="B242" s="3062">
        <v>2213</v>
      </c>
      <c r="C242" s="3062" t="s">
        <v>3089</v>
      </c>
      <c r="D242" s="3062" t="s">
        <v>3058</v>
      </c>
      <c r="E242" s="3062">
        <v>63.467100000000002</v>
      </c>
      <c r="F242" s="3062">
        <v>48.417499999999997</v>
      </c>
      <c r="G242" s="3062">
        <v>15.0496</v>
      </c>
    </row>
    <row r="243" spans="1:7" ht="15">
      <c r="A243" s="3061">
        <v>241</v>
      </c>
      <c r="B243" s="3062">
        <v>2302</v>
      </c>
      <c r="C243" s="3062" t="s">
        <v>3089</v>
      </c>
      <c r="D243" s="3062" t="s">
        <v>3058</v>
      </c>
      <c r="E243" s="3062">
        <v>36.154499999999999</v>
      </c>
      <c r="F243" s="3062">
        <v>27.581299999999999</v>
      </c>
      <c r="G243" s="3062">
        <v>8.5731999999999999</v>
      </c>
    </row>
    <row r="244" spans="1:7" ht="15">
      <c r="A244" s="3061">
        <v>242</v>
      </c>
      <c r="B244" s="3062">
        <v>2303</v>
      </c>
      <c r="C244" s="3062" t="s">
        <v>3089</v>
      </c>
      <c r="D244" s="3062" t="s">
        <v>3058</v>
      </c>
      <c r="E244" s="3062">
        <v>26.0855</v>
      </c>
      <c r="F244" s="3062">
        <v>19.899999999999999</v>
      </c>
      <c r="G244" s="3062">
        <v>6.1855000000000002</v>
      </c>
    </row>
    <row r="245" spans="1:7" ht="15">
      <c r="A245" s="3061">
        <v>243</v>
      </c>
      <c r="B245" s="3062">
        <v>2304</v>
      </c>
      <c r="C245" s="3062" t="s">
        <v>3089</v>
      </c>
      <c r="D245" s="3062" t="s">
        <v>3058</v>
      </c>
      <c r="E245" s="3062">
        <v>37.473399999999998</v>
      </c>
      <c r="F245" s="3062">
        <v>28.587499999999999</v>
      </c>
      <c r="G245" s="3062">
        <v>8.8858999999999995</v>
      </c>
    </row>
    <row r="246" spans="1:7" ht="15">
      <c r="A246" s="3061">
        <v>244</v>
      </c>
      <c r="B246" s="3062">
        <v>2305</v>
      </c>
      <c r="C246" s="3062" t="s">
        <v>3089</v>
      </c>
      <c r="D246" s="3062" t="s">
        <v>3058</v>
      </c>
      <c r="E246" s="3062">
        <v>38.482700000000001</v>
      </c>
      <c r="F246" s="3062">
        <v>29.357500000000002</v>
      </c>
      <c r="G246" s="3062">
        <v>9.1251999999999995</v>
      </c>
    </row>
    <row r="247" spans="1:7" ht="15">
      <c r="A247" s="3061">
        <v>245</v>
      </c>
      <c r="B247" s="3062">
        <v>2306</v>
      </c>
      <c r="C247" s="3062" t="s">
        <v>3089</v>
      </c>
      <c r="D247" s="3062" t="s">
        <v>3058</v>
      </c>
      <c r="E247" s="3062">
        <v>38.482700000000001</v>
      </c>
      <c r="F247" s="3062">
        <v>29.357500000000002</v>
      </c>
      <c r="G247" s="3062">
        <v>9.1251999999999995</v>
      </c>
    </row>
    <row r="248" spans="1:7" ht="15">
      <c r="A248" s="3061">
        <v>246</v>
      </c>
      <c r="B248" s="3062">
        <v>2307</v>
      </c>
      <c r="C248" s="3062" t="s">
        <v>3089</v>
      </c>
      <c r="D248" s="3062" t="s">
        <v>3058</v>
      </c>
      <c r="E248" s="3062">
        <v>38.482700000000001</v>
      </c>
      <c r="F248" s="3062">
        <v>29.357500000000002</v>
      </c>
      <c r="G248" s="3062">
        <v>9.1251999999999995</v>
      </c>
    </row>
    <row r="249" spans="1:7" ht="15">
      <c r="A249" s="3061">
        <v>247</v>
      </c>
      <c r="B249" s="3062">
        <v>2308</v>
      </c>
      <c r="C249" s="3062" t="s">
        <v>3089</v>
      </c>
      <c r="D249" s="3062" t="s">
        <v>3058</v>
      </c>
      <c r="E249" s="3062">
        <v>38.410600000000002</v>
      </c>
      <c r="F249" s="3062">
        <v>29.302499999999998</v>
      </c>
      <c r="G249" s="3062">
        <v>9.1081000000000003</v>
      </c>
    </row>
    <row r="250" spans="1:7" ht="15">
      <c r="A250" s="3061">
        <v>248</v>
      </c>
      <c r="B250" s="3062">
        <v>2309</v>
      </c>
      <c r="C250" s="3062" t="s">
        <v>3089</v>
      </c>
      <c r="D250" s="3062" t="s">
        <v>3058</v>
      </c>
      <c r="E250" s="3062">
        <v>39.875500000000002</v>
      </c>
      <c r="F250" s="3062">
        <v>30.42</v>
      </c>
      <c r="G250" s="3062">
        <v>9.4555000000000007</v>
      </c>
    </row>
    <row r="251" spans="1:7" ht="15">
      <c r="A251" s="3061">
        <v>249</v>
      </c>
      <c r="B251" s="3062">
        <v>2310</v>
      </c>
      <c r="C251" s="3062" t="s">
        <v>3089</v>
      </c>
      <c r="D251" s="3062" t="s">
        <v>3058</v>
      </c>
      <c r="E251" s="3062">
        <v>39.947400000000002</v>
      </c>
      <c r="F251" s="3062">
        <v>30.475000000000001</v>
      </c>
      <c r="G251" s="3062">
        <v>9.4724000000000004</v>
      </c>
    </row>
    <row r="252" spans="1:7" ht="15">
      <c r="A252" s="3061">
        <v>250</v>
      </c>
      <c r="B252" s="3062">
        <v>2311</v>
      </c>
      <c r="C252" s="3062" t="s">
        <v>3089</v>
      </c>
      <c r="D252" s="3062" t="s">
        <v>3058</v>
      </c>
      <c r="E252" s="3062">
        <v>50.8078</v>
      </c>
      <c r="F252" s="3062">
        <v>38.76</v>
      </c>
      <c r="G252" s="3062">
        <v>12.047800000000001</v>
      </c>
    </row>
    <row r="253" spans="1:7" ht="15">
      <c r="A253" s="3061">
        <v>251</v>
      </c>
      <c r="B253" s="3062">
        <v>2312</v>
      </c>
      <c r="C253" s="3062" t="s">
        <v>3089</v>
      </c>
      <c r="D253" s="3062" t="s">
        <v>3058</v>
      </c>
      <c r="E253" s="3062">
        <v>38.885899999999999</v>
      </c>
      <c r="F253" s="3062">
        <v>29.664999999999999</v>
      </c>
      <c r="G253" s="3062">
        <v>9.2209000000000003</v>
      </c>
    </row>
    <row r="254" spans="1:7" ht="15">
      <c r="A254" s="3061">
        <v>252</v>
      </c>
      <c r="B254" s="3062">
        <v>2313</v>
      </c>
      <c r="C254" s="3062" t="s">
        <v>3089</v>
      </c>
      <c r="D254" s="3062" t="s">
        <v>3058</v>
      </c>
      <c r="E254" s="3062">
        <v>63.467100000000002</v>
      </c>
      <c r="F254" s="3062">
        <v>48.417499999999997</v>
      </c>
      <c r="G254" s="3062">
        <v>15.0496</v>
      </c>
    </row>
    <row r="255" spans="1:7" ht="15">
      <c r="A255" s="3061">
        <v>253</v>
      </c>
      <c r="B255" s="3062">
        <v>2402</v>
      </c>
      <c r="C255" s="3062" t="s">
        <v>3089</v>
      </c>
      <c r="D255" s="3062" t="s">
        <v>3058</v>
      </c>
      <c r="E255" s="3062">
        <v>36.154499999999999</v>
      </c>
      <c r="F255" s="3062">
        <v>27.581299999999999</v>
      </c>
      <c r="G255" s="3062">
        <v>8.5731999999999999</v>
      </c>
    </row>
    <row r="256" spans="1:7" ht="15">
      <c r="A256" s="3061">
        <v>254</v>
      </c>
      <c r="B256" s="3062">
        <v>2403</v>
      </c>
      <c r="C256" s="3062" t="s">
        <v>3089</v>
      </c>
      <c r="D256" s="3062" t="s">
        <v>3058</v>
      </c>
      <c r="E256" s="3062">
        <v>26.0855</v>
      </c>
      <c r="F256" s="3062">
        <v>19.899999999999999</v>
      </c>
      <c r="G256" s="3062">
        <v>6.1855000000000002</v>
      </c>
    </row>
    <row r="257" spans="1:7" ht="15">
      <c r="A257" s="3061">
        <v>255</v>
      </c>
      <c r="B257" s="3062">
        <v>2404</v>
      </c>
      <c r="C257" s="3062" t="s">
        <v>3089</v>
      </c>
      <c r="D257" s="3062" t="s">
        <v>3058</v>
      </c>
      <c r="E257" s="3062">
        <v>37.473399999999998</v>
      </c>
      <c r="F257" s="3062">
        <v>28.587499999999999</v>
      </c>
      <c r="G257" s="3062">
        <v>8.8858999999999995</v>
      </c>
    </row>
    <row r="258" spans="1:7" ht="15">
      <c r="A258" s="3061">
        <v>256</v>
      </c>
      <c r="B258" s="3062">
        <v>2405</v>
      </c>
      <c r="C258" s="3062" t="s">
        <v>3089</v>
      </c>
      <c r="D258" s="3062" t="s">
        <v>3058</v>
      </c>
      <c r="E258" s="3062">
        <v>38.482700000000001</v>
      </c>
      <c r="F258" s="3062">
        <v>29.357500000000002</v>
      </c>
      <c r="G258" s="3062">
        <v>9.1251999999999995</v>
      </c>
    </row>
    <row r="259" spans="1:7" ht="15">
      <c r="A259" s="3061">
        <v>257</v>
      </c>
      <c r="B259" s="3062">
        <v>2406</v>
      </c>
      <c r="C259" s="3062" t="s">
        <v>3089</v>
      </c>
      <c r="D259" s="3062" t="s">
        <v>3058</v>
      </c>
      <c r="E259" s="3062">
        <v>38.482700000000001</v>
      </c>
      <c r="F259" s="3062">
        <v>29.357500000000002</v>
      </c>
      <c r="G259" s="3062">
        <v>9.1251999999999995</v>
      </c>
    </row>
    <row r="260" spans="1:7" ht="15">
      <c r="A260" s="3061">
        <v>258</v>
      </c>
      <c r="B260" s="3062">
        <v>2407</v>
      </c>
      <c r="C260" s="3062" t="s">
        <v>3089</v>
      </c>
      <c r="D260" s="3062" t="s">
        <v>3058</v>
      </c>
      <c r="E260" s="3062">
        <v>38.482700000000001</v>
      </c>
      <c r="F260" s="3062">
        <v>29.357500000000002</v>
      </c>
      <c r="G260" s="3062">
        <v>9.1251999999999995</v>
      </c>
    </row>
    <row r="261" spans="1:7" ht="15">
      <c r="A261" s="3061">
        <v>259</v>
      </c>
      <c r="B261" s="3062">
        <v>2408</v>
      </c>
      <c r="C261" s="3062" t="s">
        <v>3089</v>
      </c>
      <c r="D261" s="3062" t="s">
        <v>3058</v>
      </c>
      <c r="E261" s="3062">
        <v>38.410600000000002</v>
      </c>
      <c r="F261" s="3062">
        <v>29.302499999999998</v>
      </c>
      <c r="G261" s="3062">
        <v>9.1081000000000003</v>
      </c>
    </row>
    <row r="262" spans="1:7" ht="15">
      <c r="A262" s="3061">
        <v>260</v>
      </c>
      <c r="B262" s="3062">
        <v>2409</v>
      </c>
      <c r="C262" s="3062" t="s">
        <v>3089</v>
      </c>
      <c r="D262" s="3062" t="s">
        <v>3058</v>
      </c>
      <c r="E262" s="3062">
        <v>39.875500000000002</v>
      </c>
      <c r="F262" s="3062">
        <v>30.42</v>
      </c>
      <c r="G262" s="3062">
        <v>9.4555000000000007</v>
      </c>
    </row>
    <row r="263" spans="1:7" ht="15">
      <c r="A263" s="3061">
        <v>261</v>
      </c>
      <c r="B263" s="3062">
        <v>2410</v>
      </c>
      <c r="C263" s="3062" t="s">
        <v>3089</v>
      </c>
      <c r="D263" s="3062" t="s">
        <v>3058</v>
      </c>
      <c r="E263" s="3062">
        <v>39.947400000000002</v>
      </c>
      <c r="F263" s="3062">
        <v>30.475000000000001</v>
      </c>
      <c r="G263" s="3062">
        <v>9.4724000000000004</v>
      </c>
    </row>
    <row r="264" spans="1:7" ht="15">
      <c r="A264" s="3061">
        <v>262</v>
      </c>
      <c r="B264" s="3062">
        <v>2411</v>
      </c>
      <c r="C264" s="3062" t="s">
        <v>3089</v>
      </c>
      <c r="D264" s="3062" t="s">
        <v>3058</v>
      </c>
      <c r="E264" s="3062">
        <v>50.8078</v>
      </c>
      <c r="F264" s="3062">
        <v>38.76</v>
      </c>
      <c r="G264" s="3062">
        <v>12.047800000000001</v>
      </c>
    </row>
    <row r="265" spans="1:7" ht="15">
      <c r="A265" s="3061">
        <v>263</v>
      </c>
      <c r="B265" s="3062">
        <v>2412</v>
      </c>
      <c r="C265" s="3062" t="s">
        <v>3089</v>
      </c>
      <c r="D265" s="3062" t="s">
        <v>3058</v>
      </c>
      <c r="E265" s="3062">
        <v>38.885899999999999</v>
      </c>
      <c r="F265" s="3062">
        <v>29.664999999999999</v>
      </c>
      <c r="G265" s="3062">
        <v>9.2209000000000003</v>
      </c>
    </row>
    <row r="266" spans="1:7" ht="15">
      <c r="A266" s="3061">
        <v>264</v>
      </c>
      <c r="B266" s="3062">
        <v>2413</v>
      </c>
      <c r="C266" s="3062" t="s">
        <v>3089</v>
      </c>
      <c r="D266" s="3062" t="s">
        <v>3058</v>
      </c>
      <c r="E266" s="3062">
        <v>63.467100000000002</v>
      </c>
      <c r="F266" s="3062">
        <v>48.417499999999997</v>
      </c>
      <c r="G266" s="3062">
        <v>15.0496</v>
      </c>
    </row>
    <row r="267" spans="1:7" ht="15">
      <c r="A267" s="3061">
        <v>265</v>
      </c>
      <c r="B267" s="3062">
        <v>2502</v>
      </c>
      <c r="C267" s="3062" t="s">
        <v>3089</v>
      </c>
      <c r="D267" s="3062" t="s">
        <v>3058</v>
      </c>
      <c r="E267" s="3062">
        <v>36.154499999999999</v>
      </c>
      <c r="F267" s="3062">
        <v>27.581299999999999</v>
      </c>
      <c r="G267" s="3062">
        <v>8.5731999999999999</v>
      </c>
    </row>
    <row r="268" spans="1:7" ht="15">
      <c r="A268" s="3061">
        <v>266</v>
      </c>
      <c r="B268" s="3062">
        <v>2503</v>
      </c>
      <c r="C268" s="3062" t="s">
        <v>3089</v>
      </c>
      <c r="D268" s="3062" t="s">
        <v>3058</v>
      </c>
      <c r="E268" s="3062">
        <v>26.0855</v>
      </c>
      <c r="F268" s="3062">
        <v>19.899999999999999</v>
      </c>
      <c r="G268" s="3062">
        <v>6.1855000000000002</v>
      </c>
    </row>
    <row r="269" spans="1:7" ht="15">
      <c r="A269" s="3061">
        <v>267</v>
      </c>
      <c r="B269" s="3062">
        <v>2504</v>
      </c>
      <c r="C269" s="3062" t="s">
        <v>3089</v>
      </c>
      <c r="D269" s="3062" t="s">
        <v>3058</v>
      </c>
      <c r="E269" s="3062">
        <v>37.473399999999998</v>
      </c>
      <c r="F269" s="3062">
        <v>28.587499999999999</v>
      </c>
      <c r="G269" s="3062">
        <v>8.8858999999999995</v>
      </c>
    </row>
    <row r="270" spans="1:7" ht="15">
      <c r="A270" s="3061">
        <v>268</v>
      </c>
      <c r="B270" s="3062">
        <v>2505</v>
      </c>
      <c r="C270" s="3062" t="s">
        <v>3089</v>
      </c>
      <c r="D270" s="3062" t="s">
        <v>3058</v>
      </c>
      <c r="E270" s="3062">
        <v>38.482700000000001</v>
      </c>
      <c r="F270" s="3062">
        <v>29.357500000000002</v>
      </c>
      <c r="G270" s="3062">
        <v>9.1251999999999995</v>
      </c>
    </row>
    <row r="271" spans="1:7" ht="15">
      <c r="A271" s="3061">
        <v>269</v>
      </c>
      <c r="B271" s="3062">
        <v>2506</v>
      </c>
      <c r="C271" s="3062" t="s">
        <v>3089</v>
      </c>
      <c r="D271" s="3062" t="s">
        <v>3058</v>
      </c>
      <c r="E271" s="3062">
        <v>38.482700000000001</v>
      </c>
      <c r="F271" s="3062">
        <v>29.357500000000002</v>
      </c>
      <c r="G271" s="3062">
        <v>9.1251999999999995</v>
      </c>
    </row>
    <row r="272" spans="1:7" ht="15">
      <c r="A272" s="3061">
        <v>270</v>
      </c>
      <c r="B272" s="3062">
        <v>2507</v>
      </c>
      <c r="C272" s="3062" t="s">
        <v>3089</v>
      </c>
      <c r="D272" s="3062" t="s">
        <v>3058</v>
      </c>
      <c r="E272" s="3062">
        <v>38.482700000000001</v>
      </c>
      <c r="F272" s="3062">
        <v>29.357500000000002</v>
      </c>
      <c r="G272" s="3062">
        <v>9.1251999999999995</v>
      </c>
    </row>
    <row r="273" spans="1:7" ht="15">
      <c r="A273" s="3061">
        <v>271</v>
      </c>
      <c r="B273" s="3062">
        <v>2508</v>
      </c>
      <c r="C273" s="3062" t="s">
        <v>3089</v>
      </c>
      <c r="D273" s="3062" t="s">
        <v>3058</v>
      </c>
      <c r="E273" s="3062">
        <v>38.410600000000002</v>
      </c>
      <c r="F273" s="3062">
        <v>29.302499999999998</v>
      </c>
      <c r="G273" s="3062">
        <v>9.1081000000000003</v>
      </c>
    </row>
    <row r="274" spans="1:7" ht="15">
      <c r="A274" s="3061">
        <v>272</v>
      </c>
      <c r="B274" s="3062">
        <v>2509</v>
      </c>
      <c r="C274" s="3062" t="s">
        <v>3089</v>
      </c>
      <c r="D274" s="3062" t="s">
        <v>3058</v>
      </c>
      <c r="E274" s="3062">
        <v>39.875500000000002</v>
      </c>
      <c r="F274" s="3062">
        <v>30.42</v>
      </c>
      <c r="G274" s="3062">
        <v>9.4555000000000007</v>
      </c>
    </row>
    <row r="275" spans="1:7" ht="15">
      <c r="A275" s="3061">
        <v>273</v>
      </c>
      <c r="B275" s="3062">
        <v>2510</v>
      </c>
      <c r="C275" s="3062" t="s">
        <v>3089</v>
      </c>
      <c r="D275" s="3062" t="s">
        <v>3058</v>
      </c>
      <c r="E275" s="3062">
        <v>39.947400000000002</v>
      </c>
      <c r="F275" s="3062">
        <v>30.475000000000001</v>
      </c>
      <c r="G275" s="3062">
        <v>9.4724000000000004</v>
      </c>
    </row>
    <row r="276" spans="1:7" ht="15">
      <c r="A276" s="3061">
        <v>274</v>
      </c>
      <c r="B276" s="3062">
        <v>2511</v>
      </c>
      <c r="C276" s="3062" t="s">
        <v>3089</v>
      </c>
      <c r="D276" s="3062" t="s">
        <v>3058</v>
      </c>
      <c r="E276" s="3062">
        <v>50.8078</v>
      </c>
      <c r="F276" s="3062">
        <v>38.76</v>
      </c>
      <c r="G276" s="3062">
        <v>12.047800000000001</v>
      </c>
    </row>
    <row r="277" spans="1:7" ht="15">
      <c r="A277" s="3061">
        <v>275</v>
      </c>
      <c r="B277" s="3062">
        <v>2512</v>
      </c>
      <c r="C277" s="3062" t="s">
        <v>3089</v>
      </c>
      <c r="D277" s="3062" t="s">
        <v>3058</v>
      </c>
      <c r="E277" s="3062">
        <v>38.885899999999999</v>
      </c>
      <c r="F277" s="3062">
        <v>29.664999999999999</v>
      </c>
      <c r="G277" s="3062">
        <v>9.2209000000000003</v>
      </c>
    </row>
    <row r="278" spans="1:7" ht="15">
      <c r="A278" s="3061">
        <v>276</v>
      </c>
      <c r="B278" s="3062">
        <v>2513</v>
      </c>
      <c r="C278" s="3062" t="s">
        <v>3089</v>
      </c>
      <c r="D278" s="3062" t="s">
        <v>3058</v>
      </c>
      <c r="E278" s="3062">
        <v>63.467100000000002</v>
      </c>
      <c r="F278" s="3062">
        <v>48.417499999999997</v>
      </c>
      <c r="G278" s="3062">
        <v>15.0496</v>
      </c>
    </row>
    <row r="279" spans="1:7" ht="15">
      <c r="A279" s="3061">
        <v>277</v>
      </c>
      <c r="B279" s="3062">
        <v>2602</v>
      </c>
      <c r="C279" s="3062" t="s">
        <v>3089</v>
      </c>
      <c r="D279" s="3062" t="s">
        <v>3058</v>
      </c>
      <c r="E279" s="3062">
        <v>36.154499999999999</v>
      </c>
      <c r="F279" s="3062">
        <v>27.581299999999999</v>
      </c>
      <c r="G279" s="3062">
        <v>8.5731999999999999</v>
      </c>
    </row>
    <row r="280" spans="1:7" ht="15">
      <c r="A280" s="3061">
        <v>278</v>
      </c>
      <c r="B280" s="3062">
        <v>2603</v>
      </c>
      <c r="C280" s="3062" t="s">
        <v>3089</v>
      </c>
      <c r="D280" s="3062" t="s">
        <v>3058</v>
      </c>
      <c r="E280" s="3062">
        <v>26.0855</v>
      </c>
      <c r="F280" s="3062">
        <v>19.899999999999999</v>
      </c>
      <c r="G280" s="3062">
        <v>6.1855000000000002</v>
      </c>
    </row>
    <row r="281" spans="1:7" ht="15">
      <c r="A281" s="3061">
        <v>279</v>
      </c>
      <c r="B281" s="3062">
        <v>2604</v>
      </c>
      <c r="C281" s="3062" t="s">
        <v>3089</v>
      </c>
      <c r="D281" s="3062" t="s">
        <v>3058</v>
      </c>
      <c r="E281" s="3062">
        <v>37.473399999999998</v>
      </c>
      <c r="F281" s="3062">
        <v>28.587499999999999</v>
      </c>
      <c r="G281" s="3062">
        <v>8.8858999999999995</v>
      </c>
    </row>
    <row r="282" spans="1:7" ht="15">
      <c r="A282" s="3061">
        <v>280</v>
      </c>
      <c r="B282" s="3062">
        <v>2605</v>
      </c>
      <c r="C282" s="3062" t="s">
        <v>3089</v>
      </c>
      <c r="D282" s="3062" t="s">
        <v>3058</v>
      </c>
      <c r="E282" s="3062">
        <v>38.482700000000001</v>
      </c>
      <c r="F282" s="3062">
        <v>29.357500000000002</v>
      </c>
      <c r="G282" s="3062">
        <v>9.1251999999999995</v>
      </c>
    </row>
    <row r="283" spans="1:7" ht="15">
      <c r="A283" s="3061">
        <v>281</v>
      </c>
      <c r="B283" s="3062">
        <v>2606</v>
      </c>
      <c r="C283" s="3062" t="s">
        <v>3089</v>
      </c>
      <c r="D283" s="3062" t="s">
        <v>3058</v>
      </c>
      <c r="E283" s="3062">
        <v>38.482700000000001</v>
      </c>
      <c r="F283" s="3062">
        <v>29.357500000000002</v>
      </c>
      <c r="G283" s="3062">
        <v>9.1251999999999995</v>
      </c>
    </row>
    <row r="284" spans="1:7" ht="15">
      <c r="A284" s="3061">
        <v>282</v>
      </c>
      <c r="B284" s="3062">
        <v>2607</v>
      </c>
      <c r="C284" s="3062" t="s">
        <v>3089</v>
      </c>
      <c r="D284" s="3062" t="s">
        <v>3058</v>
      </c>
      <c r="E284" s="3062">
        <v>38.482700000000001</v>
      </c>
      <c r="F284" s="3062">
        <v>29.357500000000002</v>
      </c>
      <c r="G284" s="3062">
        <v>9.1251999999999995</v>
      </c>
    </row>
    <row r="285" spans="1:7" ht="15">
      <c r="A285" s="3061">
        <v>283</v>
      </c>
      <c r="B285" s="3062">
        <v>2608</v>
      </c>
      <c r="C285" s="3062" t="s">
        <v>3089</v>
      </c>
      <c r="D285" s="3062" t="s">
        <v>3058</v>
      </c>
      <c r="E285" s="3062">
        <v>38.410600000000002</v>
      </c>
      <c r="F285" s="3062">
        <v>29.302499999999998</v>
      </c>
      <c r="G285" s="3062">
        <v>9.1081000000000003</v>
      </c>
    </row>
    <row r="286" spans="1:7" ht="15">
      <c r="A286" s="3061">
        <v>284</v>
      </c>
      <c r="B286" s="3062">
        <v>2609</v>
      </c>
      <c r="C286" s="3062" t="s">
        <v>3089</v>
      </c>
      <c r="D286" s="3062" t="s">
        <v>3058</v>
      </c>
      <c r="E286" s="3062">
        <v>39.875500000000002</v>
      </c>
      <c r="F286" s="3062">
        <v>30.42</v>
      </c>
      <c r="G286" s="3062">
        <v>9.4555000000000007</v>
      </c>
    </row>
    <row r="287" spans="1:7" ht="15">
      <c r="A287" s="3061">
        <v>285</v>
      </c>
      <c r="B287" s="3062">
        <v>2610</v>
      </c>
      <c r="C287" s="3062" t="s">
        <v>3089</v>
      </c>
      <c r="D287" s="3062" t="s">
        <v>3058</v>
      </c>
      <c r="E287" s="3062">
        <v>39.947400000000002</v>
      </c>
      <c r="F287" s="3062">
        <v>30.475000000000001</v>
      </c>
      <c r="G287" s="3062">
        <v>9.4724000000000004</v>
      </c>
    </row>
    <row r="288" spans="1:7" ht="15">
      <c r="A288" s="3061">
        <v>286</v>
      </c>
      <c r="B288" s="3062">
        <v>2611</v>
      </c>
      <c r="C288" s="3062" t="s">
        <v>3089</v>
      </c>
      <c r="D288" s="3062" t="s">
        <v>3058</v>
      </c>
      <c r="E288" s="3062">
        <v>50.8078</v>
      </c>
      <c r="F288" s="3062">
        <v>38.76</v>
      </c>
      <c r="G288" s="3062">
        <v>12.047800000000001</v>
      </c>
    </row>
    <row r="289" spans="1:7" ht="15">
      <c r="A289" s="3061">
        <v>287</v>
      </c>
      <c r="B289" s="3062">
        <v>2612</v>
      </c>
      <c r="C289" s="3062" t="s">
        <v>3089</v>
      </c>
      <c r="D289" s="3062" t="s">
        <v>3058</v>
      </c>
      <c r="E289" s="3062">
        <v>38.885899999999999</v>
      </c>
      <c r="F289" s="3062">
        <v>29.664999999999999</v>
      </c>
      <c r="G289" s="3062">
        <v>9.2209000000000003</v>
      </c>
    </row>
    <row r="290" spans="1:7" ht="15">
      <c r="A290" s="3061">
        <v>288</v>
      </c>
      <c r="B290" s="3062">
        <v>2613</v>
      </c>
      <c r="C290" s="3062" t="s">
        <v>3089</v>
      </c>
      <c r="D290" s="3062" t="s">
        <v>3058</v>
      </c>
      <c r="E290" s="3062">
        <v>63.467100000000002</v>
      </c>
      <c r="F290" s="3062">
        <v>48.417499999999997</v>
      </c>
      <c r="G290" s="3062">
        <v>15.0496</v>
      </c>
    </row>
    <row r="291" spans="1:7" ht="15">
      <c r="A291" s="3061">
        <v>289</v>
      </c>
      <c r="B291" s="3062">
        <v>2702</v>
      </c>
      <c r="C291" s="3062" t="s">
        <v>3089</v>
      </c>
      <c r="D291" s="3062" t="s">
        <v>3058</v>
      </c>
      <c r="E291" s="3062">
        <v>36.154499999999999</v>
      </c>
      <c r="F291" s="3062">
        <v>27.581299999999999</v>
      </c>
      <c r="G291" s="3062">
        <v>8.5731999999999999</v>
      </c>
    </row>
    <row r="292" spans="1:7" ht="15">
      <c r="A292" s="3061">
        <v>290</v>
      </c>
      <c r="B292" s="3062">
        <v>2703</v>
      </c>
      <c r="C292" s="3062" t="s">
        <v>3089</v>
      </c>
      <c r="D292" s="3062" t="s">
        <v>3058</v>
      </c>
      <c r="E292" s="3062">
        <v>26.0855</v>
      </c>
      <c r="F292" s="3062">
        <v>19.899999999999999</v>
      </c>
      <c r="G292" s="3062">
        <v>6.1855000000000002</v>
      </c>
    </row>
    <row r="293" spans="1:7" ht="15">
      <c r="A293" s="3061">
        <v>291</v>
      </c>
      <c r="B293" s="3062">
        <v>2704</v>
      </c>
      <c r="C293" s="3062" t="s">
        <v>3089</v>
      </c>
      <c r="D293" s="3062" t="s">
        <v>3058</v>
      </c>
      <c r="E293" s="3062">
        <v>37.473399999999998</v>
      </c>
      <c r="F293" s="3062">
        <v>28.587499999999999</v>
      </c>
      <c r="G293" s="3062">
        <v>8.8858999999999995</v>
      </c>
    </row>
    <row r="294" spans="1:7" ht="15">
      <c r="A294" s="3061">
        <v>292</v>
      </c>
      <c r="B294" s="3062">
        <v>2705</v>
      </c>
      <c r="C294" s="3062" t="s">
        <v>3089</v>
      </c>
      <c r="D294" s="3062" t="s">
        <v>3058</v>
      </c>
      <c r="E294" s="3062">
        <v>38.482700000000001</v>
      </c>
      <c r="F294" s="3062">
        <v>29.357500000000002</v>
      </c>
      <c r="G294" s="3062">
        <v>9.1251999999999995</v>
      </c>
    </row>
    <row r="295" spans="1:7" ht="15">
      <c r="A295" s="3061">
        <v>293</v>
      </c>
      <c r="B295" s="3062">
        <v>2706</v>
      </c>
      <c r="C295" s="3062" t="s">
        <v>3089</v>
      </c>
      <c r="D295" s="3062" t="s">
        <v>3058</v>
      </c>
      <c r="E295" s="3062">
        <v>38.482700000000001</v>
      </c>
      <c r="F295" s="3062">
        <v>29.357500000000002</v>
      </c>
      <c r="G295" s="3062">
        <v>9.1251999999999995</v>
      </c>
    </row>
    <row r="296" spans="1:7" ht="15">
      <c r="A296" s="3061">
        <v>294</v>
      </c>
      <c r="B296" s="3062">
        <v>2707</v>
      </c>
      <c r="C296" s="3062" t="s">
        <v>3089</v>
      </c>
      <c r="D296" s="3062" t="s">
        <v>3058</v>
      </c>
      <c r="E296" s="3062">
        <v>38.482700000000001</v>
      </c>
      <c r="F296" s="3062">
        <v>29.357500000000002</v>
      </c>
      <c r="G296" s="3062">
        <v>9.1251999999999995</v>
      </c>
    </row>
    <row r="297" spans="1:7" ht="15">
      <c r="A297" s="3061">
        <v>295</v>
      </c>
      <c r="B297" s="3062">
        <v>2708</v>
      </c>
      <c r="C297" s="3062" t="s">
        <v>3089</v>
      </c>
      <c r="D297" s="3062" t="s">
        <v>3058</v>
      </c>
      <c r="E297" s="3062">
        <v>38.410600000000002</v>
      </c>
      <c r="F297" s="3062">
        <v>29.302499999999998</v>
      </c>
      <c r="G297" s="3062">
        <v>9.1081000000000003</v>
      </c>
    </row>
    <row r="298" spans="1:7" ht="15">
      <c r="A298" s="3061">
        <v>296</v>
      </c>
      <c r="B298" s="3062">
        <v>2709</v>
      </c>
      <c r="C298" s="3062" t="s">
        <v>3089</v>
      </c>
      <c r="D298" s="3062" t="s">
        <v>3058</v>
      </c>
      <c r="E298" s="3062">
        <v>39.875500000000002</v>
      </c>
      <c r="F298" s="3062">
        <v>30.42</v>
      </c>
      <c r="G298" s="3062">
        <v>9.4555000000000007</v>
      </c>
    </row>
    <row r="299" spans="1:7" ht="15">
      <c r="A299" s="3061">
        <v>297</v>
      </c>
      <c r="B299" s="3062">
        <v>2710</v>
      </c>
      <c r="C299" s="3062" t="s">
        <v>3089</v>
      </c>
      <c r="D299" s="3062" t="s">
        <v>3058</v>
      </c>
      <c r="E299" s="3062">
        <v>39.947400000000002</v>
      </c>
      <c r="F299" s="3062">
        <v>30.475000000000001</v>
      </c>
      <c r="G299" s="3062">
        <v>9.4724000000000004</v>
      </c>
    </row>
    <row r="300" spans="1:7" ht="15">
      <c r="A300" s="3061">
        <v>298</v>
      </c>
      <c r="B300" s="3062">
        <v>2711</v>
      </c>
      <c r="C300" s="3062" t="s">
        <v>3089</v>
      </c>
      <c r="D300" s="3062" t="s">
        <v>3058</v>
      </c>
      <c r="E300" s="3062">
        <v>50.8078</v>
      </c>
      <c r="F300" s="3062">
        <v>38.76</v>
      </c>
      <c r="G300" s="3062">
        <v>12.047800000000001</v>
      </c>
    </row>
    <row r="301" spans="1:7" ht="15">
      <c r="A301" s="3061">
        <v>299</v>
      </c>
      <c r="B301" s="3062">
        <v>2712</v>
      </c>
      <c r="C301" s="3062" t="s">
        <v>3089</v>
      </c>
      <c r="D301" s="3062" t="s">
        <v>3058</v>
      </c>
      <c r="E301" s="3062">
        <v>38.885899999999999</v>
      </c>
      <c r="F301" s="3062">
        <v>29.664999999999999</v>
      </c>
      <c r="G301" s="3062">
        <v>9.2209000000000003</v>
      </c>
    </row>
    <row r="302" spans="1:7" ht="15">
      <c r="A302" s="3061">
        <v>300</v>
      </c>
      <c r="B302" s="3062">
        <v>2713</v>
      </c>
      <c r="C302" s="3062" t="s">
        <v>3089</v>
      </c>
      <c r="D302" s="3062" t="s">
        <v>3058</v>
      </c>
      <c r="E302" s="3062">
        <v>63.467100000000002</v>
      </c>
      <c r="F302" s="3062">
        <v>48.417499999999997</v>
      </c>
      <c r="G302" s="3062">
        <v>15.0496</v>
      </c>
    </row>
    <row r="303" spans="1:7" ht="15">
      <c r="A303" s="3061">
        <v>301</v>
      </c>
      <c r="B303" s="3062">
        <v>2802</v>
      </c>
      <c r="C303" s="3062" t="s">
        <v>3089</v>
      </c>
      <c r="D303" s="3062" t="s">
        <v>3058</v>
      </c>
      <c r="E303" s="3062">
        <v>36.154499999999999</v>
      </c>
      <c r="F303" s="3062">
        <v>27.581299999999999</v>
      </c>
      <c r="G303" s="3062">
        <v>8.5731999999999999</v>
      </c>
    </row>
    <row r="304" spans="1:7" ht="15">
      <c r="A304" s="3061">
        <v>302</v>
      </c>
      <c r="B304" s="3062">
        <v>2803</v>
      </c>
      <c r="C304" s="3062" t="s">
        <v>3089</v>
      </c>
      <c r="D304" s="3062" t="s">
        <v>3058</v>
      </c>
      <c r="E304" s="3062">
        <v>26.0855</v>
      </c>
      <c r="F304" s="3062">
        <v>19.899999999999999</v>
      </c>
      <c r="G304" s="3062">
        <v>6.1855000000000002</v>
      </c>
    </row>
    <row r="305" spans="1:7" ht="15">
      <c r="A305" s="3061">
        <v>303</v>
      </c>
      <c r="B305" s="3062">
        <v>2804</v>
      </c>
      <c r="C305" s="3062" t="s">
        <v>3089</v>
      </c>
      <c r="D305" s="3062" t="s">
        <v>3058</v>
      </c>
      <c r="E305" s="3062">
        <v>37.473399999999998</v>
      </c>
      <c r="F305" s="3062">
        <v>28.587499999999999</v>
      </c>
      <c r="G305" s="3062">
        <v>8.8858999999999995</v>
      </c>
    </row>
    <row r="306" spans="1:7" ht="15">
      <c r="A306" s="3061">
        <v>304</v>
      </c>
      <c r="B306" s="3062">
        <v>2805</v>
      </c>
      <c r="C306" s="3062" t="s">
        <v>3089</v>
      </c>
      <c r="D306" s="3062" t="s">
        <v>3058</v>
      </c>
      <c r="E306" s="3062">
        <v>38.482700000000001</v>
      </c>
      <c r="F306" s="3062">
        <v>29.357500000000002</v>
      </c>
      <c r="G306" s="3062">
        <v>9.1251999999999995</v>
      </c>
    </row>
    <row r="307" spans="1:7" ht="15">
      <c r="A307" s="3061">
        <v>305</v>
      </c>
      <c r="B307" s="3062">
        <v>2806</v>
      </c>
      <c r="C307" s="3062" t="s">
        <v>3089</v>
      </c>
      <c r="D307" s="3062" t="s">
        <v>3058</v>
      </c>
      <c r="E307" s="3062">
        <v>38.482700000000001</v>
      </c>
      <c r="F307" s="3062">
        <v>29.357500000000002</v>
      </c>
      <c r="G307" s="3062">
        <v>9.1251999999999995</v>
      </c>
    </row>
    <row r="308" spans="1:7" ht="15">
      <c r="A308" s="3061">
        <v>306</v>
      </c>
      <c r="B308" s="3062">
        <v>2807</v>
      </c>
      <c r="C308" s="3062" t="s">
        <v>3089</v>
      </c>
      <c r="D308" s="3062" t="s">
        <v>3058</v>
      </c>
      <c r="E308" s="3062">
        <v>38.482700000000001</v>
      </c>
      <c r="F308" s="3062">
        <v>29.357500000000002</v>
      </c>
      <c r="G308" s="3062">
        <v>9.1251999999999995</v>
      </c>
    </row>
    <row r="309" spans="1:7" ht="15">
      <c r="A309" s="3061">
        <v>307</v>
      </c>
      <c r="B309" s="3062">
        <v>2808</v>
      </c>
      <c r="C309" s="3062" t="s">
        <v>3089</v>
      </c>
      <c r="D309" s="3062" t="s">
        <v>3058</v>
      </c>
      <c r="E309" s="3062">
        <v>38.410600000000002</v>
      </c>
      <c r="F309" s="3062">
        <v>29.302499999999998</v>
      </c>
      <c r="G309" s="3062">
        <v>9.1081000000000003</v>
      </c>
    </row>
    <row r="310" spans="1:7" ht="15">
      <c r="A310" s="3061">
        <v>308</v>
      </c>
      <c r="B310" s="3062">
        <v>2809</v>
      </c>
      <c r="C310" s="3062" t="s">
        <v>3089</v>
      </c>
      <c r="D310" s="3062" t="s">
        <v>3058</v>
      </c>
      <c r="E310" s="3062">
        <v>39.875500000000002</v>
      </c>
      <c r="F310" s="3062">
        <v>30.42</v>
      </c>
      <c r="G310" s="3062">
        <v>9.4555000000000007</v>
      </c>
    </row>
    <row r="311" spans="1:7" ht="15">
      <c r="A311" s="3061">
        <v>309</v>
      </c>
      <c r="B311" s="3062">
        <v>2810</v>
      </c>
      <c r="C311" s="3062" t="s">
        <v>3089</v>
      </c>
      <c r="D311" s="3062" t="s">
        <v>3058</v>
      </c>
      <c r="E311" s="3062">
        <v>39.947400000000002</v>
      </c>
      <c r="F311" s="3062">
        <v>30.475000000000001</v>
      </c>
      <c r="G311" s="3062">
        <v>9.4724000000000004</v>
      </c>
    </row>
    <row r="312" spans="1:7" ht="15">
      <c r="A312" s="3061">
        <v>310</v>
      </c>
      <c r="B312" s="3062">
        <v>2811</v>
      </c>
      <c r="C312" s="3062" t="s">
        <v>3089</v>
      </c>
      <c r="D312" s="3062" t="s">
        <v>3058</v>
      </c>
      <c r="E312" s="3062">
        <v>50.8078</v>
      </c>
      <c r="F312" s="3062">
        <v>38.76</v>
      </c>
      <c r="G312" s="3062">
        <v>12.047800000000001</v>
      </c>
    </row>
    <row r="313" spans="1:7" ht="15">
      <c r="A313" s="3061">
        <v>311</v>
      </c>
      <c r="B313" s="3062">
        <v>2812</v>
      </c>
      <c r="C313" s="3062" t="s">
        <v>3089</v>
      </c>
      <c r="D313" s="3062" t="s">
        <v>3058</v>
      </c>
      <c r="E313" s="3062">
        <v>38.885899999999999</v>
      </c>
      <c r="F313" s="3062">
        <v>29.664999999999999</v>
      </c>
      <c r="G313" s="3062">
        <v>9.2209000000000003</v>
      </c>
    </row>
    <row r="314" spans="1:7" ht="15">
      <c r="A314" s="3061">
        <v>312</v>
      </c>
      <c r="B314" s="3062">
        <v>2813</v>
      </c>
      <c r="C314" s="3062" t="s">
        <v>3089</v>
      </c>
      <c r="D314" s="3062" t="s">
        <v>3058</v>
      </c>
      <c r="E314" s="3062">
        <v>63.467100000000002</v>
      </c>
      <c r="F314" s="3062">
        <v>48.417499999999997</v>
      </c>
      <c r="G314" s="3062">
        <v>15.0496</v>
      </c>
    </row>
    <row r="315" spans="1:7" ht="15">
      <c r="A315" s="3061">
        <v>313</v>
      </c>
      <c r="B315" s="3062">
        <v>2902</v>
      </c>
      <c r="C315" s="3062" t="s">
        <v>3089</v>
      </c>
      <c r="D315" s="3062" t="s">
        <v>3058</v>
      </c>
      <c r="E315" s="3062">
        <v>36.154499999999999</v>
      </c>
      <c r="F315" s="3062">
        <v>27.581299999999999</v>
      </c>
      <c r="G315" s="3062">
        <v>8.5731999999999999</v>
      </c>
    </row>
    <row r="316" spans="1:7" ht="15">
      <c r="A316" s="3061">
        <v>314</v>
      </c>
      <c r="B316" s="3062">
        <v>2903</v>
      </c>
      <c r="C316" s="3062" t="s">
        <v>3089</v>
      </c>
      <c r="D316" s="3062" t="s">
        <v>3058</v>
      </c>
      <c r="E316" s="3062">
        <v>26.0855</v>
      </c>
      <c r="F316" s="3062">
        <v>19.899999999999999</v>
      </c>
      <c r="G316" s="3062">
        <v>6.1855000000000002</v>
      </c>
    </row>
    <row r="317" spans="1:7" ht="15">
      <c r="A317" s="3061">
        <v>315</v>
      </c>
      <c r="B317" s="3062">
        <v>2904</v>
      </c>
      <c r="C317" s="3062" t="s">
        <v>3089</v>
      </c>
      <c r="D317" s="3062" t="s">
        <v>3058</v>
      </c>
      <c r="E317" s="3062">
        <v>37.473399999999998</v>
      </c>
      <c r="F317" s="3062">
        <v>28.587499999999999</v>
      </c>
      <c r="G317" s="3062">
        <v>8.8858999999999995</v>
      </c>
    </row>
    <row r="318" spans="1:7" ht="15">
      <c r="A318" s="3061">
        <v>316</v>
      </c>
      <c r="B318" s="3062">
        <v>2905</v>
      </c>
      <c r="C318" s="3062" t="s">
        <v>3089</v>
      </c>
      <c r="D318" s="3062" t="s">
        <v>3058</v>
      </c>
      <c r="E318" s="3062">
        <v>38.482700000000001</v>
      </c>
      <c r="F318" s="3062">
        <v>29.357500000000002</v>
      </c>
      <c r="G318" s="3062">
        <v>9.1251999999999995</v>
      </c>
    </row>
    <row r="319" spans="1:7" ht="15">
      <c r="A319" s="3061">
        <v>317</v>
      </c>
      <c r="B319" s="3062">
        <v>2906</v>
      </c>
      <c r="C319" s="3062" t="s">
        <v>3089</v>
      </c>
      <c r="D319" s="3062" t="s">
        <v>3058</v>
      </c>
      <c r="E319" s="3062">
        <v>38.482700000000001</v>
      </c>
      <c r="F319" s="3062">
        <v>29.357500000000002</v>
      </c>
      <c r="G319" s="3062">
        <v>9.1251999999999995</v>
      </c>
    </row>
    <row r="320" spans="1:7" ht="15">
      <c r="A320" s="3061">
        <v>318</v>
      </c>
      <c r="B320" s="3062">
        <v>2907</v>
      </c>
      <c r="C320" s="3062" t="s">
        <v>3089</v>
      </c>
      <c r="D320" s="3062" t="s">
        <v>3058</v>
      </c>
      <c r="E320" s="3062">
        <v>38.482700000000001</v>
      </c>
      <c r="F320" s="3062">
        <v>29.357500000000002</v>
      </c>
      <c r="G320" s="3062">
        <v>9.1251999999999995</v>
      </c>
    </row>
    <row r="321" spans="1:7" ht="15">
      <c r="A321" s="3061">
        <v>319</v>
      </c>
      <c r="B321" s="3062">
        <v>2908</v>
      </c>
      <c r="C321" s="3062" t="s">
        <v>3089</v>
      </c>
      <c r="D321" s="3062" t="s">
        <v>3058</v>
      </c>
      <c r="E321" s="3062">
        <v>38.410600000000002</v>
      </c>
      <c r="F321" s="3062">
        <v>29.302499999999998</v>
      </c>
      <c r="G321" s="3062">
        <v>9.1081000000000003</v>
      </c>
    </row>
    <row r="322" spans="1:7" ht="15">
      <c r="A322" s="3061">
        <v>320</v>
      </c>
      <c r="B322" s="3062">
        <v>2909</v>
      </c>
      <c r="C322" s="3062" t="s">
        <v>3089</v>
      </c>
      <c r="D322" s="3062" t="s">
        <v>3058</v>
      </c>
      <c r="E322" s="3062">
        <v>39.875500000000002</v>
      </c>
      <c r="F322" s="3062">
        <v>30.42</v>
      </c>
      <c r="G322" s="3062">
        <v>9.4555000000000007</v>
      </c>
    </row>
    <row r="323" spans="1:7" ht="15">
      <c r="A323" s="3061">
        <v>321</v>
      </c>
      <c r="B323" s="3062">
        <v>2910</v>
      </c>
      <c r="C323" s="3062" t="s">
        <v>3089</v>
      </c>
      <c r="D323" s="3062" t="s">
        <v>3058</v>
      </c>
      <c r="E323" s="3062">
        <v>39.947400000000002</v>
      </c>
      <c r="F323" s="3062">
        <v>30.475000000000001</v>
      </c>
      <c r="G323" s="3062">
        <v>9.4724000000000004</v>
      </c>
    </row>
    <row r="324" spans="1:7" ht="15">
      <c r="A324" s="3061">
        <v>322</v>
      </c>
      <c r="B324" s="3062">
        <v>2911</v>
      </c>
      <c r="C324" s="3062" t="s">
        <v>3089</v>
      </c>
      <c r="D324" s="3062" t="s">
        <v>3058</v>
      </c>
      <c r="E324" s="3062">
        <v>50.8078</v>
      </c>
      <c r="F324" s="3062">
        <v>38.76</v>
      </c>
      <c r="G324" s="3062">
        <v>12.047800000000001</v>
      </c>
    </row>
    <row r="325" spans="1:7" ht="15">
      <c r="A325" s="3061">
        <v>323</v>
      </c>
      <c r="B325" s="3062">
        <v>2912</v>
      </c>
      <c r="C325" s="3062" t="s">
        <v>3089</v>
      </c>
      <c r="D325" s="3062" t="s">
        <v>3058</v>
      </c>
      <c r="E325" s="3062">
        <v>38.885899999999999</v>
      </c>
      <c r="F325" s="3062">
        <v>29.664999999999999</v>
      </c>
      <c r="G325" s="3062">
        <v>9.2209000000000003</v>
      </c>
    </row>
    <row r="326" spans="1:7" ht="15">
      <c r="A326" s="3061">
        <v>324</v>
      </c>
      <c r="B326" s="3062">
        <v>2913</v>
      </c>
      <c r="C326" s="3062" t="s">
        <v>3089</v>
      </c>
      <c r="D326" s="3062" t="s">
        <v>3058</v>
      </c>
      <c r="E326" s="3062">
        <v>63.467100000000002</v>
      </c>
      <c r="F326" s="3062">
        <v>48.417499999999997</v>
      </c>
      <c r="G326" s="3062">
        <v>15.0496</v>
      </c>
    </row>
    <row r="327" spans="1:7" ht="15">
      <c r="A327" s="3061">
        <v>325</v>
      </c>
      <c r="B327" s="3062">
        <v>3002</v>
      </c>
      <c r="C327" s="3062" t="s">
        <v>3089</v>
      </c>
      <c r="D327" s="3063" t="s">
        <v>3090</v>
      </c>
      <c r="E327" s="3062">
        <v>36.154499999999999</v>
      </c>
      <c r="F327" s="3062">
        <v>27.581299999999999</v>
      </c>
      <c r="G327" s="3062">
        <v>8.5731999999999999</v>
      </c>
    </row>
    <row r="328" spans="1:7" ht="15">
      <c r="A328" s="3061">
        <v>326</v>
      </c>
      <c r="B328" s="3062">
        <v>3003</v>
      </c>
      <c r="C328" s="3062" t="s">
        <v>3089</v>
      </c>
      <c r="D328" s="3062" t="s">
        <v>3058</v>
      </c>
      <c r="E328" s="3062">
        <v>26.0855</v>
      </c>
      <c r="F328" s="3062">
        <v>19.899999999999999</v>
      </c>
      <c r="G328" s="3062">
        <v>6.1855000000000002</v>
      </c>
    </row>
    <row r="329" spans="1:7" ht="15">
      <c r="A329" s="3061">
        <v>327</v>
      </c>
      <c r="B329" s="3062">
        <v>3004</v>
      </c>
      <c r="C329" s="3062" t="s">
        <v>3089</v>
      </c>
      <c r="D329" s="3062" t="s">
        <v>3058</v>
      </c>
      <c r="E329" s="3062">
        <v>37.473399999999998</v>
      </c>
      <c r="F329" s="3062">
        <v>28.587499999999999</v>
      </c>
      <c r="G329" s="3062">
        <v>8.8858999999999995</v>
      </c>
    </row>
    <row r="330" spans="1:7" ht="15">
      <c r="A330" s="3061">
        <v>328</v>
      </c>
      <c r="B330" s="3062">
        <v>3005</v>
      </c>
      <c r="C330" s="3062" t="s">
        <v>3089</v>
      </c>
      <c r="D330" s="3062" t="s">
        <v>3058</v>
      </c>
      <c r="E330" s="3062">
        <v>38.482700000000001</v>
      </c>
      <c r="F330" s="3062">
        <v>29.357500000000002</v>
      </c>
      <c r="G330" s="3062">
        <v>9.1251999999999995</v>
      </c>
    </row>
    <row r="331" spans="1:7" ht="15">
      <c r="A331" s="3061">
        <v>329</v>
      </c>
      <c r="B331" s="3062">
        <v>3006</v>
      </c>
      <c r="C331" s="3062" t="s">
        <v>3089</v>
      </c>
      <c r="D331" s="3062" t="s">
        <v>3058</v>
      </c>
      <c r="E331" s="3062">
        <v>38.482700000000001</v>
      </c>
      <c r="F331" s="3062">
        <v>29.357500000000002</v>
      </c>
      <c r="G331" s="3062">
        <v>9.1251999999999995</v>
      </c>
    </row>
    <row r="332" spans="1:7" ht="15">
      <c r="A332" s="3061">
        <v>330</v>
      </c>
      <c r="B332" s="3062">
        <v>3007</v>
      </c>
      <c r="C332" s="3062" t="s">
        <v>3089</v>
      </c>
      <c r="D332" s="3062" t="s">
        <v>3058</v>
      </c>
      <c r="E332" s="3062">
        <v>38.482700000000001</v>
      </c>
      <c r="F332" s="3062">
        <v>29.357500000000002</v>
      </c>
      <c r="G332" s="3062">
        <v>9.1251999999999995</v>
      </c>
    </row>
    <row r="333" spans="1:7" ht="15">
      <c r="A333" s="3061">
        <v>331</v>
      </c>
      <c r="B333" s="3062">
        <v>3008</v>
      </c>
      <c r="C333" s="3062" t="s">
        <v>3089</v>
      </c>
      <c r="D333" s="3062" t="s">
        <v>3058</v>
      </c>
      <c r="E333" s="3062">
        <v>38.410600000000002</v>
      </c>
      <c r="F333" s="3062">
        <v>29.302499999999998</v>
      </c>
      <c r="G333" s="3062">
        <v>9.1081000000000003</v>
      </c>
    </row>
    <row r="334" spans="1:7" ht="15">
      <c r="A334" s="3061">
        <v>332</v>
      </c>
      <c r="B334" s="3062">
        <v>3009</v>
      </c>
      <c r="C334" s="3062" t="s">
        <v>3089</v>
      </c>
      <c r="D334" s="3062" t="s">
        <v>3058</v>
      </c>
      <c r="E334" s="3062">
        <v>39.875500000000002</v>
      </c>
      <c r="F334" s="3062">
        <v>30.42</v>
      </c>
      <c r="G334" s="3062">
        <v>9.4555000000000007</v>
      </c>
    </row>
    <row r="335" spans="1:7" ht="15">
      <c r="A335" s="3061">
        <v>333</v>
      </c>
      <c r="B335" s="3062">
        <v>3010</v>
      </c>
      <c r="C335" s="3062" t="s">
        <v>3089</v>
      </c>
      <c r="D335" s="3062" t="s">
        <v>3058</v>
      </c>
      <c r="E335" s="3062">
        <v>39.947400000000002</v>
      </c>
      <c r="F335" s="3062">
        <v>30.475000000000001</v>
      </c>
      <c r="G335" s="3062">
        <v>9.4724000000000004</v>
      </c>
    </row>
    <row r="336" spans="1:7" ht="15">
      <c r="A336" s="3061">
        <v>334</v>
      </c>
      <c r="B336" s="3062">
        <v>3011</v>
      </c>
      <c r="C336" s="3062" t="s">
        <v>3089</v>
      </c>
      <c r="D336" s="3062" t="s">
        <v>3058</v>
      </c>
      <c r="E336" s="3062">
        <v>50.8078</v>
      </c>
      <c r="F336" s="3062">
        <v>38.76</v>
      </c>
      <c r="G336" s="3062">
        <v>12.047800000000001</v>
      </c>
    </row>
    <row r="337" spans="1:7" ht="15">
      <c r="A337" s="3061">
        <v>335</v>
      </c>
      <c r="B337" s="3062">
        <v>3012</v>
      </c>
      <c r="C337" s="3062" t="s">
        <v>3089</v>
      </c>
      <c r="D337" s="3062" t="s">
        <v>3058</v>
      </c>
      <c r="E337" s="3062">
        <v>38.885899999999999</v>
      </c>
      <c r="F337" s="3062">
        <v>29.664999999999999</v>
      </c>
      <c r="G337" s="3062">
        <v>9.2209000000000003</v>
      </c>
    </row>
    <row r="338" spans="1:7" ht="15">
      <c r="A338" s="3061">
        <v>336</v>
      </c>
      <c r="B338" s="3062">
        <v>3013</v>
      </c>
      <c r="C338" s="3062" t="s">
        <v>3089</v>
      </c>
      <c r="D338" s="3062" t="s">
        <v>3058</v>
      </c>
      <c r="E338" s="3062">
        <v>63.467100000000002</v>
      </c>
      <c r="F338" s="3062">
        <v>48.417499999999997</v>
      </c>
      <c r="G338" s="3062">
        <v>15.0496</v>
      </c>
    </row>
    <row r="339" spans="1:7" ht="15">
      <c r="A339" s="3141" t="s">
        <v>3091</v>
      </c>
      <c r="B339" s="3142"/>
      <c r="C339" s="3142"/>
      <c r="D339" s="3143"/>
      <c r="E339" s="3062">
        <f>SUM(E3:E338)</f>
        <v>13623.56239999999</v>
      </c>
      <c r="F339" s="3064">
        <f>SUM(F3:F338)</f>
        <v>10393.076399999996</v>
      </c>
      <c r="G339" s="3064">
        <f>SUM(G3:G338)</f>
        <v>3230.4859999999953</v>
      </c>
    </row>
  </sheetData>
  <mergeCells count="2">
    <mergeCell ref="A1:G1"/>
    <mergeCell ref="A339:D33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3" t="s">
        <v>1817</v>
      </c>
      <c r="B2" s="3153"/>
      <c r="C2" s="3153"/>
      <c r="D2" s="904" t="s">
        <v>1793</v>
      </c>
      <c r="E2" s="1824" t="s">
        <v>1794</v>
      </c>
      <c r="F2" s="2886"/>
      <c r="G2" s="2877"/>
      <c r="H2" s="2878"/>
      <c r="I2" s="2548" t="s">
        <v>1818</v>
      </c>
      <c r="J2" s="2886"/>
      <c r="K2" s="2886"/>
      <c r="L2" s="2886"/>
      <c r="M2" s="2886"/>
      <c r="N2" s="2888"/>
      <c r="O2" s="2886"/>
      <c r="P2" s="2886"/>
    </row>
    <row r="3" spans="1:16" ht="15.75" thickBot="1">
      <c r="A3" s="3154" t="s">
        <v>1791</v>
      </c>
      <c r="B3" s="3154"/>
      <c r="C3" s="3154"/>
      <c r="D3" s="46">
        <f>'数据-基础表'!AY6</f>
        <v>0</v>
      </c>
      <c r="E3" s="46">
        <f>'数据-基础表'!AZ5</f>
        <v>13623.56239999999</v>
      </c>
      <c r="F3" s="2886"/>
      <c r="G3" s="1307"/>
      <c r="H3" s="1157" t="s">
        <v>1792</v>
      </c>
      <c r="I3" s="964" t="e">
        <f>ROUND('数据-基础表'!B3/'数据-基础表'!A3,2)</f>
        <v>#DIV/0!</v>
      </c>
      <c r="J3" s="2886"/>
      <c r="K3" s="2886"/>
      <c r="L3" s="2886"/>
      <c r="M3" s="2886"/>
      <c r="N3" s="2888"/>
      <c r="O3" s="2886"/>
      <c r="P3" s="2886"/>
    </row>
    <row r="4" spans="1:16" ht="15">
      <c r="A4" s="3155"/>
      <c r="B4" s="3156"/>
      <c r="C4" s="3157"/>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8" t="s">
        <v>1796</v>
      </c>
      <c r="C5" s="3158"/>
      <c r="D5" s="48">
        <f>ROUND($D$3*E5/$E$3,2)</f>
        <v>0</v>
      </c>
      <c r="E5" s="49">
        <f>SUMIF('数据-基础表'!$11:$11,"住宅",'数据-基础表'!$5:$5)</f>
        <v>13623.56239999999</v>
      </c>
      <c r="F5" s="2886"/>
      <c r="G5" s="1307"/>
      <c r="H5" s="1157" t="s">
        <v>1792</v>
      </c>
      <c r="I5" s="964" t="e">
        <f>ROUND(E31/D31,2)</f>
        <v>#DIV/0!</v>
      </c>
      <c r="J5" s="2886"/>
      <c r="K5" s="2886"/>
      <c r="L5" s="2886"/>
      <c r="M5" s="2886"/>
      <c r="N5" s="2886"/>
      <c r="O5" s="2886"/>
      <c r="P5" s="2886"/>
    </row>
    <row r="6" spans="1:16" ht="15" thickBot="1">
      <c r="A6" s="1829"/>
      <c r="B6" s="3158" t="s">
        <v>1797</v>
      </c>
      <c r="C6" s="3158"/>
      <c r="D6" s="48">
        <f>ROUND($D$3*E6/$E$3,2)</f>
        <v>0</v>
      </c>
      <c r="E6" s="49">
        <f>E3-E5</f>
        <v>0</v>
      </c>
      <c r="F6" s="2886"/>
      <c r="G6" s="2880" t="s">
        <v>1798</v>
      </c>
      <c r="H6" s="1308" t="s">
        <v>1799</v>
      </c>
      <c r="I6" s="2881" t="e">
        <f>ROUND(F31/D31,2)</f>
        <v>#DIV/0!</v>
      </c>
      <c r="J6" s="2886"/>
      <c r="K6" s="2886"/>
      <c r="L6" s="2886"/>
      <c r="M6" s="2886"/>
      <c r="N6" s="2886"/>
      <c r="O6" s="2886"/>
      <c r="P6" s="2886"/>
    </row>
    <row r="7" spans="1:16" ht="15.75" thickBot="1">
      <c r="A7" s="3150"/>
      <c r="B7" s="3151"/>
      <c r="C7" s="315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13623.56239999999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13623.56239999999</v>
      </c>
      <c r="F16" s="2886"/>
      <c r="G16" s="2887"/>
      <c r="H16" s="1833" t="s">
        <v>1821</v>
      </c>
      <c r="I16" s="1834"/>
      <c r="J16" s="1301"/>
      <c r="K16" s="3147" t="s">
        <v>1821</v>
      </c>
      <c r="L16" s="3148"/>
      <c r="M16" s="3148"/>
      <c r="N16" s="3148"/>
      <c r="O16" s="3148"/>
      <c r="P16" s="3149"/>
    </row>
    <row r="17" spans="1:19" ht="15">
      <c r="A17" s="1835" t="s">
        <v>1822</v>
      </c>
      <c r="B17" s="1836" t="s">
        <v>1823</v>
      </c>
      <c r="C17" s="1837" t="s">
        <v>1824</v>
      </c>
      <c r="D17" s="1838" t="s">
        <v>1812</v>
      </c>
      <c r="E17" s="1839" t="s">
        <v>1813</v>
      </c>
      <c r="F17" s="1840"/>
      <c r="G17" s="1841"/>
      <c r="H17" s="1842" t="s">
        <v>1825</v>
      </c>
      <c r="I17" s="1843" t="s">
        <v>1810</v>
      </c>
      <c r="J17" s="1301"/>
      <c r="K17" s="3144" t="s">
        <v>1826</v>
      </c>
      <c r="L17" s="3145"/>
      <c r="M17" s="3146"/>
      <c r="N17" s="3144" t="s">
        <v>1827</v>
      </c>
      <c r="O17" s="3145"/>
      <c r="P17" s="314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'数据-基础表'!C13</f>
        <v>南国商苑</v>
      </c>
      <c r="D19" s="48">
        <f>ROUND($D$3*E19/$E$3,2)</f>
        <v>0</v>
      </c>
      <c r="E19" s="56">
        <f t="shared" ref="E19:E26" si="1">SUM(F19:G19)</f>
        <v>13623.56239999999</v>
      </c>
      <c r="F19" s="3026">
        <f>'数据-基础表'!I13</f>
        <v>13623.56239999999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13623.56239999999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13623.56239999999</v>
      </c>
      <c r="F27" s="1302">
        <f>IF(SUM(F19:F26)=E8,SUM(F19:F26),"地上面积有误")</f>
        <v>13623.56239999999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13623.56239999999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13623.56239999999</v>
      </c>
      <c r="F31" s="686">
        <f>F27+F30</f>
        <v>13623.56239999999</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J6" sqref="AJ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44307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3064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南国商苑</v>
      </c>
      <c r="B6" s="1899" t="str">
        <f>IF(A6=0,"","经营性")</f>
        <v>经营性</v>
      </c>
      <c r="C6" s="1900" t="s">
        <v>3058</v>
      </c>
      <c r="D6" s="967">
        <f>SUMIF(项目基本情况!D$12:I$12,C6,项目基本情况!D$14:I$14)</f>
        <v>70</v>
      </c>
      <c r="E6" s="966">
        <f>IF(B6="","",SUMIF(项目基本情况!D$12:I$12,C6,项目基本情况!D$13:I$13))</f>
        <v>64881</v>
      </c>
      <c r="F6" s="68">
        <f>SUMIF(项目基本情况!D$12:I$12,C6,项目基本情况!D$15:I$15)</f>
        <v>56.36</v>
      </c>
      <c r="G6" s="69">
        <f>IF(ISERROR(ROUND(POWER(1+H6,D6-F6)*(POWER(1+H6,F6)-1)/(POWER(1+H6,D6)-1),3)),0,ROUND(POWER(1+H6,D6-F6)*(POWER(1+H6,F6)-1)/(POWER(1+H6,D6)-1),3))</f>
        <v>0.96</v>
      </c>
      <c r="H6" s="741">
        <v>4.4999999999999998E-2</v>
      </c>
      <c r="I6" s="741">
        <v>0.05</v>
      </c>
      <c r="J6" s="70">
        <v>8.5000000000000006E-2</v>
      </c>
      <c r="K6" s="1161">
        <f>SUMIF('数据-汇总表'!C$19:C$33,A6,'数据-汇总表'!E$19:E$33)</f>
        <v>13623.56239999999</v>
      </c>
      <c r="L6" s="742">
        <v>5000</v>
      </c>
      <c r="M6" s="71">
        <f t="shared" ref="M6:M14" si="0">ROUND(K6*L6/10000,0)</f>
        <v>6812</v>
      </c>
      <c r="N6" s="740">
        <f>ROUND(1-(2021-2009)/60,2)</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5</v>
      </c>
      <c r="V6" s="75">
        <v>0.03</v>
      </c>
      <c r="W6" s="75">
        <v>0.1</v>
      </c>
      <c r="X6" s="1171"/>
      <c r="Y6" s="76">
        <f>N6</f>
        <v>0.8</v>
      </c>
      <c r="Z6" s="77"/>
      <c r="AA6" s="70"/>
      <c r="AB6" s="70"/>
      <c r="AC6" s="1171"/>
      <c r="AD6" s="78"/>
      <c r="AE6" s="1172">
        <f ca="1">IF(AN6="",0,SUMIF(INDIRECT("'"&amp;AN6&amp;"'"&amp;"!E:E"),$AE$5,INDIRECT("'"&amp;AN6&amp;"'"&amp;"!F:F")))</f>
        <v>48</v>
      </c>
      <c r="AF6" s="1532"/>
      <c r="AG6" s="143">
        <f>IF(AF6="",0,AE6-AF6)</f>
        <v>0</v>
      </c>
      <c r="AH6" s="79"/>
      <c r="AI6" s="81">
        <v>365</v>
      </c>
      <c r="AJ6" s="82"/>
      <c r="AK6" s="83">
        <v>0.01</v>
      </c>
      <c r="AL6" s="84">
        <v>1E-3</v>
      </c>
      <c r="AM6" s="85">
        <v>0.02</v>
      </c>
      <c r="AN6" s="1901" t="s">
        <v>3065</v>
      </c>
      <c r="AO6" s="55">
        <f ca="1">SUMIF(INDIRECT("'"&amp;AN6&amp;"'"&amp;"!A:A"),"总价",INDIRECT("'"&amp;AN6&amp;"'"&amp;"!B:B"))</f>
        <v>52269</v>
      </c>
      <c r="AP6" s="1902">
        <f>IF(C6="住宅",K6*L6,0)</f>
        <v>68117811.999999955</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hidden="1">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0.96</v>
      </c>
      <c r="H16" s="95">
        <f>ROUND(SUMPRODUCT(H6:H13,K6:K13)/SUMPRODUCT((H6:H13&gt;0)*(K6:K13)),3)</f>
        <v>4.4999999999999998E-2</v>
      </c>
      <c r="I16" s="96"/>
      <c r="J16" s="96"/>
      <c r="K16" s="97">
        <f>SUM(K6:K15)</f>
        <v>13623.56239999999</v>
      </c>
      <c r="L16" s="98">
        <f>ROUND(M16*10000/SUM(K6:K14),0)</f>
        <v>5000</v>
      </c>
      <c r="M16" s="98">
        <f>SUM(M6:M14)</f>
        <v>6812</v>
      </c>
      <c r="N16" s="99">
        <f>ROUND(SUMPRODUCT(M6:M14,N6:N14)/M16,3)</f>
        <v>0.8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3043</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3041</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83</v>
      </c>
      <c r="C27" s="3032" t="s">
        <v>3045</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83</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3032</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3033</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3034</v>
      </c>
      <c r="D34" s="2913" t="s">
        <v>3042</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3035</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3036</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3037</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2.5000000000000001E-2</v>
      </c>
      <c r="C38" s="3034" t="s">
        <v>3037</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3053</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3046</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3038</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3039</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3047</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3038</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3040</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212</v>
      </c>
      <c r="C53" s="2888" t="s">
        <v>1932</v>
      </c>
      <c r="D53" s="3035" t="s">
        <v>3044</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9" t="s">
        <v>3024</v>
      </c>
      <c r="B1" s="3160"/>
      <c r="C1" s="3160"/>
      <c r="D1" s="3160"/>
      <c r="E1" s="3160"/>
      <c r="F1" s="3160"/>
      <c r="G1" s="316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24">
      <c r="A3" s="2667" t="s">
        <v>3023</v>
      </c>
      <c r="B3" s="2689" t="s">
        <v>2999</v>
      </c>
      <c r="C3" s="2690"/>
      <c r="D3" s="2691"/>
      <c r="E3" s="2668" t="s">
        <v>3023</v>
      </c>
      <c r="F3" s="2692" t="s">
        <v>3000</v>
      </c>
      <c r="G3" s="2693"/>
      <c r="H3" s="907"/>
      <c r="I3" s="907"/>
      <c r="J3" s="907"/>
      <c r="K3" s="907"/>
      <c r="L3" s="907"/>
      <c r="M3" s="907"/>
      <c r="N3" s="907"/>
      <c r="O3" s="907"/>
      <c r="P3" s="907"/>
      <c r="Q3" s="907"/>
      <c r="R3" s="907"/>
    </row>
    <row r="4" spans="1:29">
      <c r="A4" s="2668"/>
      <c r="B4" s="329" t="s">
        <v>3001</v>
      </c>
      <c r="C4" s="2694"/>
      <c r="D4" s="2691"/>
      <c r="E4" s="2695"/>
      <c r="F4" s="1557" t="s">
        <v>3002</v>
      </c>
      <c r="G4" s="2696"/>
      <c r="H4" s="907"/>
      <c r="I4" s="907"/>
      <c r="J4" s="907"/>
      <c r="K4" s="907"/>
      <c r="L4" s="907"/>
      <c r="M4" s="907"/>
      <c r="N4" s="907"/>
      <c r="O4" s="907"/>
      <c r="P4" s="907"/>
      <c r="Q4" s="907"/>
      <c r="R4" s="907"/>
    </row>
    <row r="5" spans="1:29">
      <c r="A5" s="2668"/>
      <c r="B5" s="329" t="s">
        <v>3003</v>
      </c>
      <c r="C5" s="2694"/>
      <c r="D5" s="2691"/>
      <c r="E5" s="2695"/>
      <c r="F5" s="329" t="s">
        <v>3004</v>
      </c>
      <c r="G5" s="2696"/>
      <c r="H5" s="907"/>
      <c r="I5" s="907"/>
      <c r="J5" s="907"/>
      <c r="K5" s="907"/>
      <c r="L5" s="907"/>
      <c r="M5" s="907"/>
      <c r="N5" s="907"/>
      <c r="O5" s="907"/>
      <c r="P5" s="907"/>
      <c r="Q5" s="907"/>
      <c r="R5" s="907"/>
    </row>
    <row r="6" spans="1:29">
      <c r="A6" s="2668"/>
      <c r="B6" s="329" t="s">
        <v>3005</v>
      </c>
      <c r="C6" s="2696"/>
      <c r="D6" s="2691"/>
      <c r="E6" s="2695"/>
      <c r="F6" s="329" t="s">
        <v>3006</v>
      </c>
      <c r="G6" s="2696"/>
      <c r="H6" s="907"/>
      <c r="I6" s="907"/>
      <c r="J6" s="907"/>
      <c r="K6" s="907"/>
      <c r="L6" s="907"/>
      <c r="M6" s="907"/>
      <c r="N6" s="907"/>
      <c r="O6" s="907"/>
      <c r="P6" s="907"/>
      <c r="Q6" s="907"/>
      <c r="R6" s="907"/>
    </row>
    <row r="7" spans="1:29" ht="15" thickBot="1">
      <c r="A7" s="2668"/>
      <c r="B7" s="329" t="s">
        <v>3004</v>
      </c>
      <c r="C7" s="2696"/>
      <c r="D7" s="2697"/>
      <c r="E7" s="2698"/>
      <c r="F7" s="2699" t="s">
        <v>3007</v>
      </c>
      <c r="G7" s="2700"/>
      <c r="H7" s="907"/>
      <c r="I7" s="907"/>
      <c r="J7" s="907"/>
      <c r="K7" s="907"/>
      <c r="L7" s="907"/>
      <c r="M7" s="907"/>
      <c r="N7" s="907"/>
      <c r="O7" s="907"/>
      <c r="P7" s="907"/>
      <c r="Q7" s="907"/>
      <c r="R7" s="907"/>
    </row>
    <row r="8" spans="1:29">
      <c r="A8" s="2668"/>
      <c r="B8" s="329" t="s">
        <v>3006</v>
      </c>
      <c r="C8" s="2696"/>
      <c r="D8" s="2697"/>
      <c r="E8" s="2697"/>
      <c r="F8" s="2701"/>
      <c r="G8" s="2701"/>
      <c r="H8" s="907"/>
      <c r="I8" s="907"/>
      <c r="J8" s="907"/>
      <c r="K8" s="907"/>
      <c r="L8" s="907"/>
      <c r="M8" s="907"/>
      <c r="N8" s="907"/>
      <c r="O8" s="907"/>
      <c r="P8" s="907"/>
      <c r="Q8" s="907"/>
      <c r="R8" s="907"/>
    </row>
    <row r="9" spans="1:29">
      <c r="A9" s="2668"/>
      <c r="B9" s="329" t="s">
        <v>3008</v>
      </c>
      <c r="C9" s="2694"/>
      <c r="D9" s="2691"/>
      <c r="E9" s="2697"/>
      <c r="F9" s="2701"/>
      <c r="G9" s="2701"/>
      <c r="H9" s="907"/>
      <c r="I9" s="907"/>
      <c r="J9" s="907"/>
      <c r="K9" s="907"/>
      <c r="L9" s="907"/>
      <c r="M9" s="907"/>
      <c r="N9" s="907"/>
      <c r="O9" s="907"/>
      <c r="P9" s="907"/>
      <c r="Q9" s="907"/>
      <c r="R9" s="907"/>
    </row>
    <row r="10" spans="1:29" s="2707" customFormat="1" ht="15" thickBot="1">
      <c r="A10" s="2669"/>
      <c r="B10" s="2702" t="s">
        <v>3009</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3025</v>
      </c>
      <c r="B13" s="2710"/>
      <c r="C13" s="2710"/>
      <c r="D13" s="2708"/>
      <c r="E13" s="2710"/>
      <c r="F13" s="2710"/>
      <c r="G13" s="2710"/>
    </row>
    <row r="14" spans="1:29" ht="15" thickBot="1">
      <c r="A14" s="2720"/>
      <c r="B14" s="2720"/>
      <c r="C14" s="2721" t="s">
        <v>3010</v>
      </c>
      <c r="D14" s="2691"/>
      <c r="E14" s="2722"/>
      <c r="F14" s="2722"/>
      <c r="G14" s="2686" t="s">
        <v>3011</v>
      </c>
    </row>
    <row r="15" spans="1:29" ht="24">
      <c r="A15" s="2670" t="s">
        <v>3012</v>
      </c>
      <c r="B15" s="2723" t="s">
        <v>2999</v>
      </c>
      <c r="C15" s="2724">
        <f>C3</f>
        <v>0</v>
      </c>
      <c r="D15" s="2691"/>
      <c r="E15" s="2671" t="s">
        <v>3013</v>
      </c>
      <c r="F15" s="2723" t="s">
        <v>3014</v>
      </c>
      <c r="G15" s="2725">
        <f>G3</f>
        <v>0</v>
      </c>
    </row>
    <row r="16" spans="1:29">
      <c r="A16" s="2672"/>
      <c r="B16" s="2726" t="s">
        <v>3001</v>
      </c>
      <c r="C16" s="2727">
        <f>C4</f>
        <v>0</v>
      </c>
      <c r="D16" s="2691"/>
      <c r="E16" s="2673"/>
      <c r="F16" s="2728" t="s">
        <v>3002</v>
      </c>
      <c r="G16" s="2729">
        <f>G4</f>
        <v>0</v>
      </c>
    </row>
    <row r="17" spans="1:18">
      <c r="A17" s="2672"/>
      <c r="B17" s="2726" t="s">
        <v>3003</v>
      </c>
      <c r="C17" s="2727">
        <f>C5</f>
        <v>0</v>
      </c>
      <c r="D17" s="2697"/>
      <c r="E17" s="2673"/>
      <c r="F17" s="2728" t="s">
        <v>3015</v>
      </c>
      <c r="G17" s="2730"/>
    </row>
    <row r="18" spans="1:18">
      <c r="A18" s="2672"/>
      <c r="B18" s="2728" t="s">
        <v>3005</v>
      </c>
      <c r="C18" s="2729">
        <f>C6</f>
        <v>0</v>
      </c>
      <c r="D18" s="2697"/>
      <c r="E18" s="2673"/>
      <c r="F18" s="2728" t="s">
        <v>3007</v>
      </c>
      <c r="G18" s="2729">
        <f>G7</f>
        <v>0</v>
      </c>
    </row>
    <row r="19" spans="1:18">
      <c r="A19" s="2672"/>
      <c r="B19" s="2728" t="s">
        <v>3016</v>
      </c>
      <c r="C19" s="2730"/>
      <c r="D19" s="2691"/>
      <c r="E19" s="2673"/>
      <c r="F19" s="329" t="s">
        <v>3004</v>
      </c>
      <c r="G19" s="2729">
        <f>G5</f>
        <v>0</v>
      </c>
    </row>
    <row r="20" spans="1:18">
      <c r="A20" s="2672"/>
      <c r="B20" s="2728" t="s">
        <v>3017</v>
      </c>
      <c r="C20" s="2727">
        <f>C9</f>
        <v>0</v>
      </c>
      <c r="D20" s="2697"/>
      <c r="E20" s="2673"/>
      <c r="F20" s="329" t="s">
        <v>3006</v>
      </c>
      <c r="G20" s="2729">
        <f>G6</f>
        <v>0</v>
      </c>
    </row>
    <row r="21" spans="1:18">
      <c r="A21" s="2672"/>
      <c r="B21" s="329" t="s">
        <v>3004</v>
      </c>
      <c r="C21" s="2729">
        <f>C7</f>
        <v>0</v>
      </c>
      <c r="D21" s="2691"/>
      <c r="E21" s="2673"/>
      <c r="F21" s="2728" t="s">
        <v>3018</v>
      </c>
      <c r="G21" s="2731"/>
    </row>
    <row r="22" spans="1:18" ht="13.5" customHeight="1">
      <c r="A22" s="2672"/>
      <c r="B22" s="329" t="s">
        <v>3006</v>
      </c>
      <c r="C22" s="2729">
        <f>C8</f>
        <v>0</v>
      </c>
      <c r="D22" s="2691"/>
      <c r="E22" s="2673"/>
      <c r="F22" s="2728" t="s">
        <v>3009</v>
      </c>
      <c r="G22" s="2730"/>
    </row>
    <row r="23" spans="1:18" s="907" customFormat="1" ht="15" thickBot="1">
      <c r="A23" s="2672"/>
      <c r="B23" s="2728" t="s">
        <v>3018</v>
      </c>
      <c r="C23" s="2731"/>
      <c r="D23" s="1927"/>
      <c r="E23" s="2674"/>
      <c r="F23" s="2732" t="s">
        <v>3019</v>
      </c>
      <c r="G23" s="2733"/>
      <c r="H23" s="2717"/>
      <c r="I23" s="2718"/>
      <c r="J23" s="2717"/>
      <c r="K23" s="2717"/>
      <c r="L23" s="2718"/>
      <c r="M23" s="2717"/>
      <c r="N23" s="2717"/>
      <c r="O23" s="2718"/>
      <c r="P23" s="2717"/>
      <c r="Q23" s="2717"/>
      <c r="R23" s="2719"/>
    </row>
    <row r="24" spans="1:18" s="907" customFormat="1" ht="15" thickBot="1">
      <c r="A24" s="2675"/>
      <c r="B24" s="2732" t="s">
        <v>3020</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13623.56239999999</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44307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130341</v>
      </c>
      <c r="C5" s="2738">
        <f ca="1">ROUND(B5*10000/$B$1,0)</f>
        <v>95673</v>
      </c>
      <c r="D5" s="2738" t="e">
        <f ca="1">ROUND(B5*10000/$B$2,0)</f>
        <v>#DIV/0!</v>
      </c>
      <c r="E5" s="2915"/>
      <c r="F5" s="2916"/>
      <c r="G5" s="2916"/>
      <c r="H5" s="2917"/>
      <c r="I5" s="2917"/>
      <c r="J5" s="2917"/>
      <c r="K5" s="2917"/>
    </row>
    <row r="6" spans="1:11" ht="16.5">
      <c r="A6" s="2738" t="s">
        <v>1322</v>
      </c>
      <c r="B6" s="2738">
        <f ca="1">SUM(G14:G23)</f>
        <v>130341</v>
      </c>
      <c r="C6" s="2738">
        <f ca="1">ROUND(B6*10000/$B$1,0)</f>
        <v>95673</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 ca="1">SUM(I14:I23)</f>
        <v>93048</v>
      </c>
      <c r="C8" s="2738">
        <f ca="1">ROUND(B8*10000/$B$1,0)</f>
        <v>68299</v>
      </c>
      <c r="D8" s="2738" t="e">
        <f ca="1">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13623.56239999999</v>
      </c>
      <c r="C14" s="2744">
        <f>结果表!C118</f>
        <v>0</v>
      </c>
      <c r="D14" s="2744">
        <f ca="1">结果表!H118</f>
        <v>130341</v>
      </c>
      <c r="E14" s="2744">
        <f ca="1">ROUND(D14*10000/B14,0)</f>
        <v>95673</v>
      </c>
      <c r="F14" s="2744" t="e">
        <f ca="1">ROUND(D14*10000/C14,0)</f>
        <v>#DIV/0!</v>
      </c>
      <c r="G14" s="2744">
        <f ca="1">结果表!D122</f>
        <v>130341</v>
      </c>
      <c r="H14" s="2744" t="str">
        <f>结果表!D124</f>
        <v>——</v>
      </c>
      <c r="I14" s="2744">
        <f ca="1">结果表!D126</f>
        <v>93048</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5" zoomScaleNormal="100" zoomScaleSheetLayoutView="100" zoomScalePageLayoutView="80" workbookViewId="0">
      <selection activeCell="L26" sqref="L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3062</v>
      </c>
      <c r="D1" s="1933"/>
      <c r="E1" s="1933"/>
      <c r="F1" s="1935" t="s">
        <v>1949</v>
      </c>
      <c r="G1" s="1746" t="s">
        <v>3092</v>
      </c>
      <c r="H1" s="1936" t="str">
        <f>IF(G1="现房","——","估价对象范围")</f>
        <v>——</v>
      </c>
      <c r="I1" s="1937" t="s">
        <v>3093</v>
      </c>
    </row>
    <row r="2" spans="1:12" ht="21.75" customHeight="1" thickBot="1">
      <c r="A2" s="3195" t="str">
        <f>项目基本情况!S2</f>
        <v>房地产</v>
      </c>
      <c r="B2" s="3196"/>
      <c r="C2" s="3196"/>
      <c r="D2" s="3196"/>
      <c r="E2" s="3196"/>
      <c r="F2" s="3196"/>
      <c r="G2" s="3196"/>
      <c r="H2" s="3196"/>
      <c r="I2" s="3197"/>
    </row>
    <row r="3" spans="1:12" ht="12.75">
      <c r="A3" s="3199" t="s">
        <v>1950</v>
      </c>
      <c r="B3" s="3200"/>
      <c r="C3" s="3200"/>
      <c r="D3" s="3200"/>
      <c r="E3" s="3200"/>
      <c r="F3" s="3200"/>
      <c r="G3" s="3200"/>
      <c r="H3" s="3200"/>
      <c r="I3" s="3200"/>
    </row>
    <row r="4" spans="1:12" ht="14.25">
      <c r="A4" s="1940" t="s">
        <v>1951</v>
      </c>
      <c r="B4" s="1941" t="s">
        <v>1952</v>
      </c>
      <c r="C4" s="1942" t="s">
        <v>3067</v>
      </c>
      <c r="D4" s="1942" t="s">
        <v>3065</v>
      </c>
      <c r="E4" s="3201" t="s">
        <v>1953</v>
      </c>
      <c r="F4" s="3202"/>
      <c r="G4" s="3202"/>
      <c r="H4" s="3202"/>
      <c r="I4" s="320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1954</v>
      </c>
      <c r="B5" s="3162">
        <v>25</v>
      </c>
      <c r="C5" s="3178"/>
      <c r="D5" s="3198"/>
      <c r="E5" s="136" t="s">
        <v>1955</v>
      </c>
      <c r="F5" s="1943"/>
      <c r="G5" s="1943"/>
      <c r="H5" s="1943"/>
      <c r="I5" s="1557"/>
    </row>
    <row r="6" spans="1:12" ht="12.75">
      <c r="A6" s="3175"/>
      <c r="B6" s="3162"/>
      <c r="C6" s="3179"/>
      <c r="D6" s="3198"/>
      <c r="E6" s="136" t="s">
        <v>1956</v>
      </c>
      <c r="F6" s="1943"/>
      <c r="G6" s="1943"/>
      <c r="H6" s="1943"/>
      <c r="I6" s="1557"/>
    </row>
    <row r="7" spans="1:12" ht="12.75">
      <c r="A7" s="3175"/>
      <c r="B7" s="3162"/>
      <c r="C7" s="3180"/>
      <c r="D7" s="3198"/>
      <c r="E7" s="136" t="s">
        <v>1957</v>
      </c>
      <c r="F7" s="1943"/>
      <c r="G7" s="1943"/>
      <c r="H7" s="1943"/>
      <c r="I7" s="1557"/>
    </row>
    <row r="8" spans="1:12" ht="12.75">
      <c r="A8" s="3175" t="s">
        <v>1958</v>
      </c>
      <c r="B8" s="3162">
        <v>15</v>
      </c>
      <c r="C8" s="3178"/>
      <c r="D8" s="3198"/>
      <c r="E8" s="136" t="s">
        <v>1959</v>
      </c>
      <c r="F8" s="1943"/>
      <c r="G8" s="1943"/>
      <c r="H8" s="1943"/>
      <c r="I8" s="1557"/>
    </row>
    <row r="9" spans="1:12" ht="12.75">
      <c r="A9" s="3175"/>
      <c r="B9" s="3162"/>
      <c r="C9" s="3180"/>
      <c r="D9" s="3198"/>
      <c r="E9" s="136" t="s">
        <v>1960</v>
      </c>
      <c r="F9" s="1943"/>
      <c r="G9" s="1943"/>
      <c r="H9" s="1943"/>
      <c r="I9" s="1557"/>
    </row>
    <row r="10" spans="1:12" ht="12.75">
      <c r="A10" s="3175" t="s">
        <v>1961</v>
      </c>
      <c r="B10" s="3162">
        <v>15</v>
      </c>
      <c r="C10" s="3178"/>
      <c r="D10" s="3198"/>
      <c r="E10" s="136" t="s">
        <v>1962</v>
      </c>
      <c r="F10" s="1943"/>
      <c r="G10" s="1943"/>
      <c r="H10" s="1943"/>
      <c r="I10" s="1557"/>
    </row>
    <row r="11" spans="1:12" ht="12.75">
      <c r="A11" s="3175"/>
      <c r="B11" s="3162"/>
      <c r="C11" s="3180"/>
      <c r="D11" s="3198"/>
      <c r="E11" s="136" t="s">
        <v>1963</v>
      </c>
      <c r="F11" s="1943"/>
      <c r="G11" s="1943"/>
      <c r="H11" s="1943"/>
      <c r="I11" s="1557"/>
    </row>
    <row r="12" spans="1:12" ht="12.75">
      <c r="A12" s="3175" t="s">
        <v>1964</v>
      </c>
      <c r="B12" s="3162">
        <v>15</v>
      </c>
      <c r="C12" s="3178"/>
      <c r="D12" s="3198"/>
      <c r="E12" s="136" t="s">
        <v>1965</v>
      </c>
      <c r="F12" s="1943"/>
      <c r="G12" s="1943"/>
      <c r="H12" s="1943"/>
      <c r="I12" s="1557"/>
    </row>
    <row r="13" spans="1:12" ht="12.75">
      <c r="A13" s="3175"/>
      <c r="B13" s="3162"/>
      <c r="C13" s="3180"/>
      <c r="D13" s="3198"/>
      <c r="E13" s="136" t="s">
        <v>1966</v>
      </c>
      <c r="F13" s="1943"/>
      <c r="G13" s="1943"/>
      <c r="H13" s="1943"/>
      <c r="I13" s="1557"/>
    </row>
    <row r="14" spans="1:12" ht="12.75">
      <c r="A14" s="3175" t="s">
        <v>1967</v>
      </c>
      <c r="B14" s="3162">
        <v>30</v>
      </c>
      <c r="C14" s="3178">
        <v>8</v>
      </c>
      <c r="D14" s="3198">
        <v>2</v>
      </c>
      <c r="E14" s="136" t="s">
        <v>1968</v>
      </c>
      <c r="F14" s="1943"/>
      <c r="G14" s="1943"/>
      <c r="H14" s="1943"/>
      <c r="I14" s="1557"/>
    </row>
    <row r="15" spans="1:12" ht="12.75">
      <c r="A15" s="3175"/>
      <c r="B15" s="3162"/>
      <c r="C15" s="3179"/>
      <c r="D15" s="3198"/>
      <c r="E15" s="136" t="s">
        <v>1969</v>
      </c>
      <c r="F15" s="1943"/>
      <c r="G15" s="1943"/>
      <c r="H15" s="1943"/>
      <c r="I15" s="1557"/>
    </row>
    <row r="16" spans="1:12" ht="12.75">
      <c r="A16" s="3175"/>
      <c r="B16" s="3162"/>
      <c r="C16" s="3180"/>
      <c r="D16" s="3198"/>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1.9" customHeight="1" thickBot="1">
      <c r="A18" s="1945" t="s">
        <v>1974</v>
      </c>
      <c r="B18" s="1946"/>
      <c r="C18" s="138">
        <f>ROUND(C17/SUM(C17:D17),2)</f>
        <v>0.8</v>
      </c>
      <c r="D18" s="138">
        <f>1-C18</f>
        <v>0.19999999999999996</v>
      </c>
      <c r="E18" s="3185" t="s">
        <v>2874</v>
      </c>
      <c r="F18" s="3186"/>
      <c r="G18" s="3186"/>
      <c r="H18" s="3186"/>
      <c r="I18" s="3186"/>
      <c r="K18" s="308" t="s">
        <v>1975</v>
      </c>
      <c r="L18" s="308">
        <f>IF(C1="",'数据-汇总表'!E3,SUMIF(项目类型,C1,'数据-汇总表'!E17:E26)+SUMIF(项目类型,C1,'数据-汇总表'!I17:I26))</f>
        <v>13623.56239999999</v>
      </c>
      <c r="M18" s="308">
        <f>IF(C1="",'数据-汇总表'!E3,SUMIF(项目类型,C1,'数据-汇总表'!E17:E26))</f>
        <v>13623.56239999999</v>
      </c>
    </row>
    <row r="19" spans="1:36" ht="15">
      <c r="A19" s="1947" t="s">
        <v>1976</v>
      </c>
      <c r="B19" s="1948" t="s">
        <v>1977</v>
      </c>
      <c r="C19" s="139">
        <f ca="1">SUMIF(INDIRECT("'"&amp;C4&amp;"'"&amp;"!A:A"),结果表!B19,INDIRECT("'"&amp;C4&amp;"'"&amp;"!B:B"))</f>
        <v>149859</v>
      </c>
      <c r="D19" s="140">
        <f ca="1">SUMIF(INDIRECT("'"&amp;D4&amp;"'"&amp;"!A:A"),结果表!B19,INDIRECT("'"&amp;D4&amp;"'"&amp;"!B:B"))</f>
        <v>52269</v>
      </c>
      <c r="E19" s="1947" t="s">
        <v>1978</v>
      </c>
      <c r="F19" s="1948" t="s">
        <v>1977</v>
      </c>
      <c r="G19" s="141">
        <f ca="1">ROUND(C19*$C$18+D19*$D$18,0)</f>
        <v>130341</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110000</v>
      </c>
      <c r="D20" s="143">
        <f ca="1">SUMIF(INDIRECT("'"&amp;D4&amp;"'"&amp;"!A:A"),结果表!B20,INDIRECT("'"&amp;D4&amp;"'"&amp;"!B:B"))</f>
        <v>38367</v>
      </c>
      <c r="E20" s="1950"/>
      <c r="F20" s="1157" t="s">
        <v>1981</v>
      </c>
      <c r="G20" s="144">
        <f ca="1">ROUND(C20*$C$18+D20*$D$18,0)</f>
        <v>95673</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1.8670722608046835</v>
      </c>
      <c r="E22" s="134"/>
      <c r="F22" s="134"/>
      <c r="G22" s="134">
        <f ca="1">M54</f>
        <v>30276</v>
      </c>
      <c r="H22" s="134"/>
      <c r="I22" s="134"/>
    </row>
    <row r="23" spans="1:36" ht="13.5" thickBot="1">
      <c r="A23" s="1933"/>
      <c r="B23" s="1933"/>
      <c r="C23" s="1933"/>
      <c r="D23" s="1933"/>
      <c r="E23" s="134"/>
      <c r="F23" s="134"/>
      <c r="G23" s="134">
        <f ca="1">G19-G22</f>
        <v>100065</v>
      </c>
      <c r="H23" s="134"/>
      <c r="I23" s="134"/>
    </row>
    <row r="24" spans="1:36" ht="14.25">
      <c r="A24" s="3169" t="s">
        <v>1985</v>
      </c>
      <c r="B24" s="1948" t="s">
        <v>1977</v>
      </c>
      <c r="C24" s="141">
        <f>IF(B30=0,0,D30)</f>
        <v>0</v>
      </c>
      <c r="D24" s="1955"/>
      <c r="E24" s="134"/>
      <c r="F24" s="134"/>
      <c r="G24" s="134"/>
      <c r="H24" s="134"/>
      <c r="I24" s="134"/>
    </row>
    <row r="25" spans="1:36" ht="14.25">
      <c r="A25" s="317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2.5"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130341</v>
      </c>
      <c r="D32" s="1961" t="s">
        <v>3073</v>
      </c>
      <c r="E32" s="134"/>
      <c r="F32" s="134"/>
      <c r="G32" s="134"/>
      <c r="H32" s="134"/>
      <c r="I32" s="134"/>
    </row>
    <row r="33" spans="1:15" ht="15">
      <c r="A33" s="894" t="s">
        <v>1992</v>
      </c>
      <c r="B33" s="1962"/>
      <c r="C33" s="1963" t="s">
        <v>3074</v>
      </c>
      <c r="D33" s="1964" t="s">
        <v>3065</v>
      </c>
      <c r="E33" s="1965" t="s">
        <v>1993</v>
      </c>
      <c r="F33" s="1966" t="str">
        <f>IF(D32="楼面单价","取值（单价）","取值（总价）")</f>
        <v>取值（总价）</v>
      </c>
      <c r="G33" s="134"/>
      <c r="H33" s="134"/>
      <c r="I33" s="134"/>
    </row>
    <row r="34" spans="1:15" ht="15">
      <c r="A34" s="1967"/>
      <c r="B34" s="1968" t="s">
        <v>1994</v>
      </c>
      <c r="C34" s="153">
        <f ca="1">IF(C33="自定义",F34,C32-C35)</f>
        <v>77423</v>
      </c>
      <c r="D34" s="970">
        <f ca="1">IF(C33="自定义",ROUND(C34/C32,3),IF(C33="收益比率",SUMIF(INDIRECT("'"&amp;D33&amp;"'"&amp;"!b:b"),"土地收益比率",INDIRECT("'"&amp;D33&amp;"'"&amp;"!c:c")),SUMIF(INDIRECT("'"&amp;D33&amp;"'"&amp;"!b:b"),"土地成本比率",INDIRECT("'"&amp;D33&amp;"'"&amp;"!c:c"))))</f>
        <v>0.59399999999999997</v>
      </c>
      <c r="E34" s="1969" t="s">
        <v>1995</v>
      </c>
      <c r="F34" s="1498"/>
      <c r="G34" s="134"/>
      <c r="H34" s="134"/>
      <c r="I34" s="134"/>
    </row>
    <row r="35" spans="1:15" ht="15.75" thickBot="1">
      <c r="A35" s="1970"/>
      <c r="B35" s="1971" t="s">
        <v>1996</v>
      </c>
      <c r="C35" s="1332">
        <f ca="1">IF(C33="自定义",F35,ROUND(C32*D35,0))</f>
        <v>52918</v>
      </c>
      <c r="D35" s="1333">
        <f ca="1">IF(C33="自定义",ROUND(C35/C32,3),IF(C33="收益比率",SUMIF(INDIRECT("'"&amp;D33&amp;"'"&amp;"!b:b"),"建筑物收益比率",INDIRECT("'"&amp;D33&amp;"'"&amp;"!c:c")),SUMIF(INDIRECT("'"&amp;D33&amp;"'"&amp;"!b:b"),"建筑物成本比率",INDIRECT("'"&amp;D33&amp;"'"&amp;"!c:c"))))</f>
        <v>0.40600000000000003</v>
      </c>
      <c r="E35" s="1972" t="s">
        <v>1997</v>
      </c>
      <c r="F35" s="159"/>
      <c r="G35" s="134"/>
      <c r="H35" s="134"/>
      <c r="I35" s="134"/>
    </row>
    <row r="36" spans="1:15" ht="15.75" thickBot="1">
      <c r="A36" s="3189" t="s">
        <v>1998</v>
      </c>
      <c r="B36" s="1973" t="s">
        <v>1999</v>
      </c>
      <c r="C36" s="150"/>
      <c r="D36" s="1974"/>
      <c r="E36" s="1975"/>
      <c r="F36" s="1976"/>
      <c r="G36" s="134"/>
      <c r="H36" s="134"/>
      <c r="I36" s="134"/>
    </row>
    <row r="37" spans="1:15" ht="15.75" thickBot="1">
      <c r="A37" s="3190"/>
      <c r="B37" s="1860" t="s">
        <v>2000</v>
      </c>
      <c r="C37" s="152"/>
      <c r="D37" s="1301"/>
      <c r="E37" s="1301"/>
      <c r="F37" s="1976"/>
      <c r="G37" s="134"/>
      <c r="H37" s="134"/>
      <c r="I37" s="134"/>
    </row>
    <row r="38" spans="1:15" ht="15.75" thickBot="1">
      <c r="A38" s="319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6" t="s">
        <v>2012</v>
      </c>
      <c r="B45" s="3167"/>
      <c r="C45" s="3168"/>
      <c r="D45" s="160">
        <f ca="1">ROUND(H101*F45,0)</f>
        <v>130341</v>
      </c>
      <c r="E45" s="161" t="s">
        <v>2013</v>
      </c>
      <c r="F45" s="162">
        <v>1</v>
      </c>
      <c r="G45" s="163" t="s">
        <v>2014</v>
      </c>
      <c r="H45" s="134"/>
      <c r="I45" s="134"/>
      <c r="J45" s="3247" t="s">
        <v>2015</v>
      </c>
      <c r="K45" s="3247"/>
      <c r="L45" s="3247"/>
      <c r="M45" s="3247"/>
      <c r="N45" s="3247"/>
      <c r="O45" s="3247"/>
    </row>
    <row r="46" spans="1:15" ht="14.25" customHeight="1">
      <c r="A46" s="3163" t="s">
        <v>2016</v>
      </c>
      <c r="B46" s="3164"/>
      <c r="C46" s="3164"/>
      <c r="D46" s="3164"/>
      <c r="E46" s="3164"/>
      <c r="F46" s="3164"/>
      <c r="G46" s="3165"/>
      <c r="H46" s="1992"/>
      <c r="I46" s="164"/>
      <c r="J46" s="2749">
        <v>1</v>
      </c>
      <c r="K46" s="3228" t="s">
        <v>2017</v>
      </c>
      <c r="L46" s="3228"/>
      <c r="M46" s="3248"/>
      <c r="N46" s="3248"/>
      <c r="O46" s="3248"/>
    </row>
    <row r="47" spans="1:15" ht="12" customHeight="1">
      <c r="A47" s="165" t="s">
        <v>2018</v>
      </c>
      <c r="B47" s="166"/>
      <c r="C47" s="167"/>
      <c r="D47" s="1247" t="s">
        <v>2019</v>
      </c>
      <c r="E47" s="308" t="s">
        <v>2020</v>
      </c>
      <c r="F47" s="168" t="s">
        <v>2021</v>
      </c>
      <c r="G47" s="2772" t="s">
        <v>2022</v>
      </c>
      <c r="H47" s="2773"/>
      <c r="I47" s="164"/>
      <c r="J47" s="2749">
        <v>2</v>
      </c>
      <c r="K47" s="3228" t="s">
        <v>2023</v>
      </c>
      <c r="L47" s="3228"/>
      <c r="M47" s="3249">
        <f>'数据-取费表'!B2</f>
        <v>44307</v>
      </c>
      <c r="N47" s="3249"/>
      <c r="O47" s="3249"/>
    </row>
    <row r="48" spans="1:15" ht="25.5">
      <c r="A48" s="3194" t="s">
        <v>2024</v>
      </c>
      <c r="B48" s="3177"/>
      <c r="C48" s="3177"/>
      <c r="D48" s="2547">
        <f ca="1">IF(H48="情况1",0,IF(H48="情况2",D52,IF(H48="情况3",D53,IF(H48="情况4",D54))))</f>
        <v>6952</v>
      </c>
      <c r="E48" s="2557" t="str">
        <f>IF(H48="情况4","(销售额-原购置价)×税（费）率","销售额×税（费）率")</f>
        <v>(销售额-原购置价)×税（费）率</v>
      </c>
      <c r="F48" s="2774">
        <f>IF(H48="情况1","免征",'数据-取费表'!B41)</f>
        <v>5.6000000000000001E-2</v>
      </c>
      <c r="G48" s="2775" t="s">
        <v>2025</v>
      </c>
      <c r="H48" s="2776" t="s">
        <v>3075</v>
      </c>
      <c r="I48" s="1992"/>
      <c r="J48" s="2749">
        <v>3</v>
      </c>
      <c r="K48" s="3228" t="s">
        <v>2026</v>
      </c>
      <c r="L48" s="3228"/>
      <c r="M48" s="3250">
        <f ca="1">H101</f>
        <v>130341</v>
      </c>
      <c r="N48" s="3250"/>
      <c r="O48" s="3250"/>
    </row>
    <row r="49" spans="1:35" ht="25.5" customHeight="1">
      <c r="A49" s="2556" t="s">
        <v>2027</v>
      </c>
      <c r="B49" s="3161" t="s">
        <v>2028</v>
      </c>
      <c r="C49" s="3161"/>
      <c r="D49" s="1775">
        <v>0</v>
      </c>
      <c r="E49" s="330" t="s">
        <v>2029</v>
      </c>
      <c r="F49" s="2650" t="s">
        <v>34</v>
      </c>
      <c r="G49" s="3234"/>
      <c r="H49" s="2528" t="s">
        <v>2877</v>
      </c>
      <c r="I49" s="2529"/>
      <c r="J49" s="2749">
        <v>4</v>
      </c>
      <c r="K49" s="3228" t="str">
        <f>IF(项目基本情况!E8="房地产抵押价值","房地产抵押价值","抵押担保权已注销时的房地产抵押价值")</f>
        <v>房地产抵押价值</v>
      </c>
      <c r="L49" s="3228"/>
      <c r="M49" s="3250">
        <f ca="1">IF(项目基本情况!E8="房地产抵押价值",H107,H109)</f>
        <v>130341</v>
      </c>
      <c r="N49" s="3250"/>
      <c r="O49" s="3250"/>
    </row>
    <row r="50" spans="1:35" ht="25.5" customHeight="1">
      <c r="A50" s="2777"/>
      <c r="B50" s="3161" t="s">
        <v>2030</v>
      </c>
      <c r="C50" s="3161"/>
      <c r="D50" s="2778"/>
      <c r="E50" s="338"/>
      <c r="F50" s="2650"/>
      <c r="G50" s="3235"/>
      <c r="H50" s="2530" t="s">
        <v>2878</v>
      </c>
      <c r="I50" s="2529"/>
      <c r="J50" s="3247" t="s">
        <v>2031</v>
      </c>
      <c r="K50" s="3247"/>
      <c r="L50" s="3247"/>
      <c r="M50" s="3247"/>
      <c r="N50" s="3247"/>
      <c r="O50" s="3247"/>
    </row>
    <row r="51" spans="1:35" ht="20.45" customHeight="1">
      <c r="A51" s="2779"/>
      <c r="B51" s="3161" t="s">
        <v>2032</v>
      </c>
      <c r="C51" s="3161"/>
      <c r="D51" s="1247"/>
      <c r="E51" s="333"/>
      <c r="F51" s="2650"/>
      <c r="G51" s="3236"/>
      <c r="H51" s="2530" t="s">
        <v>2879</v>
      </c>
      <c r="I51" s="2529"/>
      <c r="J51" s="2750" t="s">
        <v>2033</v>
      </c>
      <c r="K51" s="3228" t="s">
        <v>2034</v>
      </c>
      <c r="L51" s="3228"/>
      <c r="M51" s="2750" t="s">
        <v>2035</v>
      </c>
      <c r="N51" s="2750" t="s">
        <v>2036</v>
      </c>
      <c r="O51" s="2750" t="s">
        <v>2037</v>
      </c>
    </row>
    <row r="52" spans="1:35" ht="24" customHeight="1">
      <c r="A52" s="2558" t="s">
        <v>2038</v>
      </c>
      <c r="B52" s="3161" t="s">
        <v>2039</v>
      </c>
      <c r="C52" s="3161"/>
      <c r="D52" s="1247">
        <f ca="1">ROUND(D45*'数据-取费表'!B41/(1+'数据-取费表'!C42),0)</f>
        <v>6952</v>
      </c>
      <c r="E52" s="2557" t="s">
        <v>2040</v>
      </c>
      <c r="F52" s="2780">
        <f>'数据-取费表'!B41</f>
        <v>5.6000000000000001E-2</v>
      </c>
      <c r="G52" s="2781"/>
      <c r="H52" s="2770"/>
      <c r="I52" s="1993"/>
      <c r="J52" s="2749">
        <v>1</v>
      </c>
      <c r="K52" s="3229" t="s">
        <v>2041</v>
      </c>
      <c r="L52" s="3229"/>
      <c r="M52" s="2751">
        <f ca="1">D48</f>
        <v>6952</v>
      </c>
      <c r="N52" s="2749" t="str">
        <f>E48</f>
        <v>(销售额-原购置价)×税（费）率</v>
      </c>
      <c r="O52" s="2752">
        <f>F48</f>
        <v>5.6000000000000001E-2</v>
      </c>
    </row>
    <row r="53" spans="1:35" ht="12" customHeight="1">
      <c r="A53" s="2558" t="s">
        <v>2042</v>
      </c>
      <c r="B53" s="3187" t="s">
        <v>3029</v>
      </c>
      <c r="C53" s="3188"/>
      <c r="D53" s="1247">
        <f ca="1">ROUND(D45*'数据-取费表'!B41/(1+'数据-取费表'!C42),0)</f>
        <v>6952</v>
      </c>
      <c r="E53" s="2557" t="s">
        <v>2040</v>
      </c>
      <c r="F53" s="2780">
        <f>'数据-取费表'!B41</f>
        <v>5.6000000000000001E-2</v>
      </c>
      <c r="G53" s="2781"/>
      <c r="H53" s="2770"/>
      <c r="I53" s="1993"/>
      <c r="J53" s="2749">
        <v>2</v>
      </c>
      <c r="K53" s="3229" t="s">
        <v>2043</v>
      </c>
      <c r="L53" s="3229"/>
      <c r="M53" s="2751">
        <f t="shared" ref="M53:O54" ca="1" si="0">D55</f>
        <v>65</v>
      </c>
      <c r="N53" s="2749" t="str">
        <f t="shared" si="0"/>
        <v>销售额×税（费）率</v>
      </c>
      <c r="O53" s="2752">
        <f t="shared" si="0"/>
        <v>5.0000000000000001E-4</v>
      </c>
    </row>
    <row r="54" spans="1:35" ht="12" customHeight="1">
      <c r="A54" s="2558" t="s">
        <v>2044</v>
      </c>
      <c r="B54" s="3187" t="s">
        <v>3030</v>
      </c>
      <c r="C54" s="3188"/>
      <c r="D54" s="1247">
        <f ca="1">C68</f>
        <v>6952</v>
      </c>
      <c r="E54" s="333" t="s">
        <v>2045</v>
      </c>
      <c r="F54" s="2780">
        <f>'数据-取费表'!B41</f>
        <v>5.6000000000000001E-2</v>
      </c>
      <c r="G54" s="2781"/>
      <c r="H54" s="2782"/>
      <c r="I54" s="1993"/>
      <c r="J54" s="2749">
        <v>3</v>
      </c>
      <c r="K54" s="3229" t="s">
        <v>2046</v>
      </c>
      <c r="L54" s="3229"/>
      <c r="M54" s="2751">
        <f t="shared" ca="1" si="0"/>
        <v>30276</v>
      </c>
      <c r="N54" s="2749" t="str">
        <f t="shared" si="0"/>
        <v>增值额×税（费）率</v>
      </c>
      <c r="O54" s="2753" t="str">
        <f t="shared" si="0"/>
        <v>——</v>
      </c>
    </row>
    <row r="55" spans="1:35" ht="24" customHeight="1">
      <c r="A55" s="3176" t="s">
        <v>2047</v>
      </c>
      <c r="B55" s="3177"/>
      <c r="C55" s="3177"/>
      <c r="D55" s="2547">
        <f ca="1">IF(H55="个人住宅",0,ROUND(D45*I55,0))</f>
        <v>65</v>
      </c>
      <c r="E55" s="2557" t="s">
        <v>2048</v>
      </c>
      <c r="F55" s="2780">
        <f>IF(H55="正常",I55,"免征")</f>
        <v>5.0000000000000001E-4</v>
      </c>
      <c r="G55" s="2781"/>
      <c r="H55" s="2776" t="s">
        <v>3066</v>
      </c>
      <c r="I55" s="170">
        <f>'数据-取费表'!B49</f>
        <v>5.0000000000000001E-4</v>
      </c>
      <c r="J55" s="2749" t="str">
        <f>IF(H59="非个人房产","",4)</f>
        <v/>
      </c>
      <c r="K55" s="3229" t="str">
        <f>IF(H59="非个人房产","——","个人所得税")</f>
        <v>——</v>
      </c>
      <c r="L55" s="3229"/>
      <c r="M55" s="2754" t="str">
        <f>D59</f>
        <v>——</v>
      </c>
      <c r="N55" s="2228" t="str">
        <f>E59</f>
        <v>——</v>
      </c>
      <c r="O55" s="2755" t="str">
        <f>F59</f>
        <v>——</v>
      </c>
    </row>
    <row r="56" spans="1:35" ht="24.75">
      <c r="A56" s="3176" t="s">
        <v>2049</v>
      </c>
      <c r="B56" s="3177"/>
      <c r="C56" s="3177"/>
      <c r="D56" s="2547">
        <f ca="1">IF(H56="个人住宅",D57,D58)</f>
        <v>30276</v>
      </c>
      <c r="E56" s="2557" t="s">
        <v>2050</v>
      </c>
      <c r="F56" s="2780" t="str">
        <f>IF(H56="正常",F58,"免征")</f>
        <v>——</v>
      </c>
      <c r="G56" s="2783" t="s">
        <v>2051</v>
      </c>
      <c r="H56" s="2784" t="s">
        <v>3066</v>
      </c>
      <c r="I56" s="1994"/>
      <c r="J56" s="2749" t="str">
        <f>IF(项目基本情况!K6="上海银行",IF(J55="",4,J55+1),"")</f>
        <v/>
      </c>
      <c r="K56" s="3252" t="str">
        <f>IF(项目基本情况!K6="上海银行","其他处置费用","")</f>
        <v/>
      </c>
      <c r="L56" s="3253"/>
      <c r="M56" s="2751" t="str">
        <f>IF(项目基本情况!K6="上海银行",M69,"")</f>
        <v/>
      </c>
      <c r="N56" s="3252" t="str">
        <f>IF(项目基本情况!K6="上海银行","包含处置中涉及的律师、诉讼、拍卖、评估等费用","")</f>
        <v/>
      </c>
      <c r="O56" s="3255"/>
    </row>
    <row r="57" spans="1:35" ht="12.75">
      <c r="A57" s="2558" t="s">
        <v>2027</v>
      </c>
      <c r="B57" s="3187" t="s">
        <v>2052</v>
      </c>
      <c r="C57" s="3188"/>
      <c r="D57" s="1775">
        <v>0</v>
      </c>
      <c r="E57" s="330" t="s">
        <v>2029</v>
      </c>
      <c r="F57" s="308"/>
      <c r="G57" s="2781"/>
      <c r="H57" s="2785"/>
      <c r="I57" s="1994"/>
      <c r="J57" s="3229">
        <f>IF(AND(J55="",J56=""),4,IF(项目基本情况!K6="上海银行",结果表!J56+1,结果表!J55+1))</f>
        <v>4</v>
      </c>
      <c r="K57" s="3229" t="s">
        <v>2053</v>
      </c>
      <c r="L57" s="2756" t="s">
        <v>2054</v>
      </c>
      <c r="M57" s="2757"/>
      <c r="N57" s="2758">
        <f ca="1">SUMIF(M52:M56,"&lt;9e307")</f>
        <v>37293</v>
      </c>
      <c r="O57" s="2759"/>
      <c r="P57" s="2919">
        <f ca="1">N57/M49</f>
        <v>0.28611871935921929</v>
      </c>
    </row>
    <row r="58" spans="1:35" ht="24.75">
      <c r="A58" s="2558" t="s">
        <v>2038</v>
      </c>
      <c r="B58" s="3187" t="s">
        <v>2055</v>
      </c>
      <c r="C58" s="3161"/>
      <c r="D58" s="2547">
        <f ca="1">IF(H58="转让取得",C81,C97)</f>
        <v>30276</v>
      </c>
      <c r="E58" s="2557" t="s">
        <v>2050</v>
      </c>
      <c r="F58" s="308" t="s">
        <v>34</v>
      </c>
      <c r="G58" s="2781"/>
      <c r="H58" s="2784" t="s">
        <v>3076</v>
      </c>
      <c r="I58" s="1994"/>
      <c r="J58" s="3229"/>
      <c r="K58" s="3229"/>
      <c r="L58" s="2756" t="s">
        <v>2056</v>
      </c>
      <c r="M58" s="2760"/>
      <c r="N58" s="2761" t="str">
        <f ca="1">NUMBERSTRING(INT(N57*10000),2)&amp;"元整"</f>
        <v>叁亿柒仟贰佰玖拾叁万元整</v>
      </c>
      <c r="O58" s="2762"/>
    </row>
    <row r="59" spans="1:35" ht="24.75" thickBot="1">
      <c r="A59" s="3232" t="s">
        <v>2057</v>
      </c>
      <c r="B59" s="3233"/>
      <c r="C59" s="3233"/>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3077</v>
      </c>
      <c r="I59" s="2531" t="s">
        <v>2880</v>
      </c>
      <c r="J59" s="3230">
        <f>J57+1</f>
        <v>5</v>
      </c>
      <c r="K59" s="3229" t="s">
        <v>2058</v>
      </c>
      <c r="L59" s="2749" t="s">
        <v>2054</v>
      </c>
      <c r="M59" s="2763"/>
      <c r="N59" s="2764">
        <f ca="1">M49-N57</f>
        <v>93048</v>
      </c>
      <c r="O59" s="2765"/>
    </row>
    <row r="60" spans="1:35" ht="12" customHeight="1">
      <c r="A60" s="1995"/>
      <c r="B60" s="1933"/>
      <c r="C60" s="1933"/>
      <c r="D60" s="1933"/>
      <c r="E60" s="1763"/>
      <c r="F60" s="1994"/>
      <c r="G60" s="1994"/>
      <c r="H60" s="1996"/>
      <c r="I60" s="134"/>
      <c r="J60" s="3231"/>
      <c r="K60" s="3229"/>
      <c r="L60" s="2756" t="s">
        <v>2056</v>
      </c>
      <c r="M60" s="2760"/>
      <c r="N60" s="2761" t="str">
        <f ca="1">NUMBERSTRING(INT(N59*10000),2)&amp;"元整"</f>
        <v>玖亿叁仟零肆拾捌万元整</v>
      </c>
      <c r="O60" s="2762"/>
    </row>
    <row r="61" spans="1:35" ht="13.5" thickBot="1">
      <c r="A61" s="3174" t="s">
        <v>2059</v>
      </c>
      <c r="B61" s="3174"/>
      <c r="C61" s="3174"/>
      <c r="D61" s="3174"/>
      <c r="E61" s="3174"/>
      <c r="F61" s="1994"/>
      <c r="G61" s="1994"/>
      <c r="H61" s="1996"/>
      <c r="I61" s="134"/>
      <c r="J61" s="2749">
        <f>J59+1</f>
        <v>6</v>
      </c>
      <c r="K61" s="3229" t="s">
        <v>2060</v>
      </c>
      <c r="L61" s="3229"/>
      <c r="M61" s="2766"/>
      <c r="N61" s="2767">
        <f ca="1">ROUND(N59*10000/'数据-汇总表'!E3,0)</f>
        <v>68299</v>
      </c>
      <c r="O61" s="2768"/>
    </row>
    <row r="62" spans="1:35" ht="12.75">
      <c r="A62" s="3192" t="s">
        <v>2061</v>
      </c>
      <c r="B62" s="3193"/>
      <c r="C62" s="2209"/>
      <c r="D62" s="2209" t="s">
        <v>2062</v>
      </c>
      <c r="E62" s="171" t="s">
        <v>2063</v>
      </c>
      <c r="F62" s="1994"/>
      <c r="G62" s="1994"/>
      <c r="H62" s="1996"/>
      <c r="I62" s="134"/>
    </row>
    <row r="63" spans="1:35" ht="12.75">
      <c r="A63" s="178" t="s">
        <v>775</v>
      </c>
      <c r="B63" s="172" t="s">
        <v>2064</v>
      </c>
      <c r="C63" s="2790">
        <f ca="1">ROUND((C64+C65)/(1+'数据-取费表'!C42),0)</f>
        <v>124134</v>
      </c>
      <c r="D63" s="172"/>
      <c r="E63" s="173"/>
      <c r="F63" s="1994"/>
      <c r="G63" s="1994"/>
      <c r="H63" s="1996"/>
      <c r="I63" s="134"/>
      <c r="J63" s="3254" t="s">
        <v>2065</v>
      </c>
      <c r="K63" s="1501" t="s">
        <v>2066</v>
      </c>
      <c r="L63" s="1501">
        <f ca="1">IF(M49&gt;10000,M49*0.5%,IF(AND(M49&gt;1000,M49&lt;=10000),M49*1%,IF(AND(M49&gt;100,M49&lt;=1000),M49*3%,IF(AND(M49&gt;10,M49&lt;=100),M49*5%,M49*8%))))</f>
        <v>651.70500000000004</v>
      </c>
      <c r="M63" s="308">
        <f ca="1">ROUND(L63,1)</f>
        <v>651.70000000000005</v>
      </c>
      <c r="N63" s="2769"/>
      <c r="Z63" s="1938"/>
      <c r="AI63" s="1939"/>
    </row>
    <row r="64" spans="1:35" ht="14.25" customHeight="1">
      <c r="A64" s="174" t="s">
        <v>770</v>
      </c>
      <c r="B64" s="175" t="s">
        <v>2067</v>
      </c>
      <c r="C64" s="2791">
        <f ca="1">D45</f>
        <v>130341</v>
      </c>
      <c r="D64" s="175" t="s">
        <v>32</v>
      </c>
      <c r="E64" s="177"/>
      <c r="F64" s="1994"/>
      <c r="G64" s="1994"/>
      <c r="H64" s="1996"/>
      <c r="I64" s="134"/>
      <c r="J64" s="3254"/>
      <c r="K64" s="1501" t="s">
        <v>2068</v>
      </c>
      <c r="L64" s="1501">
        <f ca="1">IF(M49&gt;2000,M49*0.5%,IF(AND(M49&gt;1000,M49&lt;=2000),M49*0.6%,IF(AND(M49&gt;500,M49&lt;=1000),M49*0.7%,IF(AND(M49&gt;200,M49&lt;=500),M49*0.8%,IF(AND(M49&gt;100,M49&lt;=200),M49*0.9%,IF(AND(M49&gt;50,M49&lt;=100),M49*1%,IF(AND(M49&gt;20,M49&lt;=50),M49*1.5%,IF(AND(M49&gt;10,M49&lt;=20),M49*2%,IF(AND(M49&gt;1,M49&lt;=10),M49*2.5%)))))))))</f>
        <v>651.70500000000004</v>
      </c>
      <c r="M64" s="308">
        <f t="shared" ref="M64:M65" ca="1" si="1">ROUND(L64,1)</f>
        <v>651.70000000000005</v>
      </c>
      <c r="N64" s="2770" t="s">
        <v>2069</v>
      </c>
      <c r="Z64" s="1938"/>
      <c r="AI64" s="1939"/>
    </row>
    <row r="65" spans="1:35" ht="14.25" customHeight="1">
      <c r="A65" s="174" t="s">
        <v>771</v>
      </c>
      <c r="B65" s="175" t="s">
        <v>2070</v>
      </c>
      <c r="C65" s="2792"/>
      <c r="D65" s="175"/>
      <c r="E65" s="177"/>
      <c r="F65" s="1994"/>
      <c r="G65" s="1994"/>
      <c r="H65" s="1996"/>
      <c r="I65" s="134"/>
      <c r="J65" s="3254"/>
      <c r="K65" s="1501" t="s">
        <v>2071</v>
      </c>
      <c r="L65" s="1501">
        <f ca="1">IF(M49&gt;1000,M49*0.1%,IF(AND(M49&gt;500,M49&lt;=1000),M49*0.5%,IF(AND(M49&gt;50,M49&lt;=500),M49*1%,IF(AND(M49&gt;1,M49&lt;=50),M49*1.5%))))</f>
        <v>130.34100000000001</v>
      </c>
      <c r="M65" s="308">
        <f t="shared" ca="1" si="1"/>
        <v>130.30000000000001</v>
      </c>
      <c r="N65" s="2770" t="s">
        <v>2069</v>
      </c>
      <c r="Z65" s="1938"/>
      <c r="AI65" s="1939"/>
    </row>
    <row r="66" spans="1:35" ht="14.25" customHeight="1">
      <c r="A66" s="178" t="s">
        <v>772</v>
      </c>
      <c r="B66" s="179" t="s">
        <v>2072</v>
      </c>
      <c r="C66" s="2793"/>
      <c r="D66" s="179" t="s">
        <v>32</v>
      </c>
      <c r="E66" s="1509" t="s">
        <v>1337</v>
      </c>
      <c r="F66" s="1994"/>
      <c r="G66" s="1994"/>
      <c r="H66" s="1996"/>
      <c r="I66" s="134"/>
      <c r="J66" s="3254"/>
      <c r="K66" s="1501" t="s">
        <v>2073</v>
      </c>
      <c r="L66" s="1501">
        <f ca="1">M49*0.5%</f>
        <v>651.70500000000004</v>
      </c>
      <c r="M66" s="308">
        <f ca="1">IF(L66&gt;0.5,0.5,ROUND(L66,0))</f>
        <v>0.5</v>
      </c>
      <c r="N66" s="2770" t="s">
        <v>2074</v>
      </c>
      <c r="Z66" s="1938"/>
      <c r="AI66" s="1939"/>
    </row>
    <row r="67" spans="1:35" ht="14.25" customHeight="1">
      <c r="A67" s="178" t="s">
        <v>773</v>
      </c>
      <c r="B67" s="179" t="s">
        <v>2075</v>
      </c>
      <c r="C67" s="2794">
        <f ca="1">C63-C66</f>
        <v>124134</v>
      </c>
      <c r="D67" s="175" t="s">
        <v>32</v>
      </c>
      <c r="E67" s="177"/>
      <c r="F67" s="1994"/>
      <c r="G67" s="1994"/>
      <c r="H67" s="1996"/>
      <c r="I67" s="134"/>
      <c r="J67" s="3254"/>
      <c r="K67" s="1501" t="s">
        <v>2076</v>
      </c>
      <c r="L67" s="1501">
        <f ca="1">IF(M49&gt;=10000,(8.25+(M49-10000)*0.01%),IF(AND(M49&gt;=8000,M49&lt;10000),(7.85+(M49-8000)*0.02%),IF(AND(M49&gt;=5000,M49&lt;8000),(6.65+(M49-5000)*0.04%),IF(AND(M49&gt;=2000,M49&lt;5000),(4.25+(PM49-2000)*0.08%),IF(AND(M49&gt;=1000,M49&lt;2000),(2.75+(M49-1000)*0.15%),IF(AND(M49&gt;=100,M49&lt;1000),(0.5+(M49-100)*0.25%),IF(AND(M49&gt;0,M49&lt;100),M49*0.5%)))))))</f>
        <v>20.284100000000002</v>
      </c>
      <c r="M67" s="308">
        <f ca="1">ROUND(L67*0.9,1)</f>
        <v>18.3</v>
      </c>
      <c r="N67" s="2769"/>
      <c r="Z67" s="1938"/>
      <c r="AI67" s="1939"/>
    </row>
    <row r="68" spans="1:35" ht="14.25" customHeight="1" thickBot="1">
      <c r="A68" s="181" t="s">
        <v>774</v>
      </c>
      <c r="B68" s="182" t="s">
        <v>2077</v>
      </c>
      <c r="C68" s="2795">
        <f ca="1">IF(C67&lt;=0,0,ROUND(C67*D68,0))</f>
        <v>6952</v>
      </c>
      <c r="D68" s="2796">
        <f>'数据-取费表'!B41</f>
        <v>5.6000000000000001E-2</v>
      </c>
      <c r="E68" s="184"/>
      <c r="F68" s="1994"/>
      <c r="G68" s="1994"/>
      <c r="H68" s="1996"/>
      <c r="I68" s="134"/>
      <c r="J68" s="3254"/>
      <c r="K68" s="1501" t="s">
        <v>2078</v>
      </c>
      <c r="L68" s="1501">
        <f ca="1">IF(M49&gt;10000,M49*0.5%,IF(AND(M49&gt;5000,M49&lt;=10000),M49*1%,IF(AND(M49&gt;1000,M49&lt;=5000),M49*2%,IF(AND(M49&gt;200,M49&lt;=1000),M49*3%,M49*5%))))</f>
        <v>651.70500000000004</v>
      </c>
      <c r="M68" s="308">
        <f ca="1">ROUND(L68,1)</f>
        <v>651.70000000000005</v>
      </c>
      <c r="N68" s="2769"/>
      <c r="Z68" s="1938"/>
      <c r="AI68" s="1939"/>
    </row>
    <row r="69" spans="1:35" s="1958" customFormat="1" ht="16.5" customHeight="1">
      <c r="A69" s="1997"/>
      <c r="B69" s="1998"/>
      <c r="C69" s="1999"/>
      <c r="D69" s="2000"/>
      <c r="E69" s="2001"/>
      <c r="F69" s="1763"/>
      <c r="G69" s="1763"/>
      <c r="H69" s="1762"/>
      <c r="I69" s="1933"/>
      <c r="J69" s="3254"/>
      <c r="K69" s="1501" t="s">
        <v>2079</v>
      </c>
      <c r="L69" s="1501"/>
      <c r="M69" s="308">
        <f ca="1">ROUND(SUM(M63:M68),0)</f>
        <v>2104</v>
      </c>
      <c r="N69" s="2771">
        <f ca="1">M69/M49</f>
        <v>1.6142272960925571E-2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3" t="s">
        <v>2080</v>
      </c>
      <c r="B70" s="3214"/>
      <c r="C70" s="3214"/>
      <c r="D70" s="3214"/>
      <c r="E70" s="3214"/>
      <c r="F70" s="3214"/>
      <c r="G70" s="3214"/>
      <c r="H70" s="3214"/>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2" t="s">
        <v>2061</v>
      </c>
      <c r="B71" s="319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124134</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48910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48165</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f>23100*'数据-汇总表'!F19/10000</f>
        <v>31470.429143999976</v>
      </c>
      <c r="D75" s="175" t="s">
        <v>32</v>
      </c>
      <c r="E75" s="190" t="s">
        <v>2085</v>
      </c>
      <c r="F75" s="2798" t="s">
        <v>3094</v>
      </c>
      <c r="G75" s="190" t="s">
        <v>2086</v>
      </c>
      <c r="H75" s="2799">
        <v>10</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15735</v>
      </c>
      <c r="D76" s="2800">
        <v>0.05</v>
      </c>
      <c r="E76" s="3187" t="s">
        <v>2088</v>
      </c>
      <c r="F76" s="3161"/>
      <c r="G76" s="3161"/>
      <c r="H76" s="321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960</v>
      </c>
      <c r="D77" s="2801">
        <f>'数据-取费表'!B48+'数据-取费表'!B49</f>
        <v>3.0499999999999999E-2</v>
      </c>
      <c r="E77" s="2547" t="s">
        <v>2090</v>
      </c>
      <c r="F77" s="192"/>
      <c r="G77" s="2008" t="s">
        <v>3078</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745</v>
      </c>
      <c r="D78" s="2803">
        <f>'数据-取费表'!B43</f>
        <v>6.000000000000001E-3</v>
      </c>
      <c r="E78" s="3171" t="s">
        <v>2092</v>
      </c>
      <c r="F78" s="3172"/>
      <c r="G78" s="3172"/>
      <c r="H78" s="318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75224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1.5380085872009814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30276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f ca="1">G19-C81</f>
        <v>100065</v>
      </c>
      <c r="L81" s="2004">
        <f ca="1">K81*0.95</f>
        <v>95061.75</v>
      </c>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2096</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2" t="s">
        <v>2061</v>
      </c>
      <c r="B84" s="319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124134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745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3026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56" t="s">
        <v>2872</v>
      </c>
      <c r="H90" s="3257"/>
      <c r="I90" s="2007"/>
      <c r="J90" s="2747" t="s">
        <v>3027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71" t="s">
        <v>2105</v>
      </c>
      <c r="F91" s="3172"/>
      <c r="G91" s="317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71" t="s">
        <v>2108</v>
      </c>
      <c r="F92" s="3172"/>
      <c r="G92" s="3172"/>
      <c r="H92" s="3181"/>
      <c r="I92" s="2007"/>
      <c r="J92" s="2748" t="s">
        <v>3028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745</v>
      </c>
      <c r="D93" s="2803">
        <f>'数据-取费表'!B43</f>
        <v>6.000000000000001E-3</v>
      </c>
      <c r="E93" s="3171" t="s">
        <v>2092</v>
      </c>
      <c r="F93" s="3172"/>
      <c r="G93" s="3172"/>
      <c r="H93" s="318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82" t="s">
        <v>2112</v>
      </c>
      <c r="F94" s="3183"/>
      <c r="G94" s="3183"/>
      <c r="H94" s="318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123389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165.62281879194632</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73773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5" t="s">
        <v>2114</v>
      </c>
      <c r="B100" s="3156"/>
      <c r="C100" s="3156"/>
      <c r="D100" s="3173"/>
      <c r="E100" s="3156" t="s">
        <v>2115</v>
      </c>
      <c r="F100" s="3156"/>
      <c r="G100" s="3156"/>
      <c r="H100" s="3173"/>
      <c r="I100" s="134"/>
    </row>
    <row r="101" spans="1:35" ht="18.75" customHeight="1">
      <c r="A101" s="3237" t="s">
        <v>2116</v>
      </c>
      <c r="B101" s="3238"/>
      <c r="C101" s="2811" t="str">
        <f>C4</f>
        <v>比较法-住宅</v>
      </c>
      <c r="D101" s="2812" t="str">
        <f>D4</f>
        <v>收益法</v>
      </c>
      <c r="E101" s="3251" t="s">
        <v>2117</v>
      </c>
      <c r="F101" s="3205"/>
      <c r="G101" s="2013" t="s">
        <v>2118</v>
      </c>
      <c r="H101" s="2821">
        <f ca="1">H118</f>
        <v>130341</v>
      </c>
      <c r="I101" s="134"/>
    </row>
    <row r="102" spans="1:35" ht="18.75" customHeight="1">
      <c r="A102" s="3207" t="s">
        <v>2119</v>
      </c>
      <c r="B102" s="2810" t="s">
        <v>2118</v>
      </c>
      <c r="C102" s="2811">
        <f ca="1">C19</f>
        <v>149859</v>
      </c>
      <c r="D102" s="2812">
        <f ca="1">D19</f>
        <v>52269</v>
      </c>
      <c r="E102" s="3251"/>
      <c r="F102" s="3205"/>
      <c r="G102" s="2013" t="s">
        <v>2120</v>
      </c>
      <c r="H102" s="2781">
        <f ca="1">I118</f>
        <v>95673</v>
      </c>
      <c r="I102" s="134"/>
    </row>
    <row r="103" spans="1:35" ht="42.75" customHeight="1">
      <c r="A103" s="3207"/>
      <c r="B103" s="2810" t="s">
        <v>2120</v>
      </c>
      <c r="C103" s="2813">
        <f ca="1">C20</f>
        <v>110000</v>
      </c>
      <c r="D103" s="2814">
        <f ca="1">D20</f>
        <v>38367</v>
      </c>
      <c r="E103" s="3245" t="s">
        <v>2121</v>
      </c>
      <c r="F103" s="3246"/>
      <c r="G103" s="2014" t="s">
        <v>2122</v>
      </c>
      <c r="H103" s="2821">
        <f>IF(D36="正常操作",H104+H105+H106,H105+H106)</f>
        <v>0</v>
      </c>
      <c r="I103" s="134"/>
    </row>
    <row r="104" spans="1:35" ht="18.75" customHeight="1">
      <c r="A104" s="3207" t="s">
        <v>2123</v>
      </c>
      <c r="B104" s="2815" t="s">
        <v>2118</v>
      </c>
      <c r="C104" s="2816">
        <f ca="1">H118</f>
        <v>130341</v>
      </c>
      <c r="D104" s="2817"/>
      <c r="E104" s="1860" t="s">
        <v>2124</v>
      </c>
      <c r="F104" s="1851"/>
      <c r="G104" s="2014" t="s">
        <v>2122</v>
      </c>
      <c r="H104" s="2822">
        <f>IF(D36="同一抵押权人同一抵押物续贷",C36&amp;"（续贷，未扣减，详见特别提示）",C36)</f>
        <v>0</v>
      </c>
      <c r="I104" s="134"/>
    </row>
    <row r="105" spans="1:35" ht="18.75" customHeight="1" thickBot="1">
      <c r="A105" s="3208"/>
      <c r="B105" s="2818" t="s">
        <v>2120</v>
      </c>
      <c r="C105" s="2819">
        <f ca="1">I118</f>
        <v>95673</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4" t="str">
        <f>IF(项目基本情况!E8="已注销","——","3.房地产抵押价值")</f>
        <v>3.房地产抵押价值</v>
      </c>
      <c r="F107" s="3205"/>
      <c r="G107" s="2013" t="s">
        <v>2118</v>
      </c>
      <c r="H107" s="2821">
        <f ca="1">IF(E107="——","——",H101-H103)</f>
        <v>130341</v>
      </c>
      <c r="I107" s="134"/>
    </row>
    <row r="108" spans="1:35" ht="18.75" customHeight="1">
      <c r="A108" s="134"/>
      <c r="B108" s="134"/>
      <c r="C108" s="134"/>
      <c r="D108" s="134"/>
      <c r="E108" s="3204"/>
      <c r="F108" s="3205"/>
      <c r="G108" s="2013" t="s">
        <v>2120</v>
      </c>
      <c r="H108" s="2781">
        <f ca="1">ROUND(H107*10000/'数据-汇总表'!E3,0)</f>
        <v>95673</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205"/>
      <c r="G109" s="2013" t="s">
        <v>2118</v>
      </c>
      <c r="H109" s="2824" t="str">
        <f>IF(E109="——","——",H101-H105-H106)</f>
        <v>——</v>
      </c>
      <c r="I109" s="134"/>
    </row>
    <row r="110" spans="1:35" ht="18.75" customHeight="1">
      <c r="A110" s="134"/>
      <c r="B110" s="134"/>
      <c r="C110" s="134"/>
      <c r="D110" s="134"/>
      <c r="E110" s="3204"/>
      <c r="F110" s="3205"/>
      <c r="G110" s="2013" t="s">
        <v>2120</v>
      </c>
      <c r="H110" s="2781"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4.抵押净值</v>
      </c>
      <c r="F111" s="3206"/>
      <c r="G111" s="2013" t="s">
        <v>2118</v>
      </c>
      <c r="H111" s="2821">
        <f ca="1">IF(E111="——","——",N59)</f>
        <v>93048</v>
      </c>
      <c r="I111" s="134"/>
    </row>
    <row r="112" spans="1:35" ht="18.75" customHeight="1" thickBot="1">
      <c r="A112" s="134"/>
      <c r="B112" s="134"/>
      <c r="C112" s="134"/>
      <c r="D112" s="134"/>
      <c r="E112" s="3240"/>
      <c r="F112" s="3241"/>
      <c r="G112" s="2016" t="s">
        <v>2120</v>
      </c>
      <c r="H112" s="2825">
        <f ca="1">IF(E111="——","——",N61)</f>
        <v>68299</v>
      </c>
      <c r="I112" s="134"/>
    </row>
    <row r="113" spans="1:27" ht="18.75" customHeight="1">
      <c r="A113" s="134"/>
      <c r="B113" s="134"/>
      <c r="C113" s="134"/>
      <c r="D113" s="134"/>
      <c r="E113" s="3209" t="s">
        <v>2126</v>
      </c>
      <c r="F113" s="3209"/>
      <c r="G113" s="3209"/>
      <c r="H113" s="3209"/>
      <c r="I113" s="134"/>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5" t="s">
        <v>2129</v>
      </c>
      <c r="B116" s="3210" t="s">
        <v>2130</v>
      </c>
      <c r="C116" s="3210" t="s">
        <v>2131</v>
      </c>
      <c r="D116" s="3226" t="s">
        <v>2132</v>
      </c>
      <c r="E116" s="3227"/>
      <c r="F116" s="3218" t="s">
        <v>2133</v>
      </c>
      <c r="G116" s="3218"/>
      <c r="H116" s="3175" t="s">
        <v>2134</v>
      </c>
      <c r="I116" s="3175"/>
    </row>
    <row r="117" spans="1:27" ht="18.75" customHeight="1">
      <c r="A117" s="3175"/>
      <c r="B117" s="3211"/>
      <c r="C117" s="3211"/>
      <c r="D117" s="2552" t="s">
        <v>2135</v>
      </c>
      <c r="E117" s="2552" t="s">
        <v>2136</v>
      </c>
      <c r="F117" s="2552" t="s">
        <v>2135</v>
      </c>
      <c r="G117" s="2552" t="s">
        <v>2137</v>
      </c>
      <c r="H117" s="2552" t="s">
        <v>2135</v>
      </c>
      <c r="I117" s="2552" t="s">
        <v>2137</v>
      </c>
    </row>
    <row r="118" spans="1:27" ht="24.75" customHeight="1">
      <c r="A118" s="2826" t="str">
        <f>项目基本情况!S2</f>
        <v>房地产</v>
      </c>
      <c r="B118" s="2552">
        <f>M18</f>
        <v>13623.56239999999</v>
      </c>
      <c r="C118" s="2552">
        <f>M19</f>
        <v>0</v>
      </c>
      <c r="D118" s="2552">
        <f ca="1">ROUND(IF(D32="总价",C34,E118*B118/10000),0)</f>
        <v>77423</v>
      </c>
      <c r="E118" s="2552">
        <f ca="1">ROUND(IF(C33="自定义",IF(D32="楼面单价",C34,D118*10000/B118),I118-G118),0)</f>
        <v>56830</v>
      </c>
      <c r="F118" s="2552">
        <f ca="1">ROUND(IF(D32="总价",C35,G118*B118/10000),0)</f>
        <v>52918</v>
      </c>
      <c r="G118" s="2552">
        <f ca="1">ROUND(IF(D32="楼面单价",C35,F118*10000/B118),0)</f>
        <v>38843</v>
      </c>
      <c r="H118" s="2552">
        <f ca="1">ROUND(IF(D32="总价",C32,I118*B118/10000),0)</f>
        <v>130341</v>
      </c>
      <c r="I118" s="2552">
        <f ca="1">ROUND(IF(D32="楼面单价",C32,H118*10000/B118),0)</f>
        <v>95673</v>
      </c>
    </row>
    <row r="119" spans="1:27" ht="18.75" customHeight="1">
      <c r="A119" s="3175" t="s">
        <v>2138</v>
      </c>
      <c r="B119" s="3175"/>
      <c r="C119" s="3175"/>
      <c r="D119" s="3215" t="str">
        <f ca="1">NUMBERSTRING(INT(D118*10000),2)&amp;"元整"</f>
        <v>柒亿柒仟肆佰贰拾叁万元整</v>
      </c>
      <c r="E119" s="3217"/>
      <c r="F119" s="3215" t="str">
        <f ca="1">NUMBERSTRING(INT(F118*10000),2)&amp;"元整"</f>
        <v>伍亿贰仟玖佰壹拾捌万元整</v>
      </c>
      <c r="G119" s="3217"/>
      <c r="H119" s="3215" t="str">
        <f ca="1">NUMBERSTRING(INT(H118*10000),2)&amp;"元整"</f>
        <v>壹拾叁亿零叁佰肆拾壹万元整</v>
      </c>
      <c r="I119" s="3217"/>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215" t="str">
        <f>IF(D120=0,"零元整",NUMBERSTRING(INT(D120*10000),2)&amp;"元整")</f>
        <v>零元整</v>
      </c>
      <c r="E121" s="3216"/>
      <c r="F121" s="3216"/>
      <c r="G121" s="3216"/>
      <c r="H121" s="3216"/>
      <c r="I121" s="3217"/>
      <c r="AA121" s="734"/>
    </row>
    <row r="122" spans="1:27" ht="18.75" customHeight="1">
      <c r="A122" s="3206" t="str">
        <f>IF(项目基本情况!B9="房地产市场价值","",MID(E107,3,LEN(E107)-2))</f>
        <v>房地产抵押价值</v>
      </c>
      <c r="B122" s="3206"/>
      <c r="C122" s="3206"/>
      <c r="D122" s="3242">
        <f ca="1">H107</f>
        <v>130341</v>
      </c>
      <c r="E122" s="3243"/>
      <c r="F122" s="3243"/>
      <c r="G122" s="3243"/>
      <c r="H122" s="3243"/>
      <c r="I122" s="3244"/>
      <c r="AA122" s="734"/>
    </row>
    <row r="123" spans="1:27" ht="18.75" customHeight="1">
      <c r="A123" s="3175" t="s">
        <v>2138</v>
      </c>
      <c r="B123" s="3175"/>
      <c r="C123" s="3175"/>
      <c r="D123" s="3215" t="str">
        <f ca="1">NUMBERSTRING(INT(D122*10000),2)&amp;"元整"</f>
        <v>壹拾叁亿零叁佰肆拾壹万元整</v>
      </c>
      <c r="E123" s="3216"/>
      <c r="F123" s="3216"/>
      <c r="G123" s="3216"/>
      <c r="H123" s="3216"/>
      <c r="I123" s="3217"/>
      <c r="AA123" s="734"/>
    </row>
    <row r="124" spans="1:27" ht="18.75" customHeight="1">
      <c r="A124" s="3206" t="str">
        <f>IF(项目基本情况!B9="房地产市场价值","",MID(E109,3,LEN(E109)-2))</f>
        <v/>
      </c>
      <c r="B124" s="3206"/>
      <c r="C124" s="3206"/>
      <c r="D124" s="3242" t="str">
        <f>H109</f>
        <v>——</v>
      </c>
      <c r="E124" s="3243"/>
      <c r="F124" s="3243"/>
      <c r="G124" s="3243"/>
      <c r="H124" s="3243"/>
      <c r="I124" s="3244"/>
      <c r="AA124" s="734"/>
    </row>
    <row r="125" spans="1:27" ht="18.75" customHeight="1">
      <c r="A125" s="3175" t="s">
        <v>2138</v>
      </c>
      <c r="B125" s="3175"/>
      <c r="C125" s="3175"/>
      <c r="D125" s="3215" t="e">
        <f>NUMBERSTRING(INT(D124*10000),2)&amp;"元整"</f>
        <v>#VALUE!</v>
      </c>
      <c r="E125" s="3216"/>
      <c r="F125" s="3216"/>
      <c r="G125" s="3216"/>
      <c r="H125" s="3216"/>
      <c r="I125" s="3217"/>
      <c r="AA125" s="734"/>
    </row>
    <row r="126" spans="1:27" ht="18.75" customHeight="1">
      <c r="A126" s="3206" t="str">
        <f>IF(项目基本情况!B9="房地产市场价值","",MID(E111,3,LEN(E111)-2))</f>
        <v>抵押净值</v>
      </c>
      <c r="B126" s="3206"/>
      <c r="C126" s="3206"/>
      <c r="D126" s="3242">
        <f ca="1">H111</f>
        <v>93048</v>
      </c>
      <c r="E126" s="3243"/>
      <c r="F126" s="3243"/>
      <c r="G126" s="3243"/>
      <c r="H126" s="3243"/>
      <c r="I126" s="3244"/>
      <c r="AA126" s="734"/>
    </row>
    <row r="127" spans="1:27" ht="18.75" customHeight="1">
      <c r="A127" s="3175" t="s">
        <v>2138</v>
      </c>
      <c r="B127" s="3175"/>
      <c r="C127" s="3175"/>
      <c r="D127" s="3215" t="str">
        <f ca="1">NUMBERSTRING(INT(D126*10000),2)&amp;"元整"</f>
        <v>玖亿叁仟零肆拾捌万元整</v>
      </c>
      <c r="E127" s="3216"/>
      <c r="F127" s="3216"/>
      <c r="G127" s="3216"/>
      <c r="H127" s="3216"/>
      <c r="I127" s="3217"/>
      <c r="AA127" s="734"/>
    </row>
    <row r="128" spans="1:27" ht="21.75" customHeight="1">
      <c r="A128" s="3225" t="s">
        <v>2139</v>
      </c>
      <c r="B128" s="3225"/>
      <c r="C128" s="3225"/>
      <c r="D128" s="3225"/>
      <c r="E128" s="3225"/>
      <c r="F128" s="3225"/>
      <c r="G128" s="3225"/>
      <c r="H128" s="3225"/>
      <c r="I128" s="322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房地产抵押价值预评估</v>
      </c>
      <c r="C37" s="3065"/>
      <c r="D37" s="3065"/>
      <c r="E37" s="3065"/>
      <c r="F37" s="3065"/>
      <c r="G37" s="3065"/>
      <c r="H37" s="3065"/>
      <c r="I37" s="306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I51" sqref="I5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t="s">
        <v>3062</v>
      </c>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149859</v>
      </c>
      <c r="C2" s="2067" t="s">
        <v>70</v>
      </c>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110000</v>
      </c>
      <c r="C3" s="360" t="s">
        <v>2355</v>
      </c>
      <c r="D3" s="359">
        <f>IF(D1="",'数据-汇总表'!E3,SUMIF('数据-汇总表'!$C19:$C33,D1,'数据-汇总表'!$E19:$E33))</f>
        <v>13623.56239999999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76" t="s">
        <v>2357</v>
      </c>
      <c r="D4" s="3277"/>
      <c r="E4" s="3278" t="s">
        <v>2358</v>
      </c>
      <c r="F4" s="3279"/>
      <c r="G4" s="3276" t="s">
        <v>2359</v>
      </c>
      <c r="H4" s="3277"/>
      <c r="I4" s="3276" t="s">
        <v>2360</v>
      </c>
      <c r="J4" s="3277"/>
      <c r="K4" s="2075" t="s">
        <v>2361</v>
      </c>
      <c r="L4" s="2944"/>
      <c r="M4" s="2945"/>
      <c r="N4" s="2945"/>
      <c r="O4" s="2945"/>
      <c r="P4" s="3280" t="s">
        <v>2362</v>
      </c>
      <c r="Q4" s="3281"/>
      <c r="R4" s="3286" t="s">
        <v>2358</v>
      </c>
      <c r="S4" s="3287"/>
      <c r="T4" s="3286" t="s">
        <v>2359</v>
      </c>
      <c r="U4" s="3287"/>
      <c r="V4" s="3292" t="s">
        <v>2360</v>
      </c>
      <c r="W4" s="3292"/>
      <c r="X4" s="1539"/>
      <c r="Y4" s="3286" t="s">
        <v>2362</v>
      </c>
      <c r="Z4" s="3287"/>
      <c r="AA4" s="3273" t="s">
        <v>2358</v>
      </c>
      <c r="AB4" s="3273" t="s">
        <v>2359</v>
      </c>
      <c r="AC4" s="3273" t="s">
        <v>2360</v>
      </c>
    </row>
    <row r="5" spans="1:29" ht="15">
      <c r="A5" s="364"/>
      <c r="B5" s="365"/>
      <c r="C5" s="3295" t="s">
        <v>2363</v>
      </c>
      <c r="D5" s="3296"/>
      <c r="E5" s="3302" t="s">
        <v>2364</v>
      </c>
      <c r="F5" s="3303"/>
      <c r="G5" s="3295" t="s">
        <v>2365</v>
      </c>
      <c r="H5" s="3296"/>
      <c r="I5" s="3295" t="s">
        <v>2366</v>
      </c>
      <c r="J5" s="3296"/>
      <c r="K5" s="2076"/>
      <c r="L5" s="2944"/>
      <c r="M5" s="2945"/>
      <c r="N5" s="2945"/>
      <c r="O5" s="2945"/>
      <c r="P5" s="3282"/>
      <c r="Q5" s="3283"/>
      <c r="R5" s="3288"/>
      <c r="S5" s="3289"/>
      <c r="T5" s="3288"/>
      <c r="U5" s="3289"/>
      <c r="V5" s="3292"/>
      <c r="W5" s="3292"/>
      <c r="X5" s="1539"/>
      <c r="Y5" s="3288"/>
      <c r="Z5" s="3289"/>
      <c r="AA5" s="3274"/>
      <c r="AB5" s="3274"/>
      <c r="AC5" s="3274"/>
    </row>
    <row r="6" spans="1:29" ht="15.75" thickBot="1">
      <c r="A6" s="366"/>
      <c r="B6" s="367"/>
      <c r="C6" s="3293" t="s">
        <v>2367</v>
      </c>
      <c r="D6" s="3294"/>
      <c r="E6" s="3300" t="s">
        <v>2367</v>
      </c>
      <c r="F6" s="3301"/>
      <c r="G6" s="3293" t="s">
        <v>2367</v>
      </c>
      <c r="H6" s="3294"/>
      <c r="I6" s="3293" t="s">
        <v>2367</v>
      </c>
      <c r="J6" s="3294"/>
      <c r="K6" s="2076" t="s">
        <v>2368</v>
      </c>
      <c r="L6" s="2944"/>
      <c r="M6" s="2945"/>
      <c r="N6" s="2945"/>
      <c r="O6" s="2945"/>
      <c r="P6" s="3284"/>
      <c r="Q6" s="3285"/>
      <c r="R6" s="3288"/>
      <c r="S6" s="3289"/>
      <c r="T6" s="3290"/>
      <c r="U6" s="3291"/>
      <c r="V6" s="3292"/>
      <c r="W6" s="3292"/>
      <c r="X6" s="1539"/>
      <c r="Y6" s="3290"/>
      <c r="Z6" s="3291"/>
      <c r="AA6" s="3275"/>
      <c r="AB6" s="3275"/>
      <c r="AC6" s="3275"/>
    </row>
    <row r="7" spans="1:29" s="113" customFormat="1" ht="15.75" thickBot="1">
      <c r="A7" s="368" t="s">
        <v>2369</v>
      </c>
      <c r="B7" s="369"/>
      <c r="C7" s="370">
        <f>'数据-取费表'!B2</f>
        <v>44307</v>
      </c>
      <c r="D7" s="371">
        <v>100</v>
      </c>
      <c r="E7" s="372">
        <v>44307</v>
      </c>
      <c r="F7" s="373">
        <f>SUMIF(58:58,YEAR(E7)&amp;"-"&amp;MONTH(E7),59:59)</f>
        <v>100</v>
      </c>
      <c r="G7" s="372">
        <v>44307</v>
      </c>
      <c r="H7" s="371">
        <f>SUMIF(58:58,YEAR(G7)&amp;"-"&amp;MONTH(G7),59:59)</f>
        <v>100</v>
      </c>
      <c r="I7" s="372">
        <v>44307</v>
      </c>
      <c r="J7" s="371">
        <f>SUMIF(58:58,YEAR(I7)&amp;"-"&amp;MONTH(I7),59:59)</f>
        <v>100</v>
      </c>
      <c r="K7" s="2077"/>
      <c r="L7" s="2946"/>
      <c r="M7" s="2947"/>
      <c r="N7" s="2947"/>
      <c r="O7" s="2947"/>
      <c r="P7" s="3297" t="s">
        <v>2370</v>
      </c>
      <c r="Q7" s="3299"/>
      <c r="R7" s="710" t="s">
        <v>23</v>
      </c>
      <c r="S7" s="711">
        <f t="shared" ref="S7:S15" si="0">F7</f>
        <v>100</v>
      </c>
      <c r="T7" s="710" t="s">
        <v>23</v>
      </c>
      <c r="U7" s="711">
        <f t="shared" ref="U7:U15" si="1">H7</f>
        <v>100</v>
      </c>
      <c r="V7" s="710" t="s">
        <v>23</v>
      </c>
      <c r="W7" s="711">
        <f t="shared" ref="W7:W15" si="2">J7</f>
        <v>100</v>
      </c>
      <c r="X7" s="712"/>
      <c r="Y7" s="3297" t="s">
        <v>2370</v>
      </c>
      <c r="Z7" s="3298"/>
      <c r="AA7" s="713">
        <f>D7/F7</f>
        <v>1</v>
      </c>
      <c r="AB7" s="713">
        <f>D7/H7</f>
        <v>1</v>
      </c>
      <c r="AC7" s="713">
        <f>D7/J7</f>
        <v>1</v>
      </c>
    </row>
    <row r="8" spans="1:29" s="113" customFormat="1" ht="15.75" thickBot="1">
      <c r="A8" s="368" t="s">
        <v>2371</v>
      </c>
      <c r="B8" s="369"/>
      <c r="C8" s="374" t="s">
        <v>2372</v>
      </c>
      <c r="D8" s="371">
        <v>100</v>
      </c>
      <c r="E8" s="2078" t="s">
        <v>3066</v>
      </c>
      <c r="F8" s="373">
        <f>SUMIF(61:61,E8,62:62)-SUMIF(61:61,C8,62:62)+100</f>
        <v>100</v>
      </c>
      <c r="G8" s="374" t="s">
        <v>3066</v>
      </c>
      <c r="H8" s="371">
        <f>SUMIF(61:61,G8,62:62)-SUMIF(61:61,C8,62:62)+100</f>
        <v>100</v>
      </c>
      <c r="I8" s="2078" t="s">
        <v>3066</v>
      </c>
      <c r="J8" s="371">
        <f>SUMIF(61:61,I8,62:62)-SUMIF(61:61,C8,62:62)+100</f>
        <v>100</v>
      </c>
      <c r="K8" s="2077"/>
      <c r="L8" s="2946"/>
      <c r="M8" s="2947"/>
      <c r="N8" s="2947"/>
      <c r="O8" s="2947"/>
      <c r="P8" s="3297" t="s">
        <v>2373</v>
      </c>
      <c r="Q8" s="3298"/>
      <c r="R8" s="710" t="s">
        <v>23</v>
      </c>
      <c r="S8" s="711">
        <f t="shared" si="0"/>
        <v>100</v>
      </c>
      <c r="T8" s="710" t="s">
        <v>23</v>
      </c>
      <c r="U8" s="711">
        <f t="shared" si="1"/>
        <v>100</v>
      </c>
      <c r="V8" s="710" t="s">
        <v>23</v>
      </c>
      <c r="W8" s="711">
        <f t="shared" si="2"/>
        <v>100</v>
      </c>
      <c r="X8" s="712"/>
      <c r="Y8" s="3297" t="s">
        <v>2373</v>
      </c>
      <c r="Z8" s="3298"/>
      <c r="AA8" s="713">
        <f t="shared" ref="AA8:AA19" si="3">D8/F8</f>
        <v>1</v>
      </c>
      <c r="AB8" s="713">
        <f t="shared" ref="AB8:AB19" si="4">D8/H8</f>
        <v>1</v>
      </c>
      <c r="AC8" s="713">
        <f t="shared" ref="AC8:AC19" si="5">D8/J8</f>
        <v>1</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72"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2"/>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75" thickBot="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385"/>
      <c r="L11" s="2950"/>
      <c r="M11" s="2945"/>
      <c r="N11" s="2945"/>
      <c r="O11" s="2945"/>
      <c r="P11" s="3272"/>
      <c r="Q11" s="1527" t="str">
        <f t="shared" si="6"/>
        <v>容积率</v>
      </c>
      <c r="R11" s="710" t="s">
        <v>21</v>
      </c>
      <c r="S11" s="711">
        <f t="shared" si="0"/>
        <v>100</v>
      </c>
      <c r="T11" s="710" t="s">
        <v>21</v>
      </c>
      <c r="U11" s="711">
        <f t="shared" si="1"/>
        <v>100</v>
      </c>
      <c r="V11" s="710" t="s">
        <v>21</v>
      </c>
      <c r="W11" s="711">
        <f t="shared" si="2"/>
        <v>100</v>
      </c>
      <c r="X11" s="712"/>
      <c r="Y11" s="3162"/>
      <c r="Z11" s="55" t="str">
        <f t="shared" si="7"/>
        <v>容积率</v>
      </c>
      <c r="AA11" s="713">
        <f t="shared" si="3"/>
        <v>1</v>
      </c>
      <c r="AB11" s="713">
        <f t="shared" si="4"/>
        <v>1</v>
      </c>
      <c r="AC11" s="713">
        <f t="shared" si="5"/>
        <v>1</v>
      </c>
    </row>
    <row r="12" spans="1:29" s="113" customFormat="1" ht="15" hidden="1">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72"/>
      <c r="Q12" s="1527">
        <f t="shared" si="6"/>
        <v>111</v>
      </c>
      <c r="R12" s="710" t="s">
        <v>21</v>
      </c>
      <c r="S12" s="711">
        <f t="shared" si="0"/>
        <v>100</v>
      </c>
      <c r="T12" s="710" t="s">
        <v>21</v>
      </c>
      <c r="U12" s="711">
        <f t="shared" si="1"/>
        <v>100</v>
      </c>
      <c r="V12" s="710" t="s">
        <v>21</v>
      </c>
      <c r="W12" s="711">
        <f t="shared" si="2"/>
        <v>100</v>
      </c>
      <c r="X12" s="712"/>
      <c r="Y12" s="3162"/>
      <c r="Z12" s="55">
        <f t="shared" si="7"/>
        <v>111</v>
      </c>
      <c r="AA12" s="713">
        <f>D12/F12</f>
        <v>1</v>
      </c>
      <c r="AB12" s="713">
        <f>D12/H12</f>
        <v>1</v>
      </c>
      <c r="AC12" s="713">
        <f>D12/J12</f>
        <v>1</v>
      </c>
    </row>
    <row r="13" spans="1:29" ht="15" hidden="1">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72"/>
      <c r="Q13" s="1527">
        <f t="shared" si="6"/>
        <v>111</v>
      </c>
      <c r="R13" s="710" t="s">
        <v>21</v>
      </c>
      <c r="S13" s="711">
        <f t="shared" si="0"/>
        <v>100</v>
      </c>
      <c r="T13" s="710" t="s">
        <v>21</v>
      </c>
      <c r="U13" s="711">
        <f t="shared" si="1"/>
        <v>100</v>
      </c>
      <c r="V13" s="710" t="s">
        <v>21</v>
      </c>
      <c r="W13" s="711">
        <f t="shared" si="2"/>
        <v>100</v>
      </c>
      <c r="X13" s="712"/>
      <c r="Y13" s="3162"/>
      <c r="Z13" s="55">
        <f t="shared" si="7"/>
        <v>111</v>
      </c>
      <c r="AA13" s="713">
        <f t="shared" si="3"/>
        <v>1</v>
      </c>
      <c r="AB13" s="713">
        <f t="shared" si="4"/>
        <v>1</v>
      </c>
      <c r="AC13" s="713">
        <f t="shared" si="5"/>
        <v>1</v>
      </c>
    </row>
    <row r="14" spans="1:29" ht="15.75" hidden="1"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72"/>
      <c r="Q14" s="1527">
        <f t="shared" si="6"/>
        <v>111</v>
      </c>
      <c r="R14" s="710" t="s">
        <v>21</v>
      </c>
      <c r="S14" s="711">
        <f t="shared" si="0"/>
        <v>100</v>
      </c>
      <c r="T14" s="710" t="s">
        <v>21</v>
      </c>
      <c r="U14" s="711">
        <f t="shared" si="1"/>
        <v>100</v>
      </c>
      <c r="V14" s="710" t="s">
        <v>21</v>
      </c>
      <c r="W14" s="711">
        <f t="shared" si="2"/>
        <v>100</v>
      </c>
      <c r="X14" s="712"/>
      <c r="Y14" s="3162"/>
      <c r="Z14" s="55">
        <f t="shared" si="7"/>
        <v>111</v>
      </c>
      <c r="AA14" s="713">
        <f t="shared" si="3"/>
        <v>1</v>
      </c>
      <c r="AB14" s="713">
        <f t="shared" si="4"/>
        <v>1</v>
      </c>
      <c r="AC14" s="713">
        <f t="shared" si="5"/>
        <v>1</v>
      </c>
    </row>
    <row r="15" spans="1:29" ht="15">
      <c r="A15" s="399" t="s">
        <v>2380</v>
      </c>
      <c r="B15" s="65" t="s">
        <v>1943</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270" t="s">
        <v>2381</v>
      </c>
      <c r="Q15" s="1536" t="str">
        <f t="shared" si="6"/>
        <v>居住社区成熟度</v>
      </c>
      <c r="R15" s="714" t="s">
        <v>21</v>
      </c>
      <c r="S15" s="715">
        <f t="shared" si="0"/>
        <v>100</v>
      </c>
      <c r="T15" s="714" t="s">
        <v>21</v>
      </c>
      <c r="U15" s="715">
        <f t="shared" si="1"/>
        <v>100</v>
      </c>
      <c r="V15" s="714" t="s">
        <v>21</v>
      </c>
      <c r="W15" s="715">
        <f t="shared" si="2"/>
        <v>100</v>
      </c>
      <c r="X15" s="1539"/>
      <c r="Y15" s="326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271"/>
      <c r="Q16" s="1536"/>
      <c r="R16" s="714"/>
      <c r="S16" s="715"/>
      <c r="T16" s="714"/>
      <c r="U16" s="715"/>
      <c r="V16" s="714"/>
      <c r="W16" s="715"/>
      <c r="X16" s="1539"/>
      <c r="Y16" s="3264"/>
      <c r="Z16" s="1540"/>
      <c r="AA16" s="1537">
        <v>1</v>
      </c>
      <c r="AB16" s="1537">
        <v>1</v>
      </c>
      <c r="AC16" s="1537">
        <v>1</v>
      </c>
    </row>
    <row r="17" spans="1:29" ht="15">
      <c r="A17" s="387"/>
      <c r="B17" s="410" t="s">
        <v>1945</v>
      </c>
      <c r="C17" s="208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271"/>
      <c r="Q17" s="1536" t="str">
        <f>B17</f>
        <v>交通便捷度</v>
      </c>
      <c r="R17" s="714" t="s">
        <v>21</v>
      </c>
      <c r="S17" s="715">
        <f>F17</f>
        <v>100</v>
      </c>
      <c r="T17" s="714" t="s">
        <v>21</v>
      </c>
      <c r="U17" s="715">
        <f>H17</f>
        <v>100</v>
      </c>
      <c r="V17" s="714" t="s">
        <v>21</v>
      </c>
      <c r="W17" s="715">
        <f>J17</f>
        <v>100</v>
      </c>
      <c r="X17" s="1539"/>
      <c r="Y17" s="326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271"/>
      <c r="Q18" s="1536"/>
      <c r="R18" s="714"/>
      <c r="S18" s="715"/>
      <c r="T18" s="714"/>
      <c r="U18" s="715"/>
      <c r="V18" s="714"/>
      <c r="W18" s="715"/>
      <c r="X18" s="1539"/>
      <c r="Y18" s="3264"/>
      <c r="Z18" s="1540"/>
      <c r="AA18" s="1537">
        <v>1</v>
      </c>
      <c r="AB18" s="1537">
        <v>1</v>
      </c>
      <c r="AC18" s="1537">
        <v>1</v>
      </c>
    </row>
    <row r="19" spans="1:29" ht="15">
      <c r="A19" s="387"/>
      <c r="B19" s="410" t="s">
        <v>1944</v>
      </c>
      <c r="C19" s="208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271"/>
      <c r="Q19" s="1536" t="str">
        <f>B19</f>
        <v>公共配套设施</v>
      </c>
      <c r="R19" s="714" t="s">
        <v>21</v>
      </c>
      <c r="S19" s="715">
        <f>F19</f>
        <v>100</v>
      </c>
      <c r="T19" s="714" t="s">
        <v>21</v>
      </c>
      <c r="U19" s="715">
        <f>H19</f>
        <v>100</v>
      </c>
      <c r="V19" s="714" t="s">
        <v>21</v>
      </c>
      <c r="W19" s="715">
        <f>J19</f>
        <v>100</v>
      </c>
      <c r="X19" s="1539"/>
      <c r="Y19" s="326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271"/>
      <c r="Q20" s="1536"/>
      <c r="R20" s="714"/>
      <c r="S20" s="715"/>
      <c r="T20" s="714"/>
      <c r="U20" s="715"/>
      <c r="V20" s="714"/>
      <c r="W20" s="715"/>
      <c r="X20" s="1539"/>
      <c r="Y20" s="3264"/>
      <c r="Z20" s="1540"/>
      <c r="AA20" s="1537">
        <v>1</v>
      </c>
      <c r="AB20" s="1537">
        <v>1</v>
      </c>
      <c r="AC20" s="1537">
        <v>1</v>
      </c>
    </row>
    <row r="21" spans="1:29" ht="15">
      <c r="A21" s="387"/>
      <c r="B21" s="1293" t="s">
        <v>1946</v>
      </c>
      <c r="C21" s="208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271"/>
      <c r="Q21" s="1536" t="str">
        <f>B21</f>
        <v>基础设施水平</v>
      </c>
      <c r="R21" s="714" t="s">
        <v>17</v>
      </c>
      <c r="S21" s="715">
        <f>F21</f>
        <v>100</v>
      </c>
      <c r="T21" s="714" t="s">
        <v>17</v>
      </c>
      <c r="U21" s="715">
        <f>H21</f>
        <v>100</v>
      </c>
      <c r="V21" s="714" t="s">
        <v>17</v>
      </c>
      <c r="W21" s="715">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271"/>
      <c r="Q22" s="1536"/>
      <c r="R22" s="714"/>
      <c r="S22" s="715"/>
      <c r="T22" s="714"/>
      <c r="U22" s="715"/>
      <c r="V22" s="714"/>
      <c r="W22" s="715"/>
      <c r="X22" s="1539"/>
      <c r="Y22" s="3264"/>
      <c r="Z22" s="1540"/>
      <c r="AA22" s="1537">
        <v>1</v>
      </c>
      <c r="AB22" s="1537">
        <v>1</v>
      </c>
      <c r="AC22" s="1537">
        <v>1</v>
      </c>
    </row>
    <row r="23" spans="1:29" ht="15">
      <c r="A23" s="387"/>
      <c r="B23" s="410" t="s">
        <v>1947</v>
      </c>
      <c r="C23" s="208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271"/>
      <c r="Q23" s="1536" t="str">
        <f>B23</f>
        <v>自然及人文环境</v>
      </c>
      <c r="R23" s="714" t="s">
        <v>21</v>
      </c>
      <c r="S23" s="715">
        <f>F23</f>
        <v>100</v>
      </c>
      <c r="T23" s="714" t="s">
        <v>21</v>
      </c>
      <c r="U23" s="715">
        <f>H23</f>
        <v>100</v>
      </c>
      <c r="V23" s="714" t="s">
        <v>21</v>
      </c>
      <c r="W23" s="715">
        <f>J23</f>
        <v>100</v>
      </c>
      <c r="X23" s="1539"/>
      <c r="Y23" s="326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271"/>
      <c r="Q24" s="1536"/>
      <c r="R24" s="714"/>
      <c r="S24" s="715"/>
      <c r="T24" s="714"/>
      <c r="U24" s="715"/>
      <c r="V24" s="714"/>
      <c r="W24" s="715"/>
      <c r="X24" s="1539"/>
      <c r="Y24" s="326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27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64"/>
      <c r="Z25" s="1540" t="str">
        <f>Q25</f>
        <v>楼层-1</v>
      </c>
      <c r="AA25" s="1537">
        <f t="shared" ref="AA25:AA46" si="15">D25/F25</f>
        <v>1</v>
      </c>
      <c r="AB25" s="1537">
        <f t="shared" ref="AB25:AB46" si="16">D25/H25</f>
        <v>1</v>
      </c>
      <c r="AC25" s="1537">
        <f t="shared" ref="AC25:AC46" si="17">D25/J25</f>
        <v>1</v>
      </c>
    </row>
    <row r="26" spans="1:29" ht="15.75" thickBot="1">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271"/>
      <c r="Q26" s="1536" t="str">
        <f t="shared" si="11"/>
        <v>朝向</v>
      </c>
      <c r="R26" s="714" t="s">
        <v>21</v>
      </c>
      <c r="S26" s="715">
        <f t="shared" si="12"/>
        <v>100</v>
      </c>
      <c r="T26" s="714" t="s">
        <v>21</v>
      </c>
      <c r="U26" s="715">
        <f t="shared" si="13"/>
        <v>100</v>
      </c>
      <c r="V26" s="714" t="s">
        <v>21</v>
      </c>
      <c r="W26" s="715">
        <f t="shared" si="14"/>
        <v>100</v>
      </c>
      <c r="X26" s="1539"/>
      <c r="Y26" s="3264"/>
      <c r="Z26" s="1540" t="str">
        <f>Q26</f>
        <v>朝向</v>
      </c>
      <c r="AA26" s="1537">
        <f t="shared" si="15"/>
        <v>1</v>
      </c>
      <c r="AB26" s="1537">
        <f t="shared" si="16"/>
        <v>1</v>
      </c>
      <c r="AC26" s="1537">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271"/>
      <c r="Q27" s="1527">
        <f t="shared" si="11"/>
        <v>111</v>
      </c>
      <c r="R27" s="710" t="s">
        <v>21</v>
      </c>
      <c r="S27" s="711">
        <f t="shared" si="12"/>
        <v>100</v>
      </c>
      <c r="T27" s="710" t="s">
        <v>21</v>
      </c>
      <c r="U27" s="711">
        <f t="shared" si="13"/>
        <v>100</v>
      </c>
      <c r="V27" s="710" t="s">
        <v>21</v>
      </c>
      <c r="W27" s="711">
        <f t="shared" si="14"/>
        <v>100</v>
      </c>
      <c r="X27" s="712"/>
      <c r="Y27" s="3264"/>
      <c r="Z27" s="55">
        <f>Q27</f>
        <v>111</v>
      </c>
      <c r="AA27" s="1537">
        <f t="shared" si="15"/>
        <v>1</v>
      </c>
      <c r="AB27" s="1537">
        <f t="shared" si="16"/>
        <v>1</v>
      </c>
      <c r="AC27" s="1537">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271"/>
      <c r="Q28" s="1536">
        <f t="shared" si="11"/>
        <v>111</v>
      </c>
      <c r="R28" s="714" t="s">
        <v>21</v>
      </c>
      <c r="S28" s="715">
        <f t="shared" si="12"/>
        <v>100</v>
      </c>
      <c r="T28" s="714" t="s">
        <v>21</v>
      </c>
      <c r="U28" s="715">
        <f t="shared" si="13"/>
        <v>100</v>
      </c>
      <c r="V28" s="714" t="s">
        <v>21</v>
      </c>
      <c r="W28" s="715">
        <f t="shared" si="14"/>
        <v>100</v>
      </c>
      <c r="X28" s="1539"/>
      <c r="Y28" s="3264"/>
      <c r="Z28" s="1540">
        <f t="shared" ref="Z28:Z46" si="18">Q28</f>
        <v>111</v>
      </c>
      <c r="AA28" s="1537">
        <f t="shared" si="15"/>
        <v>1</v>
      </c>
      <c r="AB28" s="1537">
        <f t="shared" si="16"/>
        <v>1</v>
      </c>
      <c r="AC28" s="1537">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271"/>
      <c r="Q29" s="1536">
        <f t="shared" si="11"/>
        <v>111</v>
      </c>
      <c r="R29" s="714" t="s">
        <v>21</v>
      </c>
      <c r="S29" s="715">
        <f t="shared" si="12"/>
        <v>100</v>
      </c>
      <c r="T29" s="714" t="s">
        <v>21</v>
      </c>
      <c r="U29" s="715">
        <f t="shared" si="13"/>
        <v>100</v>
      </c>
      <c r="V29" s="714" t="s">
        <v>21</v>
      </c>
      <c r="W29" s="715">
        <f t="shared" si="14"/>
        <v>100</v>
      </c>
      <c r="X29" s="1539"/>
      <c r="Y29" s="3264"/>
      <c r="Z29" s="1540">
        <f t="shared" si="18"/>
        <v>111</v>
      </c>
      <c r="AA29" s="1537">
        <f t="shared" si="15"/>
        <v>1</v>
      </c>
      <c r="AB29" s="1537">
        <f t="shared" si="16"/>
        <v>1</v>
      </c>
      <c r="AC29" s="1537">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271"/>
      <c r="Q30" s="1536">
        <f t="shared" si="11"/>
        <v>111</v>
      </c>
      <c r="R30" s="714" t="s">
        <v>21</v>
      </c>
      <c r="S30" s="715">
        <f t="shared" si="12"/>
        <v>100</v>
      </c>
      <c r="T30" s="714" t="s">
        <v>21</v>
      </c>
      <c r="U30" s="715">
        <f t="shared" si="13"/>
        <v>100</v>
      </c>
      <c r="V30" s="714" t="s">
        <v>21</v>
      </c>
      <c r="W30" s="715">
        <f t="shared" si="14"/>
        <v>100</v>
      </c>
      <c r="X30" s="1539"/>
      <c r="Y30" s="3264"/>
      <c r="Z30" s="1540">
        <f t="shared" si="18"/>
        <v>111</v>
      </c>
      <c r="AA30" s="1537">
        <f t="shared" si="15"/>
        <v>1</v>
      </c>
      <c r="AB30" s="1537">
        <f t="shared" si="16"/>
        <v>1</v>
      </c>
      <c r="AC30" s="1537">
        <f t="shared" si="17"/>
        <v>1</v>
      </c>
    </row>
    <row r="31" spans="1:29" ht="15.75"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271"/>
      <c r="Q31" s="1536">
        <f t="shared" si="11"/>
        <v>111</v>
      </c>
      <c r="R31" s="714" t="s">
        <v>21</v>
      </c>
      <c r="S31" s="715">
        <f t="shared" si="12"/>
        <v>100</v>
      </c>
      <c r="T31" s="714" t="s">
        <v>21</v>
      </c>
      <c r="U31" s="715">
        <f t="shared" si="13"/>
        <v>100</v>
      </c>
      <c r="V31" s="714" t="s">
        <v>21</v>
      </c>
      <c r="W31" s="715">
        <f t="shared" si="14"/>
        <v>100</v>
      </c>
      <c r="X31" s="1539"/>
      <c r="Y31" s="326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265" t="s">
        <v>2386</v>
      </c>
      <c r="Q32" s="1536" t="str">
        <f t="shared" si="11"/>
        <v>建筑类型</v>
      </c>
      <c r="R32" s="714" t="s">
        <v>21</v>
      </c>
      <c r="S32" s="715">
        <f t="shared" si="12"/>
        <v>100</v>
      </c>
      <c r="T32" s="714" t="s">
        <v>21</v>
      </c>
      <c r="U32" s="715">
        <f t="shared" si="13"/>
        <v>100</v>
      </c>
      <c r="V32" s="714" t="s">
        <v>21</v>
      </c>
      <c r="W32" s="715">
        <f t="shared" si="14"/>
        <v>100</v>
      </c>
      <c r="X32" s="1539"/>
      <c r="Y32" s="326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80"/>
      <c r="L33" s="2950"/>
      <c r="M33" s="2952"/>
      <c r="N33" s="2952"/>
      <c r="O33" s="2952"/>
      <c r="P33" s="3266"/>
      <c r="Q33" s="716" t="str">
        <f t="shared" si="11"/>
        <v>项目建筑规模</v>
      </c>
      <c r="R33" s="717" t="s">
        <v>21</v>
      </c>
      <c r="S33" s="718">
        <f t="shared" si="12"/>
        <v>100</v>
      </c>
      <c r="T33" s="717" t="s">
        <v>21</v>
      </c>
      <c r="U33" s="718">
        <f t="shared" si="13"/>
        <v>100</v>
      </c>
      <c r="V33" s="717" t="s">
        <v>21</v>
      </c>
      <c r="W33" s="718">
        <f t="shared" si="14"/>
        <v>100</v>
      </c>
      <c r="X33" s="719"/>
      <c r="Y33" s="3268"/>
      <c r="Z33" s="720" t="str">
        <f t="shared" si="18"/>
        <v>项目建筑规模</v>
      </c>
      <c r="AA33" s="1537">
        <f t="shared" si="15"/>
        <v>1</v>
      </c>
      <c r="AB33" s="1537">
        <f t="shared" si="16"/>
        <v>1</v>
      </c>
      <c r="AC33" s="1537">
        <f t="shared" si="17"/>
        <v>1</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266"/>
      <c r="Q34" s="1536" t="str">
        <f t="shared" si="11"/>
        <v>建筑结构</v>
      </c>
      <c r="R34" s="714" t="s">
        <v>21</v>
      </c>
      <c r="S34" s="715">
        <f t="shared" si="12"/>
        <v>100</v>
      </c>
      <c r="T34" s="714" t="s">
        <v>21</v>
      </c>
      <c r="U34" s="715">
        <f t="shared" si="13"/>
        <v>100</v>
      </c>
      <c r="V34" s="714" t="s">
        <v>21</v>
      </c>
      <c r="W34" s="715">
        <f t="shared" si="14"/>
        <v>100</v>
      </c>
      <c r="X34" s="1539"/>
      <c r="Y34" s="326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266"/>
      <c r="Q35" s="1536" t="str">
        <f t="shared" si="11"/>
        <v>建筑品质</v>
      </c>
      <c r="R35" s="714" t="s">
        <v>21</v>
      </c>
      <c r="S35" s="715">
        <f t="shared" si="12"/>
        <v>100</v>
      </c>
      <c r="T35" s="714" t="s">
        <v>21</v>
      </c>
      <c r="U35" s="715">
        <f t="shared" si="13"/>
        <v>100</v>
      </c>
      <c r="V35" s="714" t="s">
        <v>21</v>
      </c>
      <c r="W35" s="715">
        <f t="shared" si="14"/>
        <v>100</v>
      </c>
      <c r="X35" s="1539"/>
      <c r="Y35" s="326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266"/>
      <c r="Q36" s="1536" t="str">
        <f t="shared" si="11"/>
        <v>公共部分装修</v>
      </c>
      <c r="R36" s="714" t="s">
        <v>21</v>
      </c>
      <c r="S36" s="715">
        <f t="shared" si="12"/>
        <v>100</v>
      </c>
      <c r="T36" s="714" t="s">
        <v>21</v>
      </c>
      <c r="U36" s="715">
        <f t="shared" si="13"/>
        <v>100</v>
      </c>
      <c r="V36" s="714" t="s">
        <v>21</v>
      </c>
      <c r="W36" s="715">
        <f t="shared" si="14"/>
        <v>100</v>
      </c>
      <c r="X36" s="1539"/>
      <c r="Y36" s="3268"/>
      <c r="Z36" s="1540" t="str">
        <f t="shared" si="18"/>
        <v>公共部分装修</v>
      </c>
      <c r="AA36" s="1537">
        <f t="shared" si="15"/>
        <v>1</v>
      </c>
      <c r="AB36" s="1537">
        <f t="shared" si="16"/>
        <v>1</v>
      </c>
      <c r="AC36" s="1537">
        <f t="shared" si="17"/>
        <v>1</v>
      </c>
    </row>
    <row r="37" spans="1:29" s="113" customFormat="1" ht="15">
      <c r="A37" s="432"/>
      <c r="B37" s="381" t="s">
        <v>2391</v>
      </c>
      <c r="C37" s="433">
        <v>0.8</v>
      </c>
      <c r="D37" s="132">
        <v>100</v>
      </c>
      <c r="E37" s="433">
        <v>0.85</v>
      </c>
      <c r="F37" s="384">
        <f>LOOKUP(E37,112:112,113:113)-LOOKUP(C37,112:112,113:113)+100</f>
        <v>100</v>
      </c>
      <c r="G37" s="435">
        <v>0.85</v>
      </c>
      <c r="H37" s="132">
        <f>LOOKUP(G37,112:112,113:113)-LOOKUP(C37,112:112,113:113)+100</f>
        <v>100</v>
      </c>
      <c r="I37" s="434">
        <v>0.85</v>
      </c>
      <c r="J37" s="132">
        <f>LOOKUP(I37,112:112,113:113)-LOOKUP(C37,112:112,113:113)+100</f>
        <v>100</v>
      </c>
      <c r="K37" s="385"/>
      <c r="L37" s="2946"/>
      <c r="M37" s="2947"/>
      <c r="N37" s="2947"/>
      <c r="O37" s="2947"/>
      <c r="P37" s="3266"/>
      <c r="Q37" s="1527" t="str">
        <f t="shared" si="11"/>
        <v>成新度</v>
      </c>
      <c r="R37" s="710" t="s">
        <v>21</v>
      </c>
      <c r="S37" s="711">
        <f t="shared" si="12"/>
        <v>100</v>
      </c>
      <c r="T37" s="710" t="s">
        <v>21</v>
      </c>
      <c r="U37" s="711">
        <f t="shared" si="13"/>
        <v>100</v>
      </c>
      <c r="V37" s="710" t="s">
        <v>21</v>
      </c>
      <c r="W37" s="711">
        <f t="shared" si="14"/>
        <v>100</v>
      </c>
      <c r="X37" s="712"/>
      <c r="Y37" s="3268"/>
      <c r="Z37" s="55" t="str">
        <f t="shared" si="18"/>
        <v>成新度</v>
      </c>
      <c r="AA37" s="713">
        <f t="shared" si="15"/>
        <v>1</v>
      </c>
      <c r="AB37" s="713">
        <f t="shared" si="16"/>
        <v>1</v>
      </c>
      <c r="AC37" s="713">
        <f t="shared" si="17"/>
        <v>1</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266" t="s">
        <v>2386</v>
      </c>
      <c r="Q38" s="1536" t="str">
        <f t="shared" si="11"/>
        <v>物业管理</v>
      </c>
      <c r="R38" s="714" t="s">
        <v>21</v>
      </c>
      <c r="S38" s="715">
        <f t="shared" si="12"/>
        <v>100</v>
      </c>
      <c r="T38" s="714" t="s">
        <v>21</v>
      </c>
      <c r="U38" s="715">
        <f t="shared" si="13"/>
        <v>100</v>
      </c>
      <c r="V38" s="714" t="s">
        <v>21</v>
      </c>
      <c r="W38" s="715">
        <f t="shared" si="14"/>
        <v>100</v>
      </c>
      <c r="X38" s="1539"/>
      <c r="Y38" s="326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266"/>
      <c r="Q39" s="1536" t="str">
        <f t="shared" si="11"/>
        <v>市政基础设施</v>
      </c>
      <c r="R39" s="714" t="s">
        <v>21</v>
      </c>
      <c r="S39" s="715">
        <f t="shared" si="12"/>
        <v>100</v>
      </c>
      <c r="T39" s="714" t="s">
        <v>21</v>
      </c>
      <c r="U39" s="715">
        <f t="shared" si="13"/>
        <v>100</v>
      </c>
      <c r="V39" s="714" t="s">
        <v>21</v>
      </c>
      <c r="W39" s="715">
        <f t="shared" si="14"/>
        <v>100</v>
      </c>
      <c r="X39" s="1539"/>
      <c r="Y39" s="326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266"/>
      <c r="Q40" s="1536" t="str">
        <f t="shared" si="11"/>
        <v>房型</v>
      </c>
      <c r="R40" s="714" t="s">
        <v>21</v>
      </c>
      <c r="S40" s="715">
        <f t="shared" si="12"/>
        <v>100</v>
      </c>
      <c r="T40" s="714" t="s">
        <v>21</v>
      </c>
      <c r="U40" s="715">
        <f t="shared" si="13"/>
        <v>100</v>
      </c>
      <c r="V40" s="714" t="s">
        <v>21</v>
      </c>
      <c r="W40" s="715">
        <f t="shared" si="14"/>
        <v>100</v>
      </c>
      <c r="X40" s="1539"/>
      <c r="Y40" s="326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266"/>
      <c r="Q41" s="716" t="str">
        <f t="shared" si="11"/>
        <v>单套/主力户型建筑面积</v>
      </c>
      <c r="R41" s="717" t="s">
        <v>21</v>
      </c>
      <c r="S41" s="718">
        <f t="shared" si="12"/>
        <v>100</v>
      </c>
      <c r="T41" s="717" t="s">
        <v>21</v>
      </c>
      <c r="U41" s="718">
        <f t="shared" si="13"/>
        <v>100</v>
      </c>
      <c r="V41" s="717" t="s">
        <v>21</v>
      </c>
      <c r="W41" s="718">
        <f t="shared" si="14"/>
        <v>100</v>
      </c>
      <c r="X41" s="719"/>
      <c r="Y41" s="326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266"/>
      <c r="Q42" s="1536" t="str">
        <f t="shared" si="11"/>
        <v>内部装修</v>
      </c>
      <c r="R42" s="714" t="s">
        <v>21</v>
      </c>
      <c r="S42" s="715">
        <f t="shared" si="12"/>
        <v>100</v>
      </c>
      <c r="T42" s="714" t="s">
        <v>21</v>
      </c>
      <c r="U42" s="715">
        <f t="shared" si="13"/>
        <v>100</v>
      </c>
      <c r="V42" s="714" t="s">
        <v>21</v>
      </c>
      <c r="W42" s="715">
        <f t="shared" si="14"/>
        <v>100</v>
      </c>
      <c r="X42" s="1539"/>
      <c r="Y42" s="3268"/>
      <c r="Z42" s="1540" t="str">
        <f t="shared" si="18"/>
        <v>内部装修</v>
      </c>
      <c r="AA42" s="1537">
        <f t="shared" si="15"/>
        <v>1</v>
      </c>
      <c r="AB42" s="1537">
        <f t="shared" si="16"/>
        <v>1</v>
      </c>
      <c r="AC42" s="1537">
        <f t="shared" si="17"/>
        <v>1</v>
      </c>
    </row>
    <row r="43" spans="1:29" ht="15.75" thickBot="1">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266"/>
      <c r="Q43" s="1536" t="str">
        <f t="shared" si="11"/>
        <v>内部装修维护情况</v>
      </c>
      <c r="R43" s="714" t="s">
        <v>21</v>
      </c>
      <c r="S43" s="715">
        <f t="shared" si="12"/>
        <v>100</v>
      </c>
      <c r="T43" s="714" t="s">
        <v>21</v>
      </c>
      <c r="U43" s="715">
        <f t="shared" si="13"/>
        <v>100</v>
      </c>
      <c r="V43" s="714" t="s">
        <v>21</v>
      </c>
      <c r="W43" s="715">
        <f t="shared" si="14"/>
        <v>100</v>
      </c>
      <c r="X43" s="1539"/>
      <c r="Y43" s="3268"/>
      <c r="Z43" s="1540" t="str">
        <f t="shared" si="18"/>
        <v>内部装修维护情况</v>
      </c>
      <c r="AA43" s="1537">
        <f t="shared" si="15"/>
        <v>1</v>
      </c>
      <c r="AB43" s="1537">
        <f t="shared" si="16"/>
        <v>1</v>
      </c>
      <c r="AC43" s="1537">
        <f t="shared" si="17"/>
        <v>1</v>
      </c>
    </row>
    <row r="44" spans="1:29" s="113" customFormat="1" ht="15" hidden="1">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266"/>
      <c r="Q44" s="1527">
        <f t="shared" si="11"/>
        <v>111</v>
      </c>
      <c r="R44" s="710" t="s">
        <v>21</v>
      </c>
      <c r="S44" s="711">
        <f t="shared" si="12"/>
        <v>100</v>
      </c>
      <c r="T44" s="710" t="s">
        <v>21</v>
      </c>
      <c r="U44" s="711">
        <f t="shared" si="13"/>
        <v>100</v>
      </c>
      <c r="V44" s="710" t="s">
        <v>21</v>
      </c>
      <c r="W44" s="711">
        <f t="shared" si="14"/>
        <v>100</v>
      </c>
      <c r="X44" s="712"/>
      <c r="Y44" s="3268"/>
      <c r="Z44" s="55">
        <f t="shared" si="18"/>
        <v>111</v>
      </c>
      <c r="AA44" s="713">
        <f t="shared" si="15"/>
        <v>1</v>
      </c>
      <c r="AB44" s="713">
        <f t="shared" si="16"/>
        <v>1</v>
      </c>
      <c r="AC44" s="713">
        <f t="shared" si="17"/>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266"/>
      <c r="Q45" s="1536">
        <f t="shared" si="11"/>
        <v>111</v>
      </c>
      <c r="R45" s="714" t="s">
        <v>21</v>
      </c>
      <c r="S45" s="715">
        <f t="shared" si="12"/>
        <v>100</v>
      </c>
      <c r="T45" s="714" t="s">
        <v>21</v>
      </c>
      <c r="U45" s="715">
        <f t="shared" si="13"/>
        <v>100</v>
      </c>
      <c r="V45" s="714" t="s">
        <v>21</v>
      </c>
      <c r="W45" s="715">
        <f t="shared" si="14"/>
        <v>100</v>
      </c>
      <c r="X45" s="1539"/>
      <c r="Y45" s="3268"/>
      <c r="Z45" s="1540">
        <f t="shared" si="18"/>
        <v>111</v>
      </c>
      <c r="AA45" s="1537">
        <f t="shared" si="15"/>
        <v>1</v>
      </c>
      <c r="AB45" s="1537">
        <f t="shared" si="16"/>
        <v>1</v>
      </c>
      <c r="AC45" s="1537">
        <f t="shared" si="17"/>
        <v>1</v>
      </c>
    </row>
    <row r="46" spans="1:29" ht="15.75" hidden="1"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267"/>
      <c r="Q46" s="1536">
        <f t="shared" si="11"/>
        <v>111</v>
      </c>
      <c r="R46" s="714" t="s">
        <v>20</v>
      </c>
      <c r="S46" s="715">
        <f t="shared" si="12"/>
        <v>100</v>
      </c>
      <c r="T46" s="714" t="s">
        <v>20</v>
      </c>
      <c r="U46" s="715">
        <f t="shared" si="13"/>
        <v>100</v>
      </c>
      <c r="V46" s="714" t="s">
        <v>20</v>
      </c>
      <c r="W46" s="715">
        <f t="shared" si="14"/>
        <v>100</v>
      </c>
      <c r="X46" s="1539"/>
      <c r="Y46" s="3269"/>
      <c r="Z46" s="1540">
        <f t="shared" si="18"/>
        <v>111</v>
      </c>
      <c r="AA46" s="1537">
        <f t="shared" si="15"/>
        <v>1</v>
      </c>
      <c r="AB46" s="1537">
        <f t="shared" si="16"/>
        <v>1</v>
      </c>
      <c r="AC46" s="1537">
        <f t="shared" si="17"/>
        <v>1</v>
      </c>
    </row>
    <row r="47" spans="1:29" ht="15">
      <c r="A47" s="438" t="s">
        <v>2398</v>
      </c>
      <c r="B47" s="439"/>
      <c r="C47" s="1316" t="s">
        <v>19</v>
      </c>
      <c r="D47" s="1317"/>
      <c r="E47" s="1318">
        <v>110000</v>
      </c>
      <c r="F47" s="1319"/>
      <c r="G47" s="1318">
        <v>110000</v>
      </c>
      <c r="H47" s="1321"/>
      <c r="I47" s="1318">
        <v>110000</v>
      </c>
      <c r="J47" s="1321"/>
      <c r="K47" s="2100"/>
      <c r="L47" s="2953"/>
      <c r="M47" s="2954"/>
      <c r="N47" s="2945"/>
      <c r="O47" s="2954"/>
      <c r="P47" s="3261" t="str">
        <f>A47</f>
        <v>成交单价（元/平方米）</v>
      </c>
      <c r="Q47" s="3261"/>
      <c r="R47" s="3262">
        <f>E47</f>
        <v>110000</v>
      </c>
      <c r="S47" s="3262"/>
      <c r="T47" s="3262">
        <f>G47</f>
        <v>110000</v>
      </c>
      <c r="U47" s="3262"/>
      <c r="V47" s="3262">
        <f>I47</f>
        <v>110000</v>
      </c>
      <c r="W47" s="3262"/>
      <c r="X47" s="699"/>
      <c r="Y47" s="721"/>
      <c r="Z47" s="699"/>
      <c r="AA47" s="699"/>
      <c r="AB47" s="699"/>
      <c r="AC47" s="699"/>
    </row>
    <row r="48" spans="1:29" ht="15.75" thickBot="1">
      <c r="A48" s="445" t="s">
        <v>2399</v>
      </c>
      <c r="B48" s="446"/>
      <c r="C48" s="1322">
        <f>R49</f>
        <v>110000</v>
      </c>
      <c r="D48" s="2538" t="s">
        <v>2881</v>
      </c>
      <c r="E48" s="1323">
        <f>R48</f>
        <v>110000</v>
      </c>
      <c r="F48" s="2539"/>
      <c r="G48" s="1322">
        <f>T48</f>
        <v>110000</v>
      </c>
      <c r="H48" s="2539"/>
      <c r="I48" s="1323">
        <f>V48</f>
        <v>110000</v>
      </c>
      <c r="J48" s="2539"/>
      <c r="K48" s="2540">
        <f>F48+H48+J48</f>
        <v>0</v>
      </c>
      <c r="L48" s="2953"/>
      <c r="M48" s="2954"/>
      <c r="N48" s="2954"/>
      <c r="O48" s="2954"/>
      <c r="P48" s="3261" t="str">
        <f>A48</f>
        <v>比较价值（元/平方米）</v>
      </c>
      <c r="Q48" s="3261"/>
      <c r="R48" s="3262">
        <f>IF(F1="售价",ROUND(PRODUCT(R47,AA7:AA46),0),ROUND(PRODUCT(R47,AA7:AA46),1))</f>
        <v>110000</v>
      </c>
      <c r="S48" s="3262"/>
      <c r="T48" s="3262">
        <f>IF(F1="售价",ROUND(PRODUCT(T47,AB7:AB46),0),ROUND(PRODUCT(T47,AB7:AB46),1))</f>
        <v>110000</v>
      </c>
      <c r="U48" s="3262"/>
      <c r="V48" s="3262">
        <f>IF(F1="售价",ROUND(PRODUCT(V47,AC7:AC46),0),ROUND(PRODUCT(V47,AC7:AC46),1))</f>
        <v>110000</v>
      </c>
      <c r="W48" s="3262"/>
      <c r="X48" s="699"/>
      <c r="Y48" s="699"/>
      <c r="Z48" s="699"/>
      <c r="AA48" s="699"/>
      <c r="AB48" s="699"/>
      <c r="AC48" s="699"/>
    </row>
    <row r="49" spans="1:29" ht="15.75" thickBot="1">
      <c r="A49" s="449" t="s">
        <v>2400</v>
      </c>
      <c r="B49" s="450"/>
      <c r="C49" s="1324">
        <f>R49</f>
        <v>110000</v>
      </c>
      <c r="D49" s="1325"/>
      <c r="E49" s="1325"/>
      <c r="F49" s="1325"/>
      <c r="G49" s="1325"/>
      <c r="H49" s="1325"/>
      <c r="I49" s="1325"/>
      <c r="J49" s="1325"/>
      <c r="K49" s="2101"/>
      <c r="L49" s="2953"/>
      <c r="M49" s="2954"/>
      <c r="N49" s="2954"/>
      <c r="O49" s="2954"/>
      <c r="P49" s="3258" t="str">
        <f>A49</f>
        <v>估价对象XX用房的比较价值（楼面单价，元/平方米）</v>
      </c>
      <c r="Q49" s="3259"/>
      <c r="R49" s="3260">
        <f>IF(F1="售价",ROUND(IF(D48="简单平均",AVERAGE(R48:V48),R48*F48+T48*H48+V48*J48),0),ROUND(IF(D48="简单平均",AVERAGE(R48:V48),R48*F48+T48*H48+V48*J48),1))</f>
        <v>110000</v>
      </c>
      <c r="S49" s="3260"/>
      <c r="T49" s="3260"/>
      <c r="U49" s="3260"/>
      <c r="V49" s="3260"/>
      <c r="W49" s="326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59"/>
      <c r="L52" s="2955"/>
      <c r="M52" s="2954"/>
      <c r="N52" s="2954"/>
      <c r="O52" s="2954"/>
    </row>
    <row r="53" spans="1:29" ht="13.5" customHeight="1">
      <c r="A53" s="2954"/>
      <c r="B53" s="2954"/>
      <c r="C53" s="454" t="s">
        <v>2402</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59"/>
      <c r="L53" s="2955"/>
      <c r="M53" s="2954"/>
      <c r="N53" s="2954"/>
      <c r="O53" s="2954"/>
    </row>
    <row r="54" spans="1:29" s="459" customFormat="1" ht="13.5" customHeight="1">
      <c r="A54" s="2957"/>
      <c r="B54" s="2957"/>
      <c r="C54" s="454" t="s">
        <v>2403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v>0</v>
      </c>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0(含)-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v>0</v>
      </c>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v>100</v>
      </c>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8549</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6275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113</v>
      </c>
      <c r="D9" s="954">
        <f ca="1">IF(B1="",'数据-汇总表'!E5,IF(INDIRECT("'数据-取费表'!c"&amp;$G$1)="住宅",INDIRECT("'数据-取费表'!k"&amp;$G$1),0))</f>
        <v>13623.56239999999</v>
      </c>
      <c r="E9" s="231">
        <f>'数据-取费表'!B27</f>
        <v>83</v>
      </c>
      <c r="F9" s="227"/>
      <c r="G9" s="2043"/>
      <c r="H9" s="1299"/>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83</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272</v>
      </c>
      <c r="D19" s="958">
        <f ca="1">D9+D10</f>
        <v>13623.56239999999</v>
      </c>
      <c r="E19" s="217">
        <f>'数据-取费表'!B31</f>
        <v>200</v>
      </c>
      <c r="F19" s="237"/>
      <c r="G19" s="2042"/>
    </row>
    <row r="20" spans="1:7" s="220" customFormat="1" ht="13.5" customHeight="1">
      <c r="A20" s="261" t="s">
        <v>2179</v>
      </c>
      <c r="B20" s="216" t="s">
        <v>2180</v>
      </c>
      <c r="C20" s="238">
        <f ca="1">ROUND((C5+C19)*F20,0)</f>
        <v>5</v>
      </c>
      <c r="D20" s="238"/>
      <c r="E20" s="238"/>
      <c r="F20" s="239">
        <f>'数据-取费表'!B37</f>
        <v>0.02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21</v>
      </c>
      <c r="D22" s="241">
        <f ca="1">C26</f>
        <v>1E-3</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21</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42</v>
      </c>
      <c r="D27" s="241">
        <f ca="1">C29</f>
        <v>3.8E-3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42</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371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7731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6812</v>
      </c>
      <c r="D34" s="223"/>
      <c r="E34" s="226"/>
      <c r="F34" s="263">
        <f ca="1">IF('数据-取费表'!B24=0,1,IF(B1="",'数据-取费表'!N16,INDIRECT("'数据-取费表'!n"&amp;$G$1)))</f>
        <v>1</v>
      </c>
      <c r="G34" s="225" t="s">
        <v>2212</v>
      </c>
    </row>
    <row r="35" spans="1:7" ht="13.5" customHeight="1">
      <c r="A35" s="888" t="s">
        <v>796</v>
      </c>
      <c r="B35" s="221" t="s">
        <v>2213</v>
      </c>
      <c r="C35" s="226">
        <f ca="1">ROUND(C34*F35,0)</f>
        <v>204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341</v>
      </c>
      <c r="D36" s="226"/>
      <c r="E36" s="226"/>
      <c r="F36" s="265">
        <f>'数据-取费表'!B34</f>
        <v>0.05</v>
      </c>
      <c r="G36" s="266" t="s">
        <v>2216</v>
      </c>
    </row>
    <row r="37" spans="1:7" s="264" customFormat="1" ht="13.5" customHeight="1">
      <c r="A37" s="888" t="s">
        <v>798</v>
      </c>
      <c r="B37" s="221" t="s">
        <v>2217</v>
      </c>
      <c r="C37" s="255">
        <f ca="1">ROUND(E37*D37*F34/10000,0)</f>
        <v>272</v>
      </c>
      <c r="D37" s="223">
        <f ca="1">D19</f>
        <v>13623.56239999999</v>
      </c>
      <c r="E37" s="255">
        <f>'数据-取费表'!B35</f>
        <v>200</v>
      </c>
      <c r="F37" s="265"/>
      <c r="G37" s="267" t="s">
        <v>2218</v>
      </c>
    </row>
    <row r="38" spans="1:7" ht="13.5" customHeight="1">
      <c r="A38" s="888" t="s">
        <v>799</v>
      </c>
      <c r="B38" s="221" t="s">
        <v>2219</v>
      </c>
      <c r="C38" s="226">
        <f ca="1">ROUND(C34*F38,0)</f>
        <v>102</v>
      </c>
      <c r="D38" s="226"/>
      <c r="E38" s="226"/>
      <c r="F38" s="265">
        <f>'数据-取费表'!B36</f>
        <v>1.4999999999999999E-2</v>
      </c>
      <c r="G38" s="225" t="s">
        <v>2214</v>
      </c>
    </row>
    <row r="39" spans="1:7" s="220" customFormat="1" ht="13.5" customHeight="1">
      <c r="A39" s="261" t="s">
        <v>2220</v>
      </c>
      <c r="B39" s="216" t="s">
        <v>2221</v>
      </c>
      <c r="C39" s="238">
        <f ca="1">ROUND(C33*F20,0)</f>
        <v>155</v>
      </c>
      <c r="D39" s="238"/>
      <c r="E39" s="238"/>
      <c r="F39" s="2535">
        <f>F20</f>
        <v>0.02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304</v>
      </c>
      <c r="D41" s="241">
        <f ca="1">C44</f>
        <v>1E-3</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298</v>
      </c>
      <c r="D42" s="244"/>
      <c r="E42" s="244"/>
      <c r="F42" s="245"/>
      <c r="G42" s="3304" t="s">
        <v>2230</v>
      </c>
    </row>
    <row r="43" spans="1:7" ht="13.5" customHeight="1">
      <c r="A43" s="888" t="s">
        <v>792</v>
      </c>
      <c r="B43" s="221" t="s">
        <v>2231</v>
      </c>
      <c r="C43" s="244">
        <f ca="1">ROUND(IF('数据-取费表'!B22&lt;=1,C39*F22*'数据-取费表'!B21/2,C39*(POWER((1+F22),'数据-取费表'!B21/2)-1)),0)</f>
        <v>6</v>
      </c>
      <c r="D43" s="244"/>
      <c r="E43" s="244"/>
      <c r="F43" s="245"/>
      <c r="G43" s="3305"/>
    </row>
    <row r="44" spans="1:7" ht="13.5" customHeight="1">
      <c r="A44" s="888" t="s">
        <v>793</v>
      </c>
      <c r="B44" s="221" t="s">
        <v>2232</v>
      </c>
      <c r="C44" s="244">
        <f ca="1">ROUND(IF('数据-取费表'!B22&lt;=1,C40*F22*'数据-取费表'!B21/2,C40*(POWER((1+F22),'数据-取费表'!B21/2)-1)),4)</f>
        <v>1E-3</v>
      </c>
      <c r="D44" s="244"/>
      <c r="E44" s="244"/>
      <c r="F44" s="245"/>
      <c r="G44" s="3306"/>
    </row>
    <row r="45" spans="1:7" s="220" customFormat="1" ht="13.5" customHeight="1">
      <c r="A45" s="261" t="s">
        <v>2233</v>
      </c>
      <c r="B45" s="250" t="s">
        <v>2199</v>
      </c>
      <c r="C45" s="251">
        <f ca="1">C46</f>
        <v>1183</v>
      </c>
      <c r="D45" s="241">
        <f ca="1">C47</f>
        <v>3.8E-3</v>
      </c>
      <c r="E45" s="242" t="s">
        <v>2225</v>
      </c>
      <c r="F45" s="2537">
        <f ca="1">F27</f>
        <v>0.15</v>
      </c>
      <c r="G45" s="253" t="s">
        <v>2234</v>
      </c>
    </row>
    <row r="46" spans="1:7" s="220" customFormat="1" ht="13.5" customHeight="1">
      <c r="A46" s="888" t="s">
        <v>791</v>
      </c>
      <c r="B46" s="254" t="s">
        <v>2235</v>
      </c>
      <c r="C46" s="255">
        <f ca="1">ROUND((C33+C39)*F27,0)</f>
        <v>1183</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10222</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8178</v>
      </c>
      <c r="D51" s="238"/>
      <c r="E51" s="238"/>
      <c r="F51" s="270"/>
      <c r="G51" s="240" t="s">
        <v>2246</v>
      </c>
    </row>
    <row r="52" spans="1:7" s="214" customFormat="1" ht="16.5" thickBot="1">
      <c r="A52" s="271" t="s">
        <v>2247</v>
      </c>
      <c r="B52" s="272"/>
      <c r="C52" s="273">
        <f ca="1">C31+C51</f>
        <v>8549</v>
      </c>
      <c r="D52" s="272"/>
      <c r="E52" s="272"/>
      <c r="F52" s="272"/>
      <c r="G52" s="274"/>
    </row>
    <row r="55" spans="1:7" ht="15">
      <c r="B55" s="276" t="s">
        <v>2248</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8704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6389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1130756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1130756</v>
      </c>
      <c r="D8" s="228"/>
      <c r="E8" s="226"/>
      <c r="F8" s="227"/>
      <c r="G8" s="2042"/>
    </row>
    <row r="9" spans="1:8" s="220" customFormat="1" ht="13.5" customHeight="1">
      <c r="A9" s="887" t="s">
        <v>800</v>
      </c>
      <c r="B9" s="230" t="s">
        <v>2164</v>
      </c>
      <c r="C9" s="231">
        <f ca="1">ROUND(D9*E9,0)</f>
        <v>1130756</v>
      </c>
      <c r="D9" s="954">
        <f ca="1">IF(B1="",'数据-汇总表'!E5,IF(INDIRECT("'数据-取费表'!c"&amp;$G$1)="住宅",INDIRECT("'数据-取费表'!k"&amp;$G$1),0))</f>
        <v>13623.56239999999</v>
      </c>
      <c r="E9" s="231">
        <f>'数据-取费表'!B27</f>
        <v>83</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83</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2724712</v>
      </c>
      <c r="D19" s="958">
        <f ca="1">D9+D10</f>
        <v>13623.56239999999</v>
      </c>
      <c r="E19" s="217">
        <f>'数据-取费表'!B31</f>
        <v>200</v>
      </c>
      <c r="F19" s="237"/>
      <c r="G19" s="2042"/>
    </row>
    <row r="20" spans="1:7" s="220" customFormat="1" ht="13.5" customHeight="1">
      <c r="A20" s="261" t="s">
        <v>2260</v>
      </c>
      <c r="B20" s="216" t="s">
        <v>2261</v>
      </c>
      <c r="C20" s="238">
        <f ca="1">ROUND((C5+C19)*F20,0)</f>
        <v>77109</v>
      </c>
      <c r="D20" s="238"/>
      <c r="E20" s="238"/>
      <c r="F20" s="239">
        <f>'数据-取费表'!B37</f>
        <v>0.02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305555</v>
      </c>
      <c r="D22" s="241">
        <f ca="1">C26</f>
        <v>1E-3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88744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213842</v>
      </c>
      <c r="D24" s="244"/>
      <c r="E24" s="244"/>
      <c r="F24" s="245"/>
      <c r="G24" s="246" t="s">
        <v>2272</v>
      </c>
    </row>
    <row r="25" spans="1:7" s="220" customFormat="1" ht="24">
      <c r="A25" s="888" t="s">
        <v>2162</v>
      </c>
      <c r="B25" s="221" t="s">
        <v>2273</v>
      </c>
      <c r="C25" s="1290">
        <f ca="1">ROUND(IF('数据-取费表'!B22&lt;=1,C20*F22*'数据-取费表'!B22/2,C20*(POWER((1+F22),'数据-取费表'!B22/2)-1)),0)</f>
        <v>2969</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589887</v>
      </c>
      <c r="D27" s="241">
        <f ca="1">C29</f>
        <v>3.8E-3</v>
      </c>
      <c r="E27" s="242" t="s">
        <v>2200</v>
      </c>
      <c r="F27" s="252">
        <f ca="1">IF(B1="",'数据-取费表'!Q16,INDIRECT("'数据-取费表'!q"&amp;$G$1))</f>
        <v>0.15</v>
      </c>
      <c r="G27" s="253" t="s">
        <v>2201</v>
      </c>
    </row>
    <row r="28" spans="1:7" s="220" customFormat="1" ht="13.5" customHeight="1">
      <c r="A28" s="888" t="s">
        <v>791</v>
      </c>
      <c r="B28" s="254" t="s">
        <v>2202</v>
      </c>
      <c r="C28" s="255">
        <f ca="1">ROUND((C5+C19+C20)*F27,0)</f>
        <v>589887</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5265589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77313716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68117812</v>
      </c>
      <c r="D34" s="223"/>
      <c r="E34" s="226"/>
      <c r="F34" s="263"/>
      <c r="G34" s="225"/>
    </row>
    <row r="35" spans="1:7" ht="13.5" customHeight="1">
      <c r="A35" s="888" t="s">
        <v>796</v>
      </c>
      <c r="B35" s="221" t="s">
        <v>2213</v>
      </c>
      <c r="C35" s="226">
        <f ca="1">ROUND(C34*F35,0)</f>
        <v>2043534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3405891</v>
      </c>
      <c r="D36" s="226"/>
      <c r="E36" s="226"/>
      <c r="F36" s="265">
        <f>'数据-取费表'!B34</f>
        <v>0.05</v>
      </c>
      <c r="G36" s="266" t="s">
        <v>2216</v>
      </c>
    </row>
    <row r="37" spans="1:7" s="264" customFormat="1" ht="13.5" customHeight="1">
      <c r="A37" s="888" t="s">
        <v>798</v>
      </c>
      <c r="B37" s="221" t="s">
        <v>2217</v>
      </c>
      <c r="C37" s="255">
        <f ca="1">ROUND(E37*D37,0)</f>
        <v>2724712</v>
      </c>
      <c r="D37" s="223">
        <f ca="1">D19</f>
        <v>13623.56239999999</v>
      </c>
      <c r="E37" s="255">
        <f>'数据-取费表'!B35</f>
        <v>200</v>
      </c>
      <c r="F37" s="265"/>
      <c r="G37" s="267"/>
    </row>
    <row r="38" spans="1:7" ht="13.5" customHeight="1">
      <c r="A38" s="888" t="s">
        <v>799</v>
      </c>
      <c r="B38" s="221" t="s">
        <v>2219</v>
      </c>
      <c r="C38" s="226">
        <f ca="1">ROUND(C34*F38,0)</f>
        <v>1021767</v>
      </c>
      <c r="D38" s="226"/>
      <c r="E38" s="226"/>
      <c r="F38" s="265">
        <f>'数据-取费表'!B36</f>
        <v>1.4999999999999999E-2</v>
      </c>
      <c r="G38" s="225" t="s">
        <v>2214</v>
      </c>
    </row>
    <row r="39" spans="1:7" s="220" customFormat="1" ht="13.5" customHeight="1">
      <c r="A39" s="261" t="s">
        <v>2220</v>
      </c>
      <c r="B39" s="216" t="s">
        <v>2221</v>
      </c>
      <c r="C39" s="238">
        <f ca="1">ROUND(C33*F20,0)</f>
        <v>1546274</v>
      </c>
      <c r="D39" s="238"/>
      <c r="E39" s="238"/>
      <c r="F39" s="2535">
        <f>F20</f>
        <v>0.02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3036110</v>
      </c>
      <c r="D41" s="241">
        <f ca="1">C44</f>
        <v>1E-3</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2976578</v>
      </c>
      <c r="D42" s="244"/>
      <c r="E42" s="244"/>
      <c r="F42" s="245"/>
      <c r="G42" s="3304" t="s">
        <v>2277</v>
      </c>
    </row>
    <row r="43" spans="1:7" ht="13.5" customHeight="1">
      <c r="A43" s="888" t="s">
        <v>792</v>
      </c>
      <c r="B43" s="221" t="s">
        <v>2231</v>
      </c>
      <c r="C43" s="244">
        <f ca="1">ROUND(IF('数据-取费表'!B22&lt;=1,C39*F22*'数据-取费表'!B20/2,C39*(POWER((1+F22),'数据-取费表'!B20/2)-1)),0)</f>
        <v>59532</v>
      </c>
      <c r="D43" s="244"/>
      <c r="E43" s="244"/>
      <c r="F43" s="245"/>
      <c r="G43" s="3305"/>
    </row>
    <row r="44" spans="1:7" ht="13.5" customHeight="1">
      <c r="A44" s="888" t="s">
        <v>793</v>
      </c>
      <c r="B44" s="221" t="s">
        <v>2232</v>
      </c>
      <c r="C44" s="244">
        <f ca="1">ROUND(IF('数据-取费表'!B22&lt;=1,C40*F22*'数据-取费表'!B20/2,C40*(POWER((1+F22),'数据-取费表'!B20/2)-1)),4)</f>
        <v>1E-3</v>
      </c>
      <c r="D44" s="244"/>
      <c r="E44" s="244"/>
      <c r="F44" s="245"/>
      <c r="G44" s="3306"/>
    </row>
    <row r="45" spans="1:7" s="220" customFormat="1" ht="13.5" customHeight="1">
      <c r="A45" s="261" t="s">
        <v>2233</v>
      </c>
      <c r="B45" s="250" t="s">
        <v>2199</v>
      </c>
      <c r="C45" s="251">
        <f ca="1">C46</f>
        <v>11828999</v>
      </c>
      <c r="D45" s="241">
        <f ca="1">C47</f>
        <v>3.8E-3</v>
      </c>
      <c r="E45" s="242" t="s">
        <v>2225</v>
      </c>
      <c r="F45" s="2537">
        <f ca="1">F27</f>
        <v>0.15</v>
      </c>
      <c r="G45" s="253" t="s">
        <v>2234</v>
      </c>
    </row>
    <row r="46" spans="1:7" s="220" customFormat="1" ht="13.5" customHeight="1">
      <c r="A46" s="888" t="s">
        <v>791</v>
      </c>
      <c r="B46" s="254" t="s">
        <v>2235</v>
      </c>
      <c r="C46" s="255">
        <f ca="1">ROUND((C33+C39)*F27,0)</f>
        <v>11828999</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102219543</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81775634</v>
      </c>
      <c r="D51" s="238"/>
      <c r="E51" s="238"/>
      <c r="F51" s="270"/>
      <c r="G51" s="240" t="s">
        <v>2246</v>
      </c>
    </row>
    <row r="52" spans="1:7" s="214" customFormat="1" ht="16.5" thickBot="1">
      <c r="A52" s="271" t="s">
        <v>2247</v>
      </c>
      <c r="B52" s="272"/>
      <c r="C52" s="273">
        <f ca="1">C31+C51</f>
        <v>87041223</v>
      </c>
      <c r="D52" s="272"/>
      <c r="E52" s="272"/>
      <c r="F52" s="272"/>
      <c r="G52" s="274"/>
    </row>
    <row r="55" spans="1:7" ht="15">
      <c r="B55" s="276" t="s">
        <v>2248</v>
      </c>
      <c r="C55" s="277"/>
    </row>
    <row r="56" spans="1:7">
      <c r="B56" s="279" t="s">
        <v>1478</v>
      </c>
      <c r="C56" s="281">
        <f ca="1">1-C57</f>
        <v>6.0000000000000053E-2</v>
      </c>
    </row>
    <row r="57" spans="1:7">
      <c r="B57" s="279" t="s">
        <v>1479</v>
      </c>
      <c r="C57" s="280">
        <f ca="1">ROUND(C51/C52,3)</f>
        <v>0.94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-128</v>
      </c>
      <c r="C2" s="282" t="s">
        <v>2281</v>
      </c>
      <c r="D2" s="282"/>
      <c r="E2" s="3037"/>
      <c r="F2" s="3037"/>
      <c r="G2" s="3037"/>
      <c r="H2" s="3037"/>
      <c r="I2" s="3037"/>
      <c r="J2" s="3037"/>
      <c r="K2" s="3037"/>
    </row>
    <row r="3" spans="1:33" ht="18" customHeight="1" thickBot="1">
      <c r="A3" s="209" t="s">
        <v>2150</v>
      </c>
      <c r="B3" s="210">
        <f ca="1">ROUND(B2*10000/IF(C1="",'数据-汇总表'!E3,INDIRECT("'数据-取费表'!K"&amp;$K$1)),0)</f>
        <v>-94</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13623.56239999999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13623.56239999999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113</v>
      </c>
      <c r="D18" s="955"/>
      <c r="E18" s="24"/>
      <c r="F18" s="913"/>
      <c r="G18" s="2048"/>
      <c r="H18" s="1349"/>
      <c r="I18" s="2049" t="s">
        <v>2314</v>
      </c>
      <c r="J18" s="916"/>
      <c r="K18" s="917"/>
    </row>
    <row r="19" spans="1:33" s="912" customFormat="1" ht="13.5" customHeight="1">
      <c r="A19" s="908" t="s">
        <v>805</v>
      </c>
      <c r="B19" s="909" t="s">
        <v>2315</v>
      </c>
      <c r="C19" s="24">
        <f ca="1">ROUND(D19*E19/10000,0)</f>
        <v>113</v>
      </c>
      <c r="D19" s="955">
        <f ca="1">IF(C1="",'数据-汇总表'!E5,IF(INDIRECT("'数据-取费表'!c"&amp;$K$1)="住宅",INDIRECT("'数据-取费表'!k"&amp;$K$1),0))</f>
        <v>13623.56239999999</v>
      </c>
      <c r="E19" s="24">
        <f>'数据-取费表'!B27</f>
        <v>83</v>
      </c>
      <c r="F19" s="913"/>
      <c r="G19" s="15"/>
      <c r="H19" s="1351"/>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83</v>
      </c>
      <c r="F20" s="913"/>
      <c r="G20" s="15"/>
      <c r="H20" s="918"/>
      <c r="I20" s="918"/>
      <c r="J20" s="918"/>
      <c r="K20" s="919"/>
    </row>
    <row r="21" spans="1:33" s="912" customFormat="1" ht="13.5" customHeight="1">
      <c r="A21" s="898" t="s">
        <v>802</v>
      </c>
      <c r="B21" s="922" t="s">
        <v>2317</v>
      </c>
      <c r="C21" s="923">
        <f ca="1">C16+C17+C18</f>
        <v>113</v>
      </c>
      <c r="D21" s="924"/>
      <c r="E21" s="287"/>
      <c r="F21" s="287"/>
      <c r="G21" s="136" t="s">
        <v>2318</v>
      </c>
      <c r="H21" s="916"/>
      <c r="I21" s="916"/>
      <c r="J21" s="916"/>
      <c r="K21" s="917"/>
    </row>
    <row r="22" spans="1:33" s="912" customFormat="1" ht="13.5" customHeight="1">
      <c r="A22" s="898" t="s">
        <v>2290</v>
      </c>
      <c r="B22" s="922" t="s">
        <v>2319</v>
      </c>
      <c r="C22" s="923">
        <f ca="1">ROUND(C21*F22,0)</f>
        <v>2</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17</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17</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-128</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7" t="s">
        <v>1368</v>
      </c>
      <c r="C6" s="1206">
        <f ca="1">ROUND(F6*F8*F7*(1-F9),0)</f>
        <v>0</v>
      </c>
      <c r="D6" s="160" t="s">
        <v>2848</v>
      </c>
      <c r="E6" s="308" t="s">
        <v>1370</v>
      </c>
      <c r="F6" s="309">
        <f ca="1">INDIRECT("'数据-取费表'!u"&amp;$G$1)</f>
        <v>0</v>
      </c>
      <c r="G6" s="1568"/>
      <c r="H6" s="1201" t="s">
        <v>1003</v>
      </c>
      <c r="I6" s="3307" t="s">
        <v>1368</v>
      </c>
      <c r="J6" s="307">
        <f ca="1">ROUND(M6*M8*M7*(1-M9),0)</f>
        <v>0</v>
      </c>
      <c r="K6" s="1560" t="s">
        <v>2849</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0</v>
      </c>
      <c r="G7" s="1568"/>
      <c r="H7" s="310"/>
      <c r="I7" s="3308"/>
      <c r="J7" s="312"/>
      <c r="K7" s="313"/>
      <c r="L7" s="308" t="s">
        <v>1371</v>
      </c>
      <c r="M7" s="309">
        <f ca="1">F7</f>
        <v>0</v>
      </c>
    </row>
    <row r="8" spans="1:37" ht="18" customHeight="1">
      <c r="A8" s="310"/>
      <c r="B8" s="3308"/>
      <c r="C8" s="312"/>
      <c r="D8" s="313"/>
      <c r="E8" s="308" t="s">
        <v>1372</v>
      </c>
      <c r="F8" s="309">
        <f ca="1">INDIRECT("'数据-取费表'!ai"&amp;$G$1)</f>
        <v>0</v>
      </c>
      <c r="G8" s="1568"/>
      <c r="H8" s="310"/>
      <c r="I8" s="3308"/>
      <c r="J8" s="312"/>
      <c r="K8" s="313"/>
      <c r="L8" s="308" t="s">
        <v>1372</v>
      </c>
      <c r="M8" s="309">
        <f ca="1">INDIRECT("'数据-取费表'!ai"&amp;$G$1)</f>
        <v>0</v>
      </c>
    </row>
    <row r="9" spans="1:37" ht="18" customHeight="1">
      <c r="A9" s="310"/>
      <c r="B9" s="3309"/>
      <c r="C9" s="312"/>
      <c r="D9" s="313"/>
      <c r="E9" s="308" t="s">
        <v>1373</v>
      </c>
      <c r="F9" s="318">
        <f ca="1">INDIRECT("'数据-取费表'!w"&amp;$G$1)</f>
        <v>0</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3049</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10" t="s">
        <v>1513</v>
      </c>
      <c r="L53" s="331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52269</v>
      </c>
      <c r="C2" s="2058" t="s">
        <v>2340</v>
      </c>
      <c r="D2" s="2059" t="s">
        <v>2341</v>
      </c>
      <c r="E2" s="2833">
        <f>SUM(E6:E13)</f>
        <v>13623.56239999999</v>
      </c>
      <c r="F2" s="2936"/>
      <c r="G2" s="1674"/>
      <c r="H2" s="1674"/>
      <c r="I2" s="1674"/>
      <c r="J2" s="1674"/>
      <c r="K2" s="1674"/>
      <c r="L2" s="1674"/>
      <c r="M2" s="1674"/>
      <c r="N2" s="1674"/>
      <c r="O2" s="1674"/>
      <c r="P2" s="1674"/>
      <c r="Q2" s="1674"/>
      <c r="R2" s="1674"/>
      <c r="S2" s="1674"/>
    </row>
    <row r="3" spans="1:22" ht="15.75">
      <c r="A3" s="2056" t="s">
        <v>1360</v>
      </c>
      <c r="B3" s="2827">
        <f ca="1">ROUND(B2*10000/E2,0)</f>
        <v>38367</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12" t="s">
        <v>2343</v>
      </c>
      <c r="C5" s="3313"/>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52269</v>
      </c>
      <c r="C6" s="2058" t="s">
        <v>2340</v>
      </c>
      <c r="D6" s="2938"/>
      <c r="E6" s="2832">
        <f>IF(OR(A6=0,F6="否"),0,'数据-取费表'!K6+'数据-取费表'!S6)</f>
        <v>13623.56239999999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20" t="s">
        <v>1045</v>
      </c>
      <c r="B2" s="3321" t="s">
        <v>1046</v>
      </c>
      <c r="C2" s="3321"/>
      <c r="D2" s="1211" t="s">
        <v>1047</v>
      </c>
      <c r="E2" s="1211" t="s">
        <v>1048</v>
      </c>
      <c r="F2" s="1211" t="s">
        <v>1049</v>
      </c>
      <c r="G2" s="1211" t="s">
        <v>1050</v>
      </c>
      <c r="H2" s="1211" t="s">
        <v>1051</v>
      </c>
      <c r="I2" s="1212" t="s">
        <v>1052</v>
      </c>
    </row>
    <row r="3" spans="1:9">
      <c r="A3" s="3320"/>
      <c r="B3" s="3321" t="s">
        <v>1053</v>
      </c>
      <c r="C3" s="3321"/>
      <c r="D3" s="1213"/>
      <c r="E3" s="1211"/>
      <c r="F3" s="1214"/>
      <c r="G3" s="1214"/>
      <c r="H3" s="1215"/>
      <c r="I3" s="1216">
        <f>ROUND(D3*E3*F3*G3*H3/10000,0)</f>
        <v>0</v>
      </c>
    </row>
    <row r="4" spans="1:9">
      <c r="A4" s="3320"/>
      <c r="B4" s="3321" t="s">
        <v>1054</v>
      </c>
      <c r="C4" s="3321"/>
      <c r="D4" s="1213"/>
      <c r="E4" s="1211"/>
      <c r="F4" s="1214"/>
      <c r="G4" s="1214"/>
      <c r="H4" s="1215"/>
      <c r="I4" s="1216">
        <f t="shared" ref="I4:I9" si="0">ROUND(D4*E4*F4*G4*H4/10000,0)</f>
        <v>0</v>
      </c>
    </row>
    <row r="5" spans="1:9">
      <c r="A5" s="3320"/>
      <c r="B5" s="3321" t="s">
        <v>1055</v>
      </c>
      <c r="C5" s="3321"/>
      <c r="D5" s="1213"/>
      <c r="E5" s="1211"/>
      <c r="F5" s="1214"/>
      <c r="G5" s="1214"/>
      <c r="H5" s="1215"/>
      <c r="I5" s="1216">
        <f t="shared" si="0"/>
        <v>0</v>
      </c>
    </row>
    <row r="6" spans="1:9">
      <c r="A6" s="3320"/>
      <c r="B6" s="3321" t="s">
        <v>1056</v>
      </c>
      <c r="C6" s="3321"/>
      <c r="D6" s="1213"/>
      <c r="E6" s="1211"/>
      <c r="F6" s="1214"/>
      <c r="G6" s="1214"/>
      <c r="H6" s="1215"/>
      <c r="I6" s="1216">
        <f t="shared" si="0"/>
        <v>0</v>
      </c>
    </row>
    <row r="7" spans="1:9">
      <c r="A7" s="3320"/>
      <c r="B7" s="3321" t="s">
        <v>1057</v>
      </c>
      <c r="C7" s="3321"/>
      <c r="D7" s="1213"/>
      <c r="E7" s="1211"/>
      <c r="F7" s="1214"/>
      <c r="G7" s="1214"/>
      <c r="H7" s="1215"/>
      <c r="I7" s="1216">
        <f t="shared" si="0"/>
        <v>0</v>
      </c>
    </row>
    <row r="8" spans="1:9">
      <c r="A8" s="3320"/>
      <c r="B8" s="3321" t="s">
        <v>1058</v>
      </c>
      <c r="C8" s="3321"/>
      <c r="D8" s="1213"/>
      <c r="E8" s="1211"/>
      <c r="F8" s="1214"/>
      <c r="G8" s="1214"/>
      <c r="H8" s="1215"/>
      <c r="I8" s="1216">
        <f t="shared" si="0"/>
        <v>0</v>
      </c>
    </row>
    <row r="9" spans="1:9">
      <c r="A9" s="3320"/>
      <c r="B9" s="3321" t="s">
        <v>1059</v>
      </c>
      <c r="C9" s="3321"/>
      <c r="D9" s="1213"/>
      <c r="E9" s="1211"/>
      <c r="F9" s="1214"/>
      <c r="G9" s="1214"/>
      <c r="H9" s="1215"/>
      <c r="I9" s="1216">
        <f t="shared" si="0"/>
        <v>0</v>
      </c>
    </row>
    <row r="10" spans="1:9">
      <c r="A10" s="3320"/>
      <c r="B10" s="3322" t="s">
        <v>1060</v>
      </c>
      <c r="C10" s="3322"/>
      <c r="D10" s="1217"/>
      <c r="E10" s="1217" t="e">
        <f>ROUND(D1*10000/D10/H9,0)</f>
        <v>#DIV/0!</v>
      </c>
      <c r="F10" s="1218"/>
      <c r="G10" s="1218"/>
      <c r="H10" s="1219"/>
      <c r="I10" s="1220">
        <f>SUM(I3:I9)</f>
        <v>0</v>
      </c>
    </row>
    <row r="11" spans="1:9" ht="14.25">
      <c r="A11" s="3320" t="s">
        <v>1061</v>
      </c>
      <c r="B11" s="3321" t="s">
        <v>1062</v>
      </c>
      <c r="C11" s="3321"/>
      <c r="D11" s="1213" t="s">
        <v>1063</v>
      </c>
      <c r="E11" s="1213" t="s">
        <v>1064</v>
      </c>
      <c r="F11" s="1214" t="s">
        <v>1065</v>
      </c>
      <c r="G11" s="1214" t="s">
        <v>1051</v>
      </c>
      <c r="H11" s="1221" t="s">
        <v>1066</v>
      </c>
      <c r="I11" s="1212" t="s">
        <v>1052</v>
      </c>
    </row>
    <row r="12" spans="1:9">
      <c r="A12" s="3320"/>
      <c r="B12" s="3321" t="s">
        <v>1067</v>
      </c>
      <c r="C12" s="3321"/>
      <c r="D12" s="1213"/>
      <c r="E12" s="1213"/>
      <c r="F12" s="1214"/>
      <c r="G12" s="1215"/>
      <c r="H12" s="1222"/>
      <c r="I12" s="1212">
        <f>ROUND(D12*E12*F12*G12/10000,0)</f>
        <v>0</v>
      </c>
    </row>
    <row r="13" spans="1:9">
      <c r="A13" s="3320"/>
      <c r="B13" s="3321" t="s">
        <v>1068</v>
      </c>
      <c r="C13" s="3321"/>
      <c r="D13" s="1213"/>
      <c r="E13" s="1213"/>
      <c r="F13" s="1214"/>
      <c r="G13" s="1215"/>
      <c r="H13" s="1222"/>
      <c r="I13" s="1212">
        <f>ROUND(D13*E13*F13*G13/10000,0)</f>
        <v>0</v>
      </c>
    </row>
    <row r="14" spans="1:9">
      <c r="A14" s="3320"/>
      <c r="B14" s="3321" t="s">
        <v>1069</v>
      </c>
      <c r="C14" s="3321"/>
      <c r="D14" s="1213"/>
      <c r="E14" s="1213"/>
      <c r="F14" s="1214"/>
      <c r="G14" s="1215"/>
      <c r="H14" s="1222"/>
      <c r="I14" s="1212">
        <f>ROUND(D14*E14*F14*G14/10000,0)</f>
        <v>0</v>
      </c>
    </row>
    <row r="15" spans="1:9">
      <c r="A15" s="3320"/>
      <c r="B15" s="3322" t="s">
        <v>1060</v>
      </c>
      <c r="C15" s="3322"/>
      <c r="D15" s="1217"/>
      <c r="E15" s="1217">
        <f>SUM(E12:E14)</f>
        <v>0</v>
      </c>
      <c r="F15" s="1218"/>
      <c r="G15" s="1215"/>
      <c r="H15" s="1222"/>
      <c r="I15" s="1223">
        <f>SUM(I12:I14)</f>
        <v>0</v>
      </c>
    </row>
    <row r="16" spans="1:9" ht="24">
      <c r="A16" s="3320" t="s">
        <v>1070</v>
      </c>
      <c r="B16" s="3321" t="s">
        <v>1071</v>
      </c>
      <c r="C16" s="3321"/>
      <c r="D16" s="1213" t="s">
        <v>1047</v>
      </c>
      <c r="E16" s="1224" t="s">
        <v>1072</v>
      </c>
      <c r="F16" s="1214" t="s">
        <v>1073</v>
      </c>
      <c r="G16" s="1215" t="s">
        <v>1051</v>
      </c>
      <c r="H16" s="1221" t="s">
        <v>1066</v>
      </c>
      <c r="I16" s="1212" t="s">
        <v>1052</v>
      </c>
    </row>
    <row r="17" spans="1:9" ht="14.25">
      <c r="A17" s="3320"/>
      <c r="B17" s="3321" t="s">
        <v>1074</v>
      </c>
      <c r="C17" s="3321"/>
      <c r="D17" s="1213"/>
      <c r="E17" s="1213"/>
      <c r="F17" s="1214"/>
      <c r="G17" s="1215"/>
      <c r="H17" s="1225"/>
      <c r="I17" s="1226">
        <f>ROUND(D17*E17*F17*G17/10000,0)</f>
        <v>0</v>
      </c>
    </row>
    <row r="18" spans="1:9" ht="14.25">
      <c r="A18" s="3320"/>
      <c r="B18" s="3321" t="s">
        <v>1075</v>
      </c>
      <c r="C18" s="3321"/>
      <c r="D18" s="1213"/>
      <c r="E18" s="1213"/>
      <c r="F18" s="1214"/>
      <c r="G18" s="1215"/>
      <c r="H18" s="1225"/>
      <c r="I18" s="1226">
        <f>ROUND(D18*E18*F18*G18/10000,0)</f>
        <v>0</v>
      </c>
    </row>
    <row r="19" spans="1:9" ht="14.25">
      <c r="A19" s="3320"/>
      <c r="B19" s="3321" t="s">
        <v>1076</v>
      </c>
      <c r="C19" s="3321"/>
      <c r="D19" s="1213"/>
      <c r="E19" s="1213"/>
      <c r="F19" s="1214"/>
      <c r="G19" s="1215"/>
      <c r="H19" s="1225"/>
      <c r="I19" s="1226">
        <f>ROUND(D19*E19*F19*G19/10000,0)</f>
        <v>0</v>
      </c>
    </row>
    <row r="20" spans="1:9">
      <c r="A20" s="3320"/>
      <c r="B20" s="3322" t="s">
        <v>1060</v>
      </c>
      <c r="C20" s="3322"/>
      <c r="D20" s="1217">
        <f>SUM(D17:D19)</f>
        <v>0</v>
      </c>
      <c r="E20" s="1217"/>
      <c r="F20" s="1218"/>
      <c r="G20" s="1215"/>
      <c r="H20" s="1222"/>
      <c r="I20" s="1223">
        <f>SUM(I17:I19)</f>
        <v>0</v>
      </c>
    </row>
    <row r="21" spans="1:9">
      <c r="A21" s="3320" t="s">
        <v>1077</v>
      </c>
      <c r="B21" s="3323"/>
      <c r="C21" s="3323"/>
      <c r="D21" s="3323"/>
      <c r="E21" s="3323"/>
      <c r="F21" s="3323"/>
      <c r="G21" s="3323"/>
      <c r="H21" s="1502">
        <v>0.1</v>
      </c>
      <c r="I21" s="1220">
        <f>ROUND(I10*H21,0)</f>
        <v>0</v>
      </c>
    </row>
    <row r="22" spans="1:9" ht="14.25">
      <c r="A22" s="3324" t="s">
        <v>1078</v>
      </c>
      <c r="B22" s="3325"/>
      <c r="C22" s="3326"/>
      <c r="D22" s="1227" t="s">
        <v>1079</v>
      </c>
      <c r="E22" s="1227" t="s">
        <v>1080</v>
      </c>
      <c r="F22" s="1228" t="s">
        <v>1081</v>
      </c>
      <c r="G22" s="1228" t="s">
        <v>1082</v>
      </c>
      <c r="H22" s="1221" t="s">
        <v>1083</v>
      </c>
      <c r="I22" s="1212" t="s">
        <v>1084</v>
      </c>
    </row>
    <row r="23" spans="1:9" ht="14.25" thickBot="1">
      <c r="A23" s="3327"/>
      <c r="B23" s="3328"/>
      <c r="C23" s="3329"/>
      <c r="D23" s="1229"/>
      <c r="E23" s="1229"/>
      <c r="F23" s="1229"/>
      <c r="G23" s="1230"/>
      <c r="H23" s="1231"/>
      <c r="I23" s="1232">
        <f>ROUND(E23*D23*F23*(1-G23)/10000,0)</f>
        <v>0</v>
      </c>
    </row>
    <row r="26" spans="1:9">
      <c r="A26" s="1233" t="s">
        <v>1085</v>
      </c>
      <c r="B26" s="1233"/>
      <c r="C26" s="1233"/>
      <c r="D26" s="1233"/>
      <c r="E26" s="3317">
        <f>C27-C30-C31-C32</f>
        <v>0</v>
      </c>
      <c r="F26" s="3317"/>
      <c r="G26" s="3317"/>
      <c r="H26" s="1499" t="s">
        <v>1306</v>
      </c>
    </row>
    <row r="27" spans="1:9">
      <c r="A27" s="1234">
        <v>1</v>
      </c>
      <c r="B27" s="1235" t="s">
        <v>1086</v>
      </c>
      <c r="C27" s="1235">
        <f>C28+C29</f>
        <v>0</v>
      </c>
      <c r="D27" s="1235"/>
      <c r="E27" s="3318"/>
      <c r="F27" s="3318"/>
      <c r="G27" s="3318"/>
    </row>
    <row r="28" spans="1:9">
      <c r="A28" s="1236" t="s">
        <v>1087</v>
      </c>
      <c r="B28" s="1235" t="s">
        <v>1088</v>
      </c>
      <c r="C28" s="1235"/>
      <c r="D28" s="1235"/>
      <c r="E28" s="3318"/>
      <c r="F28" s="3318"/>
      <c r="G28" s="331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9"/>
      <c r="F32" s="3319"/>
      <c r="G32" s="3319"/>
    </row>
    <row r="33" spans="1:7" hidden="1">
      <c r="A33" s="3314" t="s">
        <v>1097</v>
      </c>
      <c r="B33" s="3315"/>
      <c r="C33" s="3315"/>
      <c r="D33" s="3316"/>
      <c r="E33" s="3317"/>
      <c r="F33" s="3317"/>
      <c r="G33" s="3317"/>
    </row>
    <row r="34" spans="1:7" hidden="1">
      <c r="A34" s="1238">
        <v>1</v>
      </c>
      <c r="B34" s="1235" t="s">
        <v>1098</v>
      </c>
      <c r="C34" s="1235"/>
      <c r="D34" s="1235"/>
      <c r="E34" s="3318"/>
      <c r="F34" s="3318"/>
      <c r="G34" s="3318"/>
    </row>
    <row r="35" spans="1:7" hidden="1">
      <c r="A35" s="1238">
        <v>2</v>
      </c>
      <c r="B35" s="1235" t="s">
        <v>1099</v>
      </c>
      <c r="C35" s="1235"/>
      <c r="D35" s="1235"/>
      <c r="E35" s="3318"/>
      <c r="F35" s="3318"/>
      <c r="G35" s="3318"/>
    </row>
    <row r="36" spans="1:7" hidden="1">
      <c r="A36" s="1238">
        <v>3</v>
      </c>
      <c r="B36" s="1235" t="s">
        <v>1100</v>
      </c>
      <c r="C36" s="1235"/>
      <c r="D36" s="1235"/>
      <c r="E36" s="3318"/>
      <c r="F36" s="3318"/>
      <c r="G36" s="3318"/>
    </row>
    <row r="37" spans="1:7" hidden="1">
      <c r="A37" s="1238">
        <v>4</v>
      </c>
      <c r="B37" s="1235" t="s">
        <v>1101</v>
      </c>
      <c r="C37" s="1235"/>
      <c r="D37" s="1235"/>
      <c r="E37" s="3318"/>
      <c r="F37" s="3318"/>
      <c r="G37" s="3318"/>
    </row>
    <row r="38" spans="1:7" hidden="1">
      <c r="A38" s="3314" t="s">
        <v>1102</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8" sqref="K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3062</v>
      </c>
      <c r="D1" s="1546" t="s">
        <v>70</v>
      </c>
      <c r="E1" s="1547" t="s">
        <v>1352</v>
      </c>
      <c r="F1" s="1193">
        <f ca="1">J53</f>
        <v>48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52269</v>
      </c>
      <c r="C2" s="1571" t="s">
        <v>1481</v>
      </c>
      <c r="D2" s="1571"/>
      <c r="E2" s="1572"/>
      <c r="F2" s="1573"/>
      <c r="G2" s="2935"/>
      <c r="H2" s="2924"/>
      <c r="I2" s="2924"/>
      <c r="J2" s="2924"/>
      <c r="K2" s="2925"/>
      <c r="L2" s="2924"/>
      <c r="M2" s="2924"/>
    </row>
    <row r="3" spans="1:37" ht="18" customHeight="1" thickBot="1">
      <c r="A3" s="1574" t="s">
        <v>1482</v>
      </c>
      <c r="B3" s="1575">
        <f ca="1">IF(ISERROR(B2*10000/F43),0,ROUND(B2*10000/F43,0))</f>
        <v>38367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2241</v>
      </c>
      <c r="D5" s="1548" t="s">
        <v>1367</v>
      </c>
      <c r="E5" s="1203"/>
      <c r="F5" s="1204"/>
      <c r="G5" s="1568"/>
      <c r="H5" s="305">
        <v>1</v>
      </c>
      <c r="I5" s="306" t="s">
        <v>1366</v>
      </c>
      <c r="J5" s="1202">
        <f ca="1">J6+J10+J12</f>
        <v>0</v>
      </c>
      <c r="K5" s="1548" t="s">
        <v>1367</v>
      </c>
      <c r="L5" s="1203"/>
      <c r="M5" s="1204"/>
    </row>
    <row r="6" spans="1:37" ht="18" customHeight="1">
      <c r="A6" s="1201" t="s">
        <v>1003</v>
      </c>
      <c r="B6" s="3307" t="s">
        <v>1368</v>
      </c>
      <c r="C6" s="1206">
        <f ca="1">ROUND(F6*F8*F7*(1-F9)/10000,0)</f>
        <v>2238</v>
      </c>
      <c r="D6" s="160" t="s">
        <v>2851</v>
      </c>
      <c r="E6" s="308" t="s">
        <v>1370</v>
      </c>
      <c r="F6" s="309">
        <f ca="1">INDIRECT("'数据-取费表'!u"&amp;$G$1)</f>
        <v>5</v>
      </c>
      <c r="G6" s="1568"/>
      <c r="H6" s="1201" t="s">
        <v>1003</v>
      </c>
      <c r="I6" s="3307" t="s">
        <v>1368</v>
      </c>
      <c r="J6" s="307">
        <f ca="1">ROUND(M6*M8*M7*(1-M9)/10000,0)</f>
        <v>0</v>
      </c>
      <c r="K6" s="160" t="s">
        <v>2850</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13623.56239999999</v>
      </c>
      <c r="G7" s="1568"/>
      <c r="H7" s="310"/>
      <c r="I7" s="3308"/>
      <c r="J7" s="312"/>
      <c r="K7" s="313"/>
      <c r="L7" s="308" t="s">
        <v>1371</v>
      </c>
      <c r="M7" s="309">
        <f ca="1">F7</f>
        <v>13623.56239999999</v>
      </c>
    </row>
    <row r="8" spans="1:37" ht="18" customHeight="1">
      <c r="A8" s="310"/>
      <c r="B8" s="3308"/>
      <c r="C8" s="312"/>
      <c r="D8" s="313"/>
      <c r="E8" s="308" t="s">
        <v>1372</v>
      </c>
      <c r="F8" s="309">
        <f ca="1">INDIRECT("'数据-取费表'!ai"&amp;$G$1)</f>
        <v>365</v>
      </c>
      <c r="G8" s="1568"/>
      <c r="H8" s="310"/>
      <c r="I8" s="3308"/>
      <c r="J8" s="312"/>
      <c r="K8" s="313"/>
      <c r="L8" s="308" t="s">
        <v>1372</v>
      </c>
      <c r="M8" s="309">
        <f ca="1">INDIRECT("'数据-取费表'!ai"&amp;$G$1)</f>
        <v>365</v>
      </c>
    </row>
    <row r="9" spans="1:37" ht="18" customHeight="1">
      <c r="A9" s="310"/>
      <c r="B9" s="3309"/>
      <c r="C9" s="312"/>
      <c r="D9" s="313"/>
      <c r="E9" s="308" t="s">
        <v>1373</v>
      </c>
      <c r="F9" s="318">
        <f ca="1">INDIRECT("'数据-取费表'!w"&amp;$G$1)</f>
        <v>0.1</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3</v>
      </c>
      <c r="D10" s="1550" t="s">
        <v>2859</v>
      </c>
      <c r="E10" s="319" t="s">
        <v>1375</v>
      </c>
      <c r="F10" s="1276" t="s">
        <v>3068</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8178</v>
      </c>
      <c r="D13" s="1241" t="s">
        <v>1380</v>
      </c>
      <c r="E13" s="1241" t="s">
        <v>1381</v>
      </c>
      <c r="F13" s="1242">
        <f ca="1">INDIRECT("'数据-取费表'!y"&amp;$G$1)</f>
        <v>0.8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6812</v>
      </c>
      <c r="D14" s="1529" t="s">
        <v>1383</v>
      </c>
      <c r="E14" s="1526"/>
      <c r="F14" s="325"/>
      <c r="G14" s="1568"/>
      <c r="H14" s="1113" t="s">
        <v>1003</v>
      </c>
      <c r="I14" s="308" t="s">
        <v>1384</v>
      </c>
      <c r="J14" s="24">
        <f ca="1">C29</f>
        <v>10222</v>
      </c>
      <c r="K14" s="15"/>
      <c r="L14" s="916"/>
      <c r="M14" s="917"/>
    </row>
    <row r="15" spans="1:37" s="1581" customFormat="1" ht="18" customHeight="1" thickBot="1">
      <c r="A15" s="1113" t="s">
        <v>1004</v>
      </c>
      <c r="B15" s="308" t="s">
        <v>1385</v>
      </c>
      <c r="C15" s="24">
        <f ca="1">ROUND(C14*F15,0)</f>
        <v>204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341</v>
      </c>
      <c r="D16" s="308" t="s">
        <v>1386</v>
      </c>
      <c r="E16" s="308" t="s">
        <v>1387</v>
      </c>
      <c r="F16" s="328">
        <f ca="1">IF(INDIRECT("'数据-取费表'!c"&amp;$G$1)="住宅",'数据-取费表'!B34,0)</f>
        <v>0.05</v>
      </c>
      <c r="G16" s="1568"/>
      <c r="H16" s="1239" t="s">
        <v>998</v>
      </c>
      <c r="I16" s="1240" t="s">
        <v>1389</v>
      </c>
      <c r="J16" s="316">
        <f ca="1">ROUND(J17+J22+J23+J24,0)</f>
        <v>188</v>
      </c>
      <c r="K16" s="1247" t="s">
        <v>1390</v>
      </c>
      <c r="L16" s="1248"/>
      <c r="M16" s="1204"/>
    </row>
    <row r="17" spans="1:37" s="1581" customFormat="1" ht="18" customHeight="1">
      <c r="A17" s="1113" t="s">
        <v>1355</v>
      </c>
      <c r="B17" s="308" t="s">
        <v>1391</v>
      </c>
      <c r="C17" s="24">
        <f ca="1">ROUND(F17*(F43+INDIRECT("'数据-取费表'!S"&amp;$G$1))/10000,0)</f>
        <v>272</v>
      </c>
      <c r="D17" s="308" t="s">
        <v>1392</v>
      </c>
      <c r="E17" s="308" t="s">
        <v>1393</v>
      </c>
      <c r="F17" s="26">
        <f>'数据-取费表'!B35</f>
        <v>200</v>
      </c>
      <c r="G17" s="1580"/>
      <c r="H17" s="1113" t="s">
        <v>1003</v>
      </c>
      <c r="I17" s="308" t="s">
        <v>1394</v>
      </c>
      <c r="J17" s="2534">
        <f ca="1">ROUND(IF(AND(项目基本情况!B11="自然人",项目基本情况!B10="北京市"),J6*M17/(1+'数据-取费表'!C42),J18+J19+J20),0)</f>
        <v>86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102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7731</v>
      </c>
      <c r="D19" s="136" t="s">
        <v>1401</v>
      </c>
      <c r="E19" s="1544"/>
      <c r="F19" s="26"/>
      <c r="G19" s="1568"/>
      <c r="H19" s="1113" t="s">
        <v>1004</v>
      </c>
      <c r="I19" s="308" t="s">
        <v>1402</v>
      </c>
      <c r="J19" s="24">
        <f ca="1">IF(K19="按租金收入计税",ROUND(J6*M19/(1+'数据-取费表'!C42),2),ROUND(C29*M19*0.7,2))</f>
        <v>85.86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155</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102.2</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304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-188</v>
      </c>
      <c r="K25" s="1255" t="s">
        <v>1429</v>
      </c>
      <c r="L25" s="1256"/>
      <c r="M25" s="1257"/>
    </row>
    <row r="26" spans="1:37">
      <c r="A26" s="1113" t="s">
        <v>1002</v>
      </c>
      <c r="B26" s="308" t="s">
        <v>1430</v>
      </c>
      <c r="C26" s="24">
        <f ca="1">ROUND((C19+C20)*F26,0)</f>
        <v>1183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10222</v>
      </c>
      <c r="D29" s="1252"/>
      <c r="E29" s="1250"/>
      <c r="F29" s="1253"/>
      <c r="G29" s="1580"/>
      <c r="H29" s="340" t="s">
        <v>1001</v>
      </c>
      <c r="I29" s="341" t="s">
        <v>1444</v>
      </c>
      <c r="J29" s="342">
        <f ca="1">ROUND(J26/(1+F40)^F41,0)</f>
        <v>0</v>
      </c>
      <c r="K29" s="343" t="s">
        <v>1445</v>
      </c>
      <c r="L29" s="344"/>
      <c r="M29" s="345">
        <f ca="1">INDIRECT("'数据-取费表'!k"&amp;$G$1)</f>
        <v>13623.56239999999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530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375</v>
      </c>
      <c r="D31" s="1529" t="s">
        <v>1395</v>
      </c>
      <c r="E31" s="1528" t="s">
        <v>1446</v>
      </c>
      <c r="F31" s="2533" t="str">
        <f>IF(项目基本情况!B11="企业","——",IF('数据-取费表'!B10="住宅",IF(F6*F7*F8/12/(1+'数据-取费表'!F30)&gt;100000,4%,2.5%),IF(F6*F7*F8/12/(1+'数据-取费表'!F30)&gt;100000,12%,7%)))</f>
        <v>——</v>
      </c>
      <c r="G31" s="1568"/>
      <c r="H31" s="3039" t="s">
        <v>3049</v>
      </c>
      <c r="I31" s="1582"/>
      <c r="J31" s="1583"/>
      <c r="K31" s="2701"/>
      <c r="L31" s="2927"/>
      <c r="M31" s="2928"/>
    </row>
    <row r="32" spans="1:37" ht="18" customHeight="1">
      <c r="A32" s="1113" t="s">
        <v>1002</v>
      </c>
      <c r="B32" s="308" t="s">
        <v>1398</v>
      </c>
      <c r="C32" s="24">
        <f ca="1">IF(项目基本情况!B11="自然人","——",ROUND(C6*F32/(1+'数据-取费表'!C42),2))</f>
        <v>119.36</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255.77</v>
      </c>
      <c r="D33" s="1554" t="s">
        <v>3069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102.2</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8.1999999999999993</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44.8</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1711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51562</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48</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37848</v>
      </c>
      <c r="D43" s="343" t="s">
        <v>1453</v>
      </c>
      <c r="E43" s="344" t="s">
        <v>1454</v>
      </c>
      <c r="F43" s="345">
        <f ca="1">INDIRECT("'数据-取费表'!k"&amp;$G$1)</f>
        <v>13623.56239999999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-69079</v>
      </c>
      <c r="D46" s="1590" t="str">
        <f>C2</f>
        <v>万元</v>
      </c>
      <c r="E46" s="1584"/>
      <c r="F46" s="1584"/>
      <c r="I46" s="1591" t="s">
        <v>1486</v>
      </c>
      <c r="J46" s="1592"/>
      <c r="K46" s="1593"/>
      <c r="L46" s="1594">
        <f ca="1">IF(M47="住宅",0,IF(L48&gt;J51,L60,J60))</f>
        <v>707</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3070</v>
      </c>
      <c r="K47" s="1600" t="s">
        <v>1492</v>
      </c>
      <c r="L47" s="1601">
        <f ca="1">INDIRECT("'数据-取费表'!d"&amp;$G$1)</f>
        <v>70</v>
      </c>
      <c r="M47" s="1564" t="str">
        <f>IF(ISNUMBER(FIND("住宅",C1)),"住宅","非住宅")</f>
        <v>非住宅</v>
      </c>
      <c r="O47" s="1602" t="s">
        <v>1008</v>
      </c>
      <c r="P47" s="1603" t="s">
        <v>1493</v>
      </c>
      <c r="Q47" s="1604">
        <f ca="1">C40+J29</f>
        <v>51562</v>
      </c>
      <c r="R47" s="1604" t="s">
        <v>1494</v>
      </c>
    </row>
    <row r="48" spans="1:18" s="1568" customFormat="1" ht="28.5" thickBot="1">
      <c r="A48" s="1270" t="s">
        <v>1103</v>
      </c>
      <c r="B48" s="306" t="s">
        <v>1366</v>
      </c>
      <c r="C48" s="1543">
        <f ca="1">C49+C53+C55</f>
        <v>0</v>
      </c>
      <c r="D48" s="1272"/>
      <c r="E48" s="1273"/>
      <c r="F48" s="1093"/>
      <c r="G48" s="731"/>
      <c r="H48" s="732"/>
      <c r="I48" s="1605" t="s">
        <v>1495</v>
      </c>
      <c r="J48" s="1606" t="s">
        <v>3071</v>
      </c>
      <c r="K48" s="1607" t="s">
        <v>1496</v>
      </c>
      <c r="L48" s="1608">
        <f ca="1">INDIRECT("'数据-取费表'!f"&amp;$G$1)</f>
        <v>56.36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2009</v>
      </c>
      <c r="K49" s="1607" t="s">
        <v>1500</v>
      </c>
      <c r="L49" s="1611"/>
      <c r="O49" s="1612" t="s">
        <v>1010</v>
      </c>
      <c r="P49" s="1603" t="s">
        <v>1501</v>
      </c>
      <c r="Q49" s="1604">
        <f ca="1">C29</f>
        <v>10222</v>
      </c>
      <c r="R49" s="1604" t="s">
        <v>1494</v>
      </c>
    </row>
    <row r="50" spans="1:18" s="1568" customFormat="1" ht="13.5" thickBot="1">
      <c r="A50" s="1107"/>
      <c r="B50" s="1110"/>
      <c r="C50" s="1278"/>
      <c r="D50" s="1084"/>
      <c r="E50" s="1187" t="s">
        <v>1371</v>
      </c>
      <c r="F50" s="1188">
        <f ca="1">F7</f>
        <v>13623.56239999999</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48</v>
      </c>
      <c r="K51" s="1618" t="s">
        <v>1506</v>
      </c>
      <c r="L51" s="1619">
        <f ca="1">ROUND(-PV(INDIRECT("'数据-取费表'!h"&amp;$G$1),J51,(C39-C13*C76),0),0)</f>
        <v>19846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v>0.05</v>
      </c>
      <c r="O52" s="1612" t="s">
        <v>1013</v>
      </c>
      <c r="P52" s="1603" t="s">
        <v>1510</v>
      </c>
      <c r="Q52" s="1604">
        <f ca="1">J53</f>
        <v>48</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48</v>
      </c>
      <c r="K53" s="3310" t="s">
        <v>1513</v>
      </c>
      <c r="L53" s="3311"/>
      <c r="O53" s="1602" t="s">
        <v>1014</v>
      </c>
      <c r="P53" s="1603" t="s">
        <v>1514</v>
      </c>
      <c r="Q53" s="1604">
        <f ca="1">Q47+Q48</f>
        <v>51562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8178</v>
      </c>
      <c r="D56" s="1631"/>
      <c r="E56" s="1632"/>
      <c r="F56" s="1624"/>
      <c r="I56" s="1633" t="s">
        <v>1519</v>
      </c>
      <c r="J56" s="1634" t="s">
        <v>3072</v>
      </c>
      <c r="K56" s="1605" t="s">
        <v>1520</v>
      </c>
      <c r="L56" s="1608">
        <f ca="1">IF(L48&lt;J51,"——",L48-J53)</f>
        <v>8.36</v>
      </c>
      <c r="O56" s="1602" t="s">
        <v>1008</v>
      </c>
      <c r="P56" s="1603" t="s">
        <v>1493</v>
      </c>
      <c r="Q56" s="1604">
        <f ca="1">C40+J29</f>
        <v>51562</v>
      </c>
      <c r="R56" s="1604" t="s">
        <v>1494</v>
      </c>
    </row>
    <row r="57" spans="1:18" s="1568" customFormat="1" ht="24.75" thickBot="1">
      <c r="A57" s="1635"/>
      <c r="B57" s="1081" t="s">
        <v>1443</v>
      </c>
      <c r="C57" s="244">
        <f ca="1">C29</f>
        <v>10222</v>
      </c>
      <c r="D57" s="1636"/>
      <c r="E57" s="1637"/>
      <c r="F57" s="1638"/>
      <c r="I57" s="1639" t="s">
        <v>1521</v>
      </c>
      <c r="J57" s="1640" t="str">
        <f ca="1">IF(OR(M47="住宅",J51&lt;L48,J56="是"),"——",J51-L48)</f>
        <v>——</v>
      </c>
      <c r="K57" s="1605" t="s">
        <v>1522</v>
      </c>
      <c r="L57" s="1608">
        <f ca="1">IF(L48&lt;J51,"——",IF(L55="比较法",L49,IF(L55="基准地价",L50,L51)))</f>
        <v>19846</v>
      </c>
      <c r="O57" s="1602" t="s">
        <v>1009</v>
      </c>
      <c r="P57" s="1603" t="s">
        <v>1523</v>
      </c>
      <c r="Q57" s="1604">
        <f ca="1">L60</f>
        <v>707</v>
      </c>
      <c r="R57" s="1604" t="s">
        <v>1524</v>
      </c>
    </row>
    <row r="58" spans="1:18" s="1568" customFormat="1" ht="24.75" thickBot="1">
      <c r="A58" s="321" t="s">
        <v>998</v>
      </c>
      <c r="B58" s="1089" t="s">
        <v>1389</v>
      </c>
      <c r="C58" s="322">
        <f ca="1">ROUND(C59+C64+C65+C66,0)</f>
        <v>969</v>
      </c>
      <c r="D58" s="1091" t="s">
        <v>1390</v>
      </c>
      <c r="E58" s="1092"/>
      <c r="F58" s="1093"/>
      <c r="I58" s="1639" t="s">
        <v>1525</v>
      </c>
      <c r="J58" s="1641" t="e">
        <f ca="1">IF(J55&lt;0.4,0.4,J55)</f>
        <v>#VALUE!</v>
      </c>
      <c r="K58" s="1618" t="s">
        <v>1526</v>
      </c>
      <c r="L58" s="1608">
        <f ca="1">ROUND(POWER(1+L52,L47-L48)*(POWER(1+L52,L48)-1)/(POWER(1+L52,L47)-1),4)</f>
        <v>0.96789999999999998</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859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f ca="1">ROUND(IF(D1="在建（套用方法）",M59,IF(D1="土地（套用方法）",N59,POWER(1+L52,L47-J51)*(POWER(1+L52,J51)-1)/(POWER(1+L52,L47)-1))),4)</f>
        <v>0.93459999999999999</v>
      </c>
      <c r="M59" s="1564">
        <f ca="1">ROUND(POWER(1+L52,L47-(J51+'数据-取费表'!B24))*(POWER(1+L52,(J51+'数据-取费表'!B24))-1)/(POWER(1+L52,L47)-1),4)</f>
        <v>0.93459999999999999</v>
      </c>
      <c r="N59" s="1564">
        <f ca="1">ROUND(POWER(1+L52,L47-(J51+'数据-取费表'!B20))*(POWER(1+L52,(J51+'数据-取费表'!B20))-1)/(POWER(1+L52,L47)-1),4)</f>
        <v>0.94379999999999997</v>
      </c>
      <c r="O59" s="1612" t="s">
        <v>1011</v>
      </c>
      <c r="P59" s="1603" t="s">
        <v>1529</v>
      </c>
      <c r="Q59" s="1615">
        <f>L52</f>
        <v>0.05</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707</v>
      </c>
      <c r="O60" s="1612" t="s">
        <v>1012</v>
      </c>
      <c r="P60" s="1603" t="s">
        <v>1532</v>
      </c>
      <c r="Q60" s="1604">
        <f ca="1">L58</f>
        <v>0.96789999999999998</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858.65</v>
      </c>
      <c r="D61" s="1554" t="s">
        <v>1403</v>
      </c>
      <c r="E61" s="1081" t="s">
        <v>1459</v>
      </c>
      <c r="F61" s="328">
        <f t="shared" si="0"/>
        <v>0.12</v>
      </c>
      <c r="I61" s="1645"/>
      <c r="J61" s="1645"/>
      <c r="K61" s="1645"/>
      <c r="L61" s="1645"/>
      <c r="O61" s="1612" t="s">
        <v>1013</v>
      </c>
      <c r="P61" s="1603" t="str">
        <f>K59</f>
        <v>建筑物剩余耐用年限下的土地年期修正系数Kn</v>
      </c>
      <c r="Q61" s="1604">
        <f ca="1">L59</f>
        <v>0.93459999999999999</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52269</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102.2</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8.1999999999999993</v>
      </c>
      <c r="D65" s="1095" t="s">
        <v>1419</v>
      </c>
      <c r="E65" s="1081" t="s">
        <v>1420</v>
      </c>
      <c r="F65" s="336">
        <f t="shared" ca="1" si="0"/>
        <v>1E-3</v>
      </c>
      <c r="I65" s="1646" t="s">
        <v>1544</v>
      </c>
      <c r="J65" s="1647">
        <v>40</v>
      </c>
      <c r="K65" s="1647">
        <v>30</v>
      </c>
      <c r="L65" s="1647">
        <v>50</v>
      </c>
      <c r="M65" s="1649">
        <v>0.02</v>
      </c>
      <c r="O65" s="1602" t="s">
        <v>1008</v>
      </c>
      <c r="P65" s="1603" t="s">
        <v>1545</v>
      </c>
      <c r="Q65" s="1604">
        <f ca="1">C40+J29</f>
        <v>51562</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707</v>
      </c>
      <c r="R66" s="1604" t="s">
        <v>1546</v>
      </c>
    </row>
    <row r="67" spans="1:18" s="1568" customFormat="1" ht="16.5" thickBot="1">
      <c r="A67" s="1088" t="s">
        <v>999</v>
      </c>
      <c r="B67" s="1098" t="s">
        <v>1428</v>
      </c>
      <c r="C67" s="322">
        <f ca="1">C48-C58</f>
        <v>-969</v>
      </c>
      <c r="D67" s="1094" t="s">
        <v>1429</v>
      </c>
      <c r="E67" s="1099"/>
      <c r="F67" s="1100"/>
      <c r="O67" s="1612" t="s">
        <v>1010</v>
      </c>
      <c r="P67" s="1603" t="s">
        <v>1527</v>
      </c>
      <c r="Q67" s="1650">
        <f ca="1">L51</f>
        <v>19846</v>
      </c>
      <c r="R67" s="1604" t="s">
        <v>1547</v>
      </c>
    </row>
    <row r="68" spans="1:18" s="1568" customFormat="1" ht="16.5" thickBot="1">
      <c r="A68" s="1078" t="s">
        <v>1000</v>
      </c>
      <c r="B68" s="1079" t="s">
        <v>1450</v>
      </c>
      <c r="C68" s="307">
        <f ca="1">ROUND(C67*(1-((1+F70)/(1+F68))^F69)/(F68-F70),0)</f>
        <v>-17517</v>
      </c>
      <c r="D68" s="1096" t="s">
        <v>1434</v>
      </c>
      <c r="E68" s="1081" t="s">
        <v>1435</v>
      </c>
      <c r="F68" s="318">
        <f ca="1">F40</f>
        <v>0.05</v>
      </c>
      <c r="O68" s="1612" t="s">
        <v>1011</v>
      </c>
      <c r="P68" s="1651" t="s">
        <v>1548</v>
      </c>
      <c r="Q68" s="1604">
        <f ca="1">ROUND(Q69-Q70*Q71,0)</f>
        <v>1016</v>
      </c>
      <c r="R68" s="1604" t="s">
        <v>1019</v>
      </c>
    </row>
    <row r="69" spans="1:18" s="1568" customFormat="1" ht="13.5" thickBot="1">
      <c r="A69" s="1082"/>
      <c r="B69" s="1083"/>
      <c r="C69" s="312"/>
      <c r="D69" s="1101" t="s">
        <v>1438</v>
      </c>
      <c r="E69" s="1081" t="s">
        <v>1439</v>
      </c>
      <c r="F69" s="339">
        <f ca="1">F41</f>
        <v>48</v>
      </c>
      <c r="O69" s="1612" t="s">
        <v>1016</v>
      </c>
      <c r="P69" s="1651" t="s">
        <v>1549</v>
      </c>
      <c r="Q69" s="1604">
        <f ca="1">C39</f>
        <v>1711</v>
      </c>
      <c r="R69" s="1604" t="s">
        <v>1494</v>
      </c>
    </row>
    <row r="70" spans="1:18" s="1568" customFormat="1" ht="13.5" thickBot="1">
      <c r="A70" s="1085"/>
      <c r="B70" s="1086"/>
      <c r="C70" s="316"/>
      <c r="D70" s="1097"/>
      <c r="E70" s="1081" t="s">
        <v>1442</v>
      </c>
      <c r="F70" s="1185"/>
      <c r="O70" s="1612" t="s">
        <v>1017</v>
      </c>
      <c r="P70" s="1651" t="s">
        <v>1550</v>
      </c>
      <c r="Q70" s="1604">
        <f ca="1">C13</f>
        <v>8178</v>
      </c>
      <c r="R70" s="1604" t="s">
        <v>1494</v>
      </c>
    </row>
    <row r="71" spans="1:18" s="1568" customFormat="1" ht="13.5" thickBot="1">
      <c r="A71" s="1102" t="s">
        <v>1001</v>
      </c>
      <c r="B71" s="1103" t="s">
        <v>1452</v>
      </c>
      <c r="C71" s="342">
        <f ca="1">ROUND(C68*10000/F71,0)</f>
        <v>-12858</v>
      </c>
      <c r="D71" s="1104" t="s">
        <v>1453</v>
      </c>
      <c r="E71" s="1105" t="s">
        <v>1454</v>
      </c>
      <c r="F71" s="345">
        <f ca="1">F43</f>
        <v>13623.56239999999</v>
      </c>
      <c r="O71" s="1612" t="s">
        <v>1018</v>
      </c>
      <c r="P71" s="1651" t="s">
        <v>1551</v>
      </c>
      <c r="Q71" s="1615">
        <f ca="1">C76</f>
        <v>8.5000000000000006E-2</v>
      </c>
      <c r="R71" s="1604"/>
    </row>
    <row r="72" spans="1:18" s="1568" customFormat="1" ht="13.5" thickBot="1">
      <c r="B72" s="735"/>
      <c r="C72" s="735"/>
      <c r="O72" s="1612" t="s">
        <v>1012</v>
      </c>
      <c r="P72" s="1603" t="s">
        <v>1529</v>
      </c>
      <c r="Q72" s="1615">
        <f>L52</f>
        <v>0.05</v>
      </c>
      <c r="R72" s="1604"/>
    </row>
    <row r="73" spans="1:18" ht="16.5" thickBot="1">
      <c r="A73" s="1568"/>
      <c r="B73" s="735"/>
      <c r="C73" s="735"/>
      <c r="D73" s="1568"/>
      <c r="E73" s="1568"/>
      <c r="F73" s="1568"/>
      <c r="O73" s="1612" t="s">
        <v>1013</v>
      </c>
      <c r="P73" s="1603" t="s">
        <v>1532</v>
      </c>
      <c r="Q73" s="1604">
        <f ca="1">L58</f>
        <v>0.96789999999999998</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f ca="1">L59</f>
        <v>0.93459999999999999</v>
      </c>
      <c r="R74" s="1604" t="s">
        <v>1534</v>
      </c>
    </row>
    <row r="75" spans="1:18" ht="13.5" thickBot="1">
      <c r="A75" s="1568"/>
      <c r="B75" s="346" t="s">
        <v>1471</v>
      </c>
      <c r="C75" s="347">
        <f ca="1">ROUND(C13*C76,0)</f>
        <v>695</v>
      </c>
      <c r="D75" s="1568"/>
      <c r="E75" s="1568"/>
      <c r="F75" s="1568"/>
      <c r="K75" s="1586"/>
      <c r="L75" s="1568"/>
      <c r="O75" s="1602" t="s">
        <v>1014</v>
      </c>
      <c r="P75" s="1603" t="s">
        <v>1514</v>
      </c>
      <c r="Q75" s="1604">
        <f ca="1">Q65+Q66</f>
        <v>52269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0.59399999999999997</v>
      </c>
    </row>
    <row r="80" spans="1:18">
      <c r="B80" s="346" t="s">
        <v>1476</v>
      </c>
      <c r="C80" s="280">
        <f ca="1">ROUND(C75/C39,3)</f>
        <v>0.40600000000000003</v>
      </c>
    </row>
    <row r="81" spans="2:3">
      <c r="B81" s="276" t="s">
        <v>1477</v>
      </c>
      <c r="C81" s="244"/>
    </row>
    <row r="82" spans="2:3">
      <c r="B82" s="279" t="s">
        <v>1478</v>
      </c>
      <c r="C82" s="281">
        <f ca="1">1-C83</f>
        <v>0.84099999999999997</v>
      </c>
    </row>
    <row r="83" spans="2:3">
      <c r="B83" s="279" t="s">
        <v>1479</v>
      </c>
      <c r="C83" s="280">
        <f ca="1">ROUND(C13/C40,3)</f>
        <v>0.159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13" workbookViewId="0">
      <selection activeCell="K26" sqref="K26:Y29"/>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13623.56239999999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76" t="s">
        <v>2467</v>
      </c>
      <c r="D4" s="3277"/>
      <c r="E4" s="3278" t="s">
        <v>2468</v>
      </c>
      <c r="F4" s="3279"/>
      <c r="G4" s="3276" t="s">
        <v>2469</v>
      </c>
      <c r="H4" s="3277"/>
      <c r="I4" s="3276" t="s">
        <v>2470</v>
      </c>
      <c r="J4" s="3277"/>
      <c r="K4" s="567" t="s">
        <v>2471</v>
      </c>
      <c r="L4" s="2944"/>
      <c r="M4" s="2945"/>
      <c r="N4" s="2945"/>
      <c r="O4" s="2945"/>
      <c r="P4" s="3280" t="s">
        <v>2472</v>
      </c>
      <c r="Q4" s="3281"/>
      <c r="R4" s="3286" t="s">
        <v>2468</v>
      </c>
      <c r="S4" s="3287"/>
      <c r="T4" s="3286" t="s">
        <v>2469</v>
      </c>
      <c r="U4" s="3287"/>
      <c r="V4" s="3292" t="s">
        <v>2470</v>
      </c>
      <c r="W4" s="3292"/>
      <c r="X4" s="1539"/>
      <c r="Y4" s="3286" t="s">
        <v>2472</v>
      </c>
      <c r="Z4" s="3287"/>
      <c r="AA4" s="3273" t="s">
        <v>2468</v>
      </c>
      <c r="AB4" s="3292" t="s">
        <v>2469</v>
      </c>
      <c r="AC4" s="3273" t="s">
        <v>2470</v>
      </c>
    </row>
    <row r="5" spans="1:29" ht="15">
      <c r="A5" s="364"/>
      <c r="B5" s="365"/>
      <c r="C5" s="3295" t="s">
        <v>2363</v>
      </c>
      <c r="D5" s="3296"/>
      <c r="E5" s="3302" t="s">
        <v>2364</v>
      </c>
      <c r="F5" s="3303"/>
      <c r="G5" s="3295" t="s">
        <v>2365</v>
      </c>
      <c r="H5" s="3296"/>
      <c r="I5" s="3295" t="s">
        <v>2366</v>
      </c>
      <c r="J5" s="3296"/>
      <c r="K5" s="567"/>
      <c r="L5" s="2944"/>
      <c r="M5" s="2945"/>
      <c r="N5" s="2945"/>
      <c r="O5" s="2945"/>
      <c r="P5" s="3282"/>
      <c r="Q5" s="3283"/>
      <c r="R5" s="3288"/>
      <c r="S5" s="3289"/>
      <c r="T5" s="3288"/>
      <c r="U5" s="3289"/>
      <c r="V5" s="3292"/>
      <c r="W5" s="3292"/>
      <c r="X5" s="1539"/>
      <c r="Y5" s="3288"/>
      <c r="Z5" s="3289"/>
      <c r="AA5" s="3274"/>
      <c r="AB5" s="3292"/>
      <c r="AC5" s="3274"/>
    </row>
    <row r="6" spans="1:29" ht="15.75" thickBot="1">
      <c r="A6" s="366"/>
      <c r="B6" s="367"/>
      <c r="C6" s="3293" t="s">
        <v>2367</v>
      </c>
      <c r="D6" s="3294"/>
      <c r="E6" s="3300" t="s">
        <v>2367</v>
      </c>
      <c r="F6" s="3301"/>
      <c r="G6" s="3293" t="s">
        <v>2367</v>
      </c>
      <c r="H6" s="3294"/>
      <c r="I6" s="3293" t="s">
        <v>2367</v>
      </c>
      <c r="J6" s="3294"/>
      <c r="K6" s="567" t="s">
        <v>2368</v>
      </c>
      <c r="L6" s="2944"/>
      <c r="M6" s="2945"/>
      <c r="N6" s="2945"/>
      <c r="O6" s="2945"/>
      <c r="P6" s="3284"/>
      <c r="Q6" s="3285"/>
      <c r="R6" s="3288"/>
      <c r="S6" s="3289"/>
      <c r="T6" s="3290"/>
      <c r="U6" s="3291"/>
      <c r="V6" s="3292"/>
      <c r="W6" s="3292"/>
      <c r="X6" s="1539"/>
      <c r="Y6" s="3290"/>
      <c r="Z6" s="3291"/>
      <c r="AA6" s="3275"/>
      <c r="AB6" s="3292"/>
      <c r="AC6" s="3275"/>
    </row>
    <row r="7" spans="1:29" s="113" customFormat="1" ht="15.75" thickBot="1">
      <c r="A7" s="368" t="s">
        <v>2369</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97" t="s">
        <v>2370</v>
      </c>
      <c r="Q7" s="3299"/>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2"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2"/>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2"/>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2"/>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2"/>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2"/>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15">
      <c r="A15" s="399" t="s">
        <v>2380</v>
      </c>
      <c r="B15" s="65" t="s">
        <v>2474</v>
      </c>
      <c r="C15" s="208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270" t="s">
        <v>2381</v>
      </c>
      <c r="Q15" s="1536" t="str">
        <f t="shared" si="6"/>
        <v>商业繁华度</v>
      </c>
      <c r="R15" s="714" t="s">
        <v>17</v>
      </c>
      <c r="S15" s="715">
        <f t="shared" si="0"/>
        <v>100</v>
      </c>
      <c r="T15" s="714" t="s">
        <v>17</v>
      </c>
      <c r="U15" s="715">
        <f t="shared" si="1"/>
        <v>100</v>
      </c>
      <c r="V15" s="714" t="s">
        <v>17</v>
      </c>
      <c r="W15" s="715">
        <f t="shared" si="2"/>
        <v>100</v>
      </c>
      <c r="X15" s="1539"/>
      <c r="Y15" s="326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271"/>
      <c r="Q16" s="1536"/>
      <c r="R16" s="714"/>
      <c r="S16" s="715"/>
      <c r="T16" s="714"/>
      <c r="U16" s="715"/>
      <c r="V16" s="714"/>
      <c r="W16" s="715"/>
      <c r="X16" s="1539"/>
      <c r="Y16" s="3264"/>
      <c r="Z16" s="1540"/>
      <c r="AA16" s="1537">
        <v>1</v>
      </c>
      <c r="AB16" s="1537">
        <v>1</v>
      </c>
      <c r="AC16" s="1537">
        <v>1</v>
      </c>
    </row>
    <row r="17" spans="1:29" ht="15">
      <c r="A17" s="387"/>
      <c r="B17" s="410" t="s">
        <v>1945</v>
      </c>
      <c r="C17" s="208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271"/>
      <c r="Q17" s="1536" t="str">
        <f>B17</f>
        <v>交通便捷度</v>
      </c>
      <c r="R17" s="714" t="s">
        <v>17</v>
      </c>
      <c r="S17" s="715">
        <f>F17</f>
        <v>100</v>
      </c>
      <c r="T17" s="714" t="s">
        <v>17</v>
      </c>
      <c r="U17" s="715">
        <f>H17</f>
        <v>100</v>
      </c>
      <c r="V17" s="714" t="s">
        <v>17</v>
      </c>
      <c r="W17" s="715">
        <f>J17</f>
        <v>100</v>
      </c>
      <c r="X17" s="1539"/>
      <c r="Y17" s="326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271"/>
      <c r="Q18" s="1536"/>
      <c r="R18" s="714"/>
      <c r="S18" s="715"/>
      <c r="T18" s="714"/>
      <c r="U18" s="715"/>
      <c r="V18" s="714"/>
      <c r="W18" s="715"/>
      <c r="X18" s="1539"/>
      <c r="Y18" s="3264"/>
      <c r="Z18" s="1540"/>
      <c r="AA18" s="1537">
        <v>1</v>
      </c>
      <c r="AB18" s="1537">
        <v>1</v>
      </c>
      <c r="AC18" s="1537">
        <v>1</v>
      </c>
    </row>
    <row r="19" spans="1:29" ht="15">
      <c r="A19" s="387"/>
      <c r="B19" s="410" t="s">
        <v>2475</v>
      </c>
      <c r="C19" s="208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271"/>
      <c r="Q19" s="1536" t="str">
        <f>B19</f>
        <v>公共配套设施</v>
      </c>
      <c r="R19" s="714" t="s">
        <v>17</v>
      </c>
      <c r="S19" s="715">
        <f>F19</f>
        <v>100</v>
      </c>
      <c r="T19" s="714" t="s">
        <v>17</v>
      </c>
      <c r="U19" s="715">
        <f>H19</f>
        <v>100</v>
      </c>
      <c r="V19" s="714" t="s">
        <v>17</v>
      </c>
      <c r="W19" s="715">
        <f>J19</f>
        <v>100</v>
      </c>
      <c r="X19" s="1539"/>
      <c r="Y19" s="326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271"/>
      <c r="Q20" s="1536"/>
      <c r="R20" s="714"/>
      <c r="S20" s="715"/>
      <c r="T20" s="714"/>
      <c r="U20" s="715"/>
      <c r="V20" s="714"/>
      <c r="W20" s="715"/>
      <c r="X20" s="1539"/>
      <c r="Y20" s="3264"/>
      <c r="Z20" s="1540"/>
      <c r="AA20" s="1537">
        <v>1</v>
      </c>
      <c r="AB20" s="1537">
        <v>1</v>
      </c>
      <c r="AC20" s="1537">
        <v>1</v>
      </c>
    </row>
    <row r="21" spans="1:29" ht="15">
      <c r="A21" s="387"/>
      <c r="B21" s="1293" t="s">
        <v>2476</v>
      </c>
      <c r="C21" s="208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271"/>
      <c r="Q21" s="1536" t="str">
        <f>B21</f>
        <v>基础设施水平</v>
      </c>
      <c r="R21" s="714" t="s">
        <v>17</v>
      </c>
      <c r="S21" s="715">
        <f>F21</f>
        <v>100</v>
      </c>
      <c r="T21" s="714" t="s">
        <v>17</v>
      </c>
      <c r="U21" s="715">
        <f>H21</f>
        <v>100</v>
      </c>
      <c r="V21" s="714" t="s">
        <v>17</v>
      </c>
      <c r="W21" s="715">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271"/>
      <c r="Q22" s="1536"/>
      <c r="R22" s="714"/>
      <c r="S22" s="715"/>
      <c r="T22" s="714"/>
      <c r="U22" s="715"/>
      <c r="V22" s="714"/>
      <c r="W22" s="715"/>
      <c r="X22" s="1539"/>
      <c r="Y22" s="3264"/>
      <c r="Z22" s="1540"/>
      <c r="AA22" s="1537">
        <v>1</v>
      </c>
      <c r="AB22" s="1537">
        <v>1</v>
      </c>
      <c r="AC22" s="1537">
        <v>1</v>
      </c>
    </row>
    <row r="23" spans="1:29" ht="15">
      <c r="A23" s="387"/>
      <c r="B23" s="410" t="s">
        <v>1947</v>
      </c>
      <c r="C23" s="214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271"/>
      <c r="Q23" s="1536" t="str">
        <f>B23</f>
        <v>自然及人文环境</v>
      </c>
      <c r="R23" s="714" t="s">
        <v>17</v>
      </c>
      <c r="S23" s="715">
        <f>F23</f>
        <v>100</v>
      </c>
      <c r="T23" s="714" t="s">
        <v>17</v>
      </c>
      <c r="U23" s="715">
        <f>H23</f>
        <v>100</v>
      </c>
      <c r="V23" s="714" t="s">
        <v>17</v>
      </c>
      <c r="W23" s="715">
        <f>J23</f>
        <v>100</v>
      </c>
      <c r="X23" s="1539"/>
      <c r="Y23" s="326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271"/>
      <c r="Q24" s="1536"/>
      <c r="R24" s="714"/>
      <c r="S24" s="715"/>
      <c r="T24" s="714"/>
      <c r="U24" s="715"/>
      <c r="V24" s="714"/>
      <c r="W24" s="715"/>
      <c r="X24" s="1539"/>
      <c r="Y24" s="326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271"/>
      <c r="Q25" s="1536" t="str">
        <f t="shared" ref="Q25:Q46" si="11">B25</f>
        <v>临街状况</v>
      </c>
      <c r="R25" s="714" t="s">
        <v>17</v>
      </c>
      <c r="S25" s="715">
        <f>F25</f>
        <v>100</v>
      </c>
      <c r="T25" s="714" t="s">
        <v>17</v>
      </c>
      <c r="U25" s="715">
        <f>H25</f>
        <v>100</v>
      </c>
      <c r="V25" s="714" t="s">
        <v>17</v>
      </c>
      <c r="W25" s="715">
        <f>J25</f>
        <v>100</v>
      </c>
      <c r="X25" s="1539"/>
      <c r="Y25" s="326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271"/>
      <c r="Q26" s="1536" t="str">
        <f t="shared" si="11"/>
        <v>平面位置/可视性</v>
      </c>
      <c r="R26" s="714" t="s">
        <v>17</v>
      </c>
      <c r="S26" s="715">
        <f>F26</f>
        <v>100</v>
      </c>
      <c r="T26" s="714" t="s">
        <v>17</v>
      </c>
      <c r="U26" s="715">
        <f>H26</f>
        <v>100</v>
      </c>
      <c r="V26" s="714" t="s">
        <v>17</v>
      </c>
      <c r="W26" s="715">
        <f>J26</f>
        <v>100</v>
      </c>
      <c r="X26" s="1539"/>
      <c r="Y26" s="326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271"/>
      <c r="Q27" s="1527" t="str">
        <f t="shared" si="11"/>
        <v>人流量</v>
      </c>
      <c r="R27" s="710" t="s">
        <v>17</v>
      </c>
      <c r="S27" s="711">
        <f>F27</f>
        <v>100</v>
      </c>
      <c r="T27" s="710" t="s">
        <v>17</v>
      </c>
      <c r="U27" s="711">
        <f>H27</f>
        <v>100</v>
      </c>
      <c r="V27" s="710" t="s">
        <v>17</v>
      </c>
      <c r="W27" s="711">
        <f>J27</f>
        <v>100</v>
      </c>
      <c r="X27" s="712"/>
      <c r="Y27" s="326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27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6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271"/>
      <c r="Q29" s="1536">
        <f t="shared" si="11"/>
        <v>111</v>
      </c>
      <c r="R29" s="714" t="s">
        <v>17</v>
      </c>
      <c r="S29" s="715">
        <f t="shared" si="12"/>
        <v>100</v>
      </c>
      <c r="T29" s="714" t="s">
        <v>17</v>
      </c>
      <c r="U29" s="715">
        <f t="shared" si="13"/>
        <v>100</v>
      </c>
      <c r="V29" s="714" t="s">
        <v>17</v>
      </c>
      <c r="W29" s="715">
        <f t="shared" si="14"/>
        <v>100</v>
      </c>
      <c r="X29" s="1539"/>
      <c r="Y29" s="326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271"/>
      <c r="Q30" s="1536">
        <f t="shared" si="11"/>
        <v>111</v>
      </c>
      <c r="R30" s="714" t="s">
        <v>17</v>
      </c>
      <c r="S30" s="715">
        <f t="shared" si="12"/>
        <v>100</v>
      </c>
      <c r="T30" s="714" t="s">
        <v>17</v>
      </c>
      <c r="U30" s="715">
        <f t="shared" si="13"/>
        <v>100</v>
      </c>
      <c r="V30" s="714" t="s">
        <v>17</v>
      </c>
      <c r="W30" s="715">
        <f t="shared" si="14"/>
        <v>100</v>
      </c>
      <c r="X30" s="1539"/>
      <c r="Y30" s="326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271"/>
      <c r="Q31" s="1536">
        <f t="shared" si="11"/>
        <v>111</v>
      </c>
      <c r="R31" s="714" t="s">
        <v>17</v>
      </c>
      <c r="S31" s="715">
        <f t="shared" si="12"/>
        <v>100</v>
      </c>
      <c r="T31" s="714" t="s">
        <v>17</v>
      </c>
      <c r="U31" s="715">
        <f t="shared" si="13"/>
        <v>100</v>
      </c>
      <c r="V31" s="714" t="s">
        <v>17</v>
      </c>
      <c r="W31" s="715">
        <f t="shared" si="14"/>
        <v>100</v>
      </c>
      <c r="X31" s="1539"/>
      <c r="Y31" s="326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265" t="s">
        <v>2386</v>
      </c>
      <c r="Q32" s="1536" t="str">
        <f t="shared" si="11"/>
        <v>商业类型</v>
      </c>
      <c r="R32" s="714" t="s">
        <v>17</v>
      </c>
      <c r="S32" s="715">
        <f t="shared" si="12"/>
        <v>100</v>
      </c>
      <c r="T32" s="714" t="s">
        <v>17</v>
      </c>
      <c r="U32" s="715">
        <f t="shared" si="13"/>
        <v>100</v>
      </c>
      <c r="V32" s="714" t="s">
        <v>17</v>
      </c>
      <c r="W32" s="715">
        <f t="shared" si="14"/>
        <v>100</v>
      </c>
      <c r="X32" s="1539"/>
      <c r="Y32" s="326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266"/>
      <c r="Q33" s="716" t="str">
        <f t="shared" si="11"/>
        <v>项目建筑规模</v>
      </c>
      <c r="R33" s="717" t="s">
        <v>17</v>
      </c>
      <c r="S33" s="718" t="e">
        <f t="shared" si="12"/>
        <v>#N/A</v>
      </c>
      <c r="T33" s="717" t="s">
        <v>17</v>
      </c>
      <c r="U33" s="718" t="e">
        <f t="shared" si="13"/>
        <v>#N/A</v>
      </c>
      <c r="V33" s="717" t="s">
        <v>17</v>
      </c>
      <c r="W33" s="718" t="e">
        <f t="shared" si="14"/>
        <v>#N/A</v>
      </c>
      <c r="X33" s="719"/>
      <c r="Y33" s="326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266"/>
      <c r="Q34" s="1536" t="str">
        <f t="shared" si="11"/>
        <v>建筑结构</v>
      </c>
      <c r="R34" s="714" t="s">
        <v>17</v>
      </c>
      <c r="S34" s="715">
        <f t="shared" si="12"/>
        <v>100</v>
      </c>
      <c r="T34" s="714" t="s">
        <v>17</v>
      </c>
      <c r="U34" s="715">
        <f t="shared" si="13"/>
        <v>100</v>
      </c>
      <c r="V34" s="714" t="s">
        <v>17</v>
      </c>
      <c r="W34" s="715">
        <f t="shared" si="14"/>
        <v>100</v>
      </c>
      <c r="X34" s="1539"/>
      <c r="Y34" s="326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266"/>
      <c r="Q35" s="1536" t="str">
        <f t="shared" si="11"/>
        <v>公共部分装修</v>
      </c>
      <c r="R35" s="714" t="s">
        <v>17</v>
      </c>
      <c r="S35" s="715">
        <f t="shared" si="12"/>
        <v>100</v>
      </c>
      <c r="T35" s="714" t="s">
        <v>17</v>
      </c>
      <c r="U35" s="715">
        <f t="shared" si="13"/>
        <v>100</v>
      </c>
      <c r="V35" s="714" t="s">
        <v>17</v>
      </c>
      <c r="W35" s="715">
        <f t="shared" si="14"/>
        <v>100</v>
      </c>
      <c r="X35" s="1539"/>
      <c r="Y35" s="326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266"/>
      <c r="Q36" s="1536" t="str">
        <f t="shared" si="11"/>
        <v>成新度</v>
      </c>
      <c r="R36" s="714" t="s">
        <v>17</v>
      </c>
      <c r="S36" s="715" t="e">
        <f t="shared" si="12"/>
        <v>#N/A</v>
      </c>
      <c r="T36" s="714" t="s">
        <v>17</v>
      </c>
      <c r="U36" s="715" t="e">
        <f t="shared" si="13"/>
        <v>#N/A</v>
      </c>
      <c r="V36" s="714" t="s">
        <v>17</v>
      </c>
      <c r="W36" s="715" t="e">
        <f t="shared" si="14"/>
        <v>#N/A</v>
      </c>
      <c r="X36" s="1539"/>
      <c r="Y36" s="326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266"/>
      <c r="Q37" s="1527" t="str">
        <f t="shared" si="11"/>
        <v>市政基础设施</v>
      </c>
      <c r="R37" s="710" t="s">
        <v>17</v>
      </c>
      <c r="S37" s="711">
        <f t="shared" si="12"/>
        <v>100</v>
      </c>
      <c r="T37" s="710" t="s">
        <v>17</v>
      </c>
      <c r="U37" s="711">
        <f t="shared" si="13"/>
        <v>100</v>
      </c>
      <c r="V37" s="710" t="s">
        <v>17</v>
      </c>
      <c r="W37" s="711">
        <f t="shared" si="14"/>
        <v>100</v>
      </c>
      <c r="X37" s="712"/>
      <c r="Y37" s="326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266" t="s">
        <v>2386</v>
      </c>
      <c r="Q38" s="1536" t="str">
        <f t="shared" si="11"/>
        <v>业态</v>
      </c>
      <c r="R38" s="714" t="s">
        <v>17</v>
      </c>
      <c r="S38" s="715">
        <f t="shared" si="12"/>
        <v>100</v>
      </c>
      <c r="T38" s="714" t="s">
        <v>17</v>
      </c>
      <c r="U38" s="715">
        <f t="shared" si="13"/>
        <v>100</v>
      </c>
      <c r="V38" s="714" t="s">
        <v>17</v>
      </c>
      <c r="W38" s="715">
        <f t="shared" si="14"/>
        <v>100</v>
      </c>
      <c r="X38" s="1539"/>
      <c r="Y38" s="326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266"/>
      <c r="Q39" s="1536" t="str">
        <f t="shared" si="11"/>
        <v>层高</v>
      </c>
      <c r="R39" s="714" t="s">
        <v>17</v>
      </c>
      <c r="S39" s="715">
        <f t="shared" si="12"/>
        <v>100</v>
      </c>
      <c r="T39" s="714" t="s">
        <v>17</v>
      </c>
      <c r="U39" s="715">
        <f t="shared" si="13"/>
        <v>100</v>
      </c>
      <c r="V39" s="714" t="s">
        <v>17</v>
      </c>
      <c r="W39" s="715">
        <f t="shared" si="14"/>
        <v>100</v>
      </c>
      <c r="X39" s="1539"/>
      <c r="Y39" s="326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266"/>
      <c r="Q40" s="1536" t="str">
        <f t="shared" si="11"/>
        <v>单套建筑面积</v>
      </c>
      <c r="R40" s="714" t="s">
        <v>17</v>
      </c>
      <c r="S40" s="715">
        <f t="shared" si="12"/>
        <v>100</v>
      </c>
      <c r="T40" s="714" t="s">
        <v>17</v>
      </c>
      <c r="U40" s="715">
        <f t="shared" si="13"/>
        <v>100</v>
      </c>
      <c r="V40" s="714" t="s">
        <v>17</v>
      </c>
      <c r="W40" s="715">
        <f t="shared" si="14"/>
        <v>100</v>
      </c>
      <c r="X40" s="1539"/>
      <c r="Y40" s="326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266"/>
      <c r="Q41" s="716" t="str">
        <f t="shared" si="11"/>
        <v>进深比</v>
      </c>
      <c r="R41" s="717" t="s">
        <v>17</v>
      </c>
      <c r="S41" s="718">
        <f t="shared" si="12"/>
        <v>100</v>
      </c>
      <c r="T41" s="717" t="s">
        <v>17</v>
      </c>
      <c r="U41" s="718">
        <f t="shared" si="13"/>
        <v>100</v>
      </c>
      <c r="V41" s="717" t="s">
        <v>17</v>
      </c>
      <c r="W41" s="718">
        <f t="shared" si="14"/>
        <v>100</v>
      </c>
      <c r="X41" s="719"/>
      <c r="Y41" s="326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266"/>
      <c r="Q42" s="1536" t="str">
        <f t="shared" si="11"/>
        <v>内部装修</v>
      </c>
      <c r="R42" s="714" t="s">
        <v>17</v>
      </c>
      <c r="S42" s="715">
        <f t="shared" si="12"/>
        <v>100</v>
      </c>
      <c r="T42" s="714" t="s">
        <v>17</v>
      </c>
      <c r="U42" s="715">
        <f t="shared" si="13"/>
        <v>100</v>
      </c>
      <c r="V42" s="714" t="s">
        <v>17</v>
      </c>
      <c r="W42" s="715">
        <f t="shared" si="14"/>
        <v>100</v>
      </c>
      <c r="X42" s="1539"/>
      <c r="Y42" s="326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266"/>
      <c r="Q43" s="1536" t="str">
        <f t="shared" si="11"/>
        <v>内部装修维护情况</v>
      </c>
      <c r="R43" s="714" t="s">
        <v>17</v>
      </c>
      <c r="S43" s="715">
        <f t="shared" si="12"/>
        <v>100</v>
      </c>
      <c r="T43" s="714" t="s">
        <v>17</v>
      </c>
      <c r="U43" s="715">
        <f t="shared" si="13"/>
        <v>100</v>
      </c>
      <c r="V43" s="714" t="s">
        <v>17</v>
      </c>
      <c r="W43" s="715">
        <f t="shared" si="14"/>
        <v>100</v>
      </c>
      <c r="X43" s="1539"/>
      <c r="Y43" s="326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266"/>
      <c r="Q44" s="1527">
        <f t="shared" si="11"/>
        <v>111</v>
      </c>
      <c r="R44" s="710" t="s">
        <v>17</v>
      </c>
      <c r="S44" s="711">
        <f t="shared" si="12"/>
        <v>100</v>
      </c>
      <c r="T44" s="710" t="s">
        <v>17</v>
      </c>
      <c r="U44" s="711">
        <f t="shared" si="13"/>
        <v>100</v>
      </c>
      <c r="V44" s="710" t="s">
        <v>17</v>
      </c>
      <c r="W44" s="711">
        <f t="shared" si="14"/>
        <v>100</v>
      </c>
      <c r="X44" s="712"/>
      <c r="Y44" s="326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266"/>
      <c r="Q45" s="1536">
        <f t="shared" si="11"/>
        <v>111</v>
      </c>
      <c r="R45" s="714" t="s">
        <v>17</v>
      </c>
      <c r="S45" s="715">
        <f t="shared" si="12"/>
        <v>100</v>
      </c>
      <c r="T45" s="714" t="s">
        <v>17</v>
      </c>
      <c r="U45" s="715">
        <f t="shared" si="13"/>
        <v>100</v>
      </c>
      <c r="V45" s="714" t="s">
        <v>17</v>
      </c>
      <c r="W45" s="715">
        <f t="shared" si="14"/>
        <v>100</v>
      </c>
      <c r="X45" s="1539"/>
      <c r="Y45" s="326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267"/>
      <c r="Q46" s="1536">
        <f t="shared" si="11"/>
        <v>111</v>
      </c>
      <c r="R46" s="714" t="s">
        <v>17</v>
      </c>
      <c r="S46" s="715">
        <f t="shared" si="12"/>
        <v>100</v>
      </c>
      <c r="T46" s="714" t="s">
        <v>17</v>
      </c>
      <c r="U46" s="715">
        <f t="shared" si="13"/>
        <v>100</v>
      </c>
      <c r="V46" s="714" t="s">
        <v>17</v>
      </c>
      <c r="W46" s="715">
        <f t="shared" si="14"/>
        <v>100</v>
      </c>
      <c r="X46" s="1539"/>
      <c r="Y46" s="326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61" t="str">
        <f>A47</f>
        <v>成交单价（元/平方米）</v>
      </c>
      <c r="Q47" s="3261"/>
      <c r="R47" s="3292">
        <f>E47</f>
        <v>0</v>
      </c>
      <c r="S47" s="3292"/>
      <c r="T47" s="3292">
        <f>G47</f>
        <v>0</v>
      </c>
      <c r="U47" s="3292"/>
      <c r="V47" s="3292">
        <f>I47</f>
        <v>0</v>
      </c>
      <c r="W47" s="3292"/>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58" t="str">
        <f>A49</f>
        <v>估价对象XX用房的比较价值（楼面单价，元/平方米）</v>
      </c>
      <c r="Q49" s="3259"/>
      <c r="R49" s="3260" t="e">
        <f>IF(F1="售价",ROUND(IF(D48="简单平均",AVERAGE(R48:V48),R48*F48+T48*H48+V48*J48),0),ROUND(IF(D48="简单平均",AVERAGE(R48:V48),R48*F48+T48*H48+V48*J48),1))</f>
        <v>#DIV/0!</v>
      </c>
      <c r="S49" s="3260"/>
      <c r="T49" s="3260"/>
      <c r="U49" s="3260"/>
      <c r="V49" s="3260"/>
      <c r="W49" s="326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估价对象为房地产，为所有。根据《国有土地使用证》[]，估价对象（分摊）出让国有建设用地使用权面积为0平方米，建筑面积为13623.5624平方米。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估价对象为房地产,属开发建设的，该项目尚在开发建设中。根据《国有土地使用证》[]，估价对象（分摊）出让国有建设用地使用权面积为0平方米，规划建筑面积为13623.5624平方米。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13" sqref="F1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13623.56239999999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76" t="s">
        <v>2467</v>
      </c>
      <c r="D4" s="3277"/>
      <c r="E4" s="3278" t="s">
        <v>2468</v>
      </c>
      <c r="F4" s="3279"/>
      <c r="G4" s="3276" t="s">
        <v>2469</v>
      </c>
      <c r="H4" s="3277"/>
      <c r="I4" s="3276" t="s">
        <v>2470</v>
      </c>
      <c r="J4" s="3277"/>
      <c r="K4" s="567" t="s">
        <v>2471</v>
      </c>
      <c r="L4" s="2944"/>
      <c r="M4" s="2945"/>
      <c r="N4" s="2945"/>
      <c r="O4" s="2945"/>
      <c r="P4" s="3341" t="s">
        <v>2472</v>
      </c>
      <c r="Q4" s="3342"/>
      <c r="R4" s="3345" t="s">
        <v>2468</v>
      </c>
      <c r="S4" s="3346"/>
      <c r="T4" s="3345" t="s">
        <v>2469</v>
      </c>
      <c r="U4" s="3346"/>
      <c r="V4" s="3347" t="s">
        <v>2470</v>
      </c>
      <c r="W4" s="3347"/>
      <c r="X4" s="2144"/>
      <c r="Y4" s="3345" t="s">
        <v>2472</v>
      </c>
      <c r="Z4" s="3346"/>
      <c r="AA4" s="3349" t="s">
        <v>2468</v>
      </c>
      <c r="AB4" s="3349" t="s">
        <v>2469</v>
      </c>
      <c r="AC4" s="3338" t="s">
        <v>2470</v>
      </c>
    </row>
    <row r="5" spans="1:29" ht="15">
      <c r="A5" s="364"/>
      <c r="B5" s="365"/>
      <c r="C5" s="3295" t="s">
        <v>2363</v>
      </c>
      <c r="D5" s="3296"/>
      <c r="E5" s="3302" t="s">
        <v>2364</v>
      </c>
      <c r="F5" s="3303"/>
      <c r="G5" s="3295" t="s">
        <v>2365</v>
      </c>
      <c r="H5" s="3296"/>
      <c r="I5" s="3295" t="s">
        <v>2366</v>
      </c>
      <c r="J5" s="3296"/>
      <c r="K5" s="567"/>
      <c r="L5" s="2944"/>
      <c r="M5" s="2945"/>
      <c r="N5" s="2945"/>
      <c r="O5" s="2945"/>
      <c r="P5" s="3343"/>
      <c r="Q5" s="3283"/>
      <c r="R5" s="3288"/>
      <c r="S5" s="3289"/>
      <c r="T5" s="3288"/>
      <c r="U5" s="3289"/>
      <c r="V5" s="3292"/>
      <c r="W5" s="3292"/>
      <c r="X5" s="1539"/>
      <c r="Y5" s="3288"/>
      <c r="Z5" s="3289"/>
      <c r="AA5" s="3274"/>
      <c r="AB5" s="3274"/>
      <c r="AC5" s="3339"/>
    </row>
    <row r="6" spans="1:29" ht="15.75" thickBot="1">
      <c r="A6" s="366"/>
      <c r="B6" s="367"/>
      <c r="C6" s="3293" t="s">
        <v>2367</v>
      </c>
      <c r="D6" s="3294"/>
      <c r="E6" s="3300" t="s">
        <v>2367</v>
      </c>
      <c r="F6" s="3301"/>
      <c r="G6" s="3293" t="s">
        <v>2367</v>
      </c>
      <c r="H6" s="3294"/>
      <c r="I6" s="3293" t="s">
        <v>2367</v>
      </c>
      <c r="J6" s="3294"/>
      <c r="K6" s="567" t="s">
        <v>2368</v>
      </c>
      <c r="L6" s="2944"/>
      <c r="M6" s="2945"/>
      <c r="N6" s="2945"/>
      <c r="O6" s="2945"/>
      <c r="P6" s="3344"/>
      <c r="Q6" s="3285"/>
      <c r="R6" s="3288"/>
      <c r="S6" s="3289"/>
      <c r="T6" s="3290"/>
      <c r="U6" s="3291"/>
      <c r="V6" s="3292"/>
      <c r="W6" s="3292"/>
      <c r="X6" s="1539"/>
      <c r="Y6" s="3290"/>
      <c r="Z6" s="3291"/>
      <c r="AA6" s="3275"/>
      <c r="AB6" s="3275"/>
      <c r="AC6" s="3340"/>
    </row>
    <row r="7" spans="1:29" s="113" customFormat="1" ht="15.75" thickBot="1">
      <c r="A7" s="368" t="s">
        <v>2369</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8" t="s">
        <v>2370</v>
      </c>
      <c r="Q7" s="3299"/>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8" t="s">
        <v>2373</v>
      </c>
      <c r="Q8" s="3298"/>
      <c r="R8" s="710" t="s">
        <v>17</v>
      </c>
      <c r="S8" s="711">
        <f t="shared" si="0"/>
        <v>0</v>
      </c>
      <c r="T8" s="710" t="s">
        <v>17</v>
      </c>
      <c r="U8" s="711">
        <f t="shared" si="1"/>
        <v>0</v>
      </c>
      <c r="V8" s="710" t="s">
        <v>17</v>
      </c>
      <c r="W8" s="711">
        <f t="shared" si="2"/>
        <v>0</v>
      </c>
      <c r="X8" s="712"/>
      <c r="Y8" s="3297" t="s">
        <v>2373</v>
      </c>
      <c r="Z8" s="3298"/>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72"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2"/>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72"/>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72"/>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72"/>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72"/>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2145">
        <f t="shared" si="5"/>
        <v>1</v>
      </c>
    </row>
    <row r="15" spans="1:29" ht="15">
      <c r="A15" s="399" t="s">
        <v>2380</v>
      </c>
      <c r="B15" s="585" t="s">
        <v>2508</v>
      </c>
      <c r="C15" s="214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270" t="s">
        <v>2381</v>
      </c>
      <c r="Q15" s="1536" t="str">
        <f t="shared" si="6"/>
        <v>办公集聚程度</v>
      </c>
      <c r="R15" s="714" t="s">
        <v>17</v>
      </c>
      <c r="S15" s="715">
        <f t="shared" si="0"/>
        <v>100</v>
      </c>
      <c r="T15" s="714" t="s">
        <v>17</v>
      </c>
      <c r="U15" s="715">
        <f t="shared" si="1"/>
        <v>100</v>
      </c>
      <c r="V15" s="714" t="s">
        <v>17</v>
      </c>
      <c r="W15" s="715">
        <f t="shared" si="2"/>
        <v>100</v>
      </c>
      <c r="X15" s="1539"/>
      <c r="Y15" s="326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271"/>
      <c r="Q16" s="1536"/>
      <c r="R16" s="714"/>
      <c r="S16" s="715"/>
      <c r="T16" s="714"/>
      <c r="U16" s="715"/>
      <c r="V16" s="714"/>
      <c r="W16" s="715"/>
      <c r="X16" s="1539"/>
      <c r="Y16" s="3264"/>
      <c r="Z16" s="1540"/>
      <c r="AA16" s="1537">
        <v>1</v>
      </c>
      <c r="AB16" s="1537">
        <v>1</v>
      </c>
      <c r="AC16" s="2148">
        <v>1</v>
      </c>
    </row>
    <row r="17" spans="1:29" ht="15">
      <c r="A17" s="387"/>
      <c r="B17" s="587" t="s">
        <v>1945</v>
      </c>
      <c r="C17" s="214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271"/>
      <c r="Q17" s="1536" t="str">
        <f>B17</f>
        <v>交通便捷度</v>
      </c>
      <c r="R17" s="714" t="s">
        <v>17</v>
      </c>
      <c r="S17" s="715">
        <f>F17</f>
        <v>100</v>
      </c>
      <c r="T17" s="714" t="s">
        <v>17</v>
      </c>
      <c r="U17" s="715">
        <f>H17</f>
        <v>100</v>
      </c>
      <c r="V17" s="714" t="s">
        <v>17</v>
      </c>
      <c r="W17" s="715">
        <f>J17</f>
        <v>100</v>
      </c>
      <c r="X17" s="1539"/>
      <c r="Y17" s="326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271"/>
      <c r="Q18" s="1536"/>
      <c r="R18" s="714"/>
      <c r="S18" s="715"/>
      <c r="T18" s="714"/>
      <c r="U18" s="715"/>
      <c r="V18" s="714"/>
      <c r="W18" s="715"/>
      <c r="X18" s="1539"/>
      <c r="Y18" s="3264"/>
      <c r="Z18" s="1540"/>
      <c r="AA18" s="1537">
        <v>1</v>
      </c>
      <c r="AB18" s="1537">
        <v>1</v>
      </c>
      <c r="AC18" s="2148">
        <v>1</v>
      </c>
    </row>
    <row r="19" spans="1:29" ht="15">
      <c r="A19" s="387"/>
      <c r="B19" s="587" t="s">
        <v>2509</v>
      </c>
      <c r="C19" s="214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271"/>
      <c r="Q19" s="1536" t="str">
        <f>B19</f>
        <v>公共配套设施</v>
      </c>
      <c r="R19" s="714" t="s">
        <v>17</v>
      </c>
      <c r="S19" s="715">
        <f>F19</f>
        <v>100</v>
      </c>
      <c r="T19" s="714" t="s">
        <v>17</v>
      </c>
      <c r="U19" s="715">
        <f>H19</f>
        <v>100</v>
      </c>
      <c r="V19" s="714" t="s">
        <v>17</v>
      </c>
      <c r="W19" s="715">
        <f>J19</f>
        <v>100</v>
      </c>
      <c r="X19" s="1539"/>
      <c r="Y19" s="326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271"/>
      <c r="Q20" s="1536"/>
      <c r="R20" s="714"/>
      <c r="S20" s="715"/>
      <c r="T20" s="714"/>
      <c r="U20" s="715"/>
      <c r="V20" s="714"/>
      <c r="W20" s="715"/>
      <c r="X20" s="1539"/>
      <c r="Y20" s="3264"/>
      <c r="Z20" s="1540"/>
      <c r="AA20" s="1537">
        <v>1</v>
      </c>
      <c r="AB20" s="1537">
        <v>1</v>
      </c>
      <c r="AC20" s="2148">
        <v>1</v>
      </c>
    </row>
    <row r="21" spans="1:29" ht="15">
      <c r="A21" s="387"/>
      <c r="B21" s="589" t="s">
        <v>2510</v>
      </c>
      <c r="C21" s="214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271"/>
      <c r="Q21" s="1536" t="str">
        <f>B21</f>
        <v>基础设施水平</v>
      </c>
      <c r="R21" s="714" t="s">
        <v>17</v>
      </c>
      <c r="S21" s="715">
        <f>F21</f>
        <v>100</v>
      </c>
      <c r="T21" s="714" t="s">
        <v>17</v>
      </c>
      <c r="U21" s="715">
        <f>H21</f>
        <v>100</v>
      </c>
      <c r="V21" s="714" t="s">
        <v>17</v>
      </c>
      <c r="W21" s="715">
        <f>J21</f>
        <v>100</v>
      </c>
      <c r="X21" s="1539"/>
      <c r="Y21" s="326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271"/>
      <c r="Q22" s="1536"/>
      <c r="R22" s="714"/>
      <c r="S22" s="715"/>
      <c r="T22" s="714"/>
      <c r="U22" s="715"/>
      <c r="V22" s="714"/>
      <c r="W22" s="715"/>
      <c r="X22" s="1539"/>
      <c r="Y22" s="3264"/>
      <c r="Z22" s="1540"/>
      <c r="AA22" s="1537">
        <v>1</v>
      </c>
      <c r="AB22" s="1537">
        <v>1</v>
      </c>
      <c r="AC22" s="2148">
        <v>1</v>
      </c>
    </row>
    <row r="23" spans="1:29" ht="15">
      <c r="A23" s="387"/>
      <c r="B23" s="587" t="s">
        <v>2511</v>
      </c>
      <c r="C23" s="214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271"/>
      <c r="Q23" s="1536" t="str">
        <f>B23</f>
        <v>环境质量</v>
      </c>
      <c r="R23" s="714" t="s">
        <v>17</v>
      </c>
      <c r="S23" s="715">
        <f>F23</f>
        <v>100</v>
      </c>
      <c r="T23" s="714" t="s">
        <v>17</v>
      </c>
      <c r="U23" s="715">
        <f>H23</f>
        <v>100</v>
      </c>
      <c r="V23" s="714" t="s">
        <v>17</v>
      </c>
      <c r="W23" s="715">
        <f>J23</f>
        <v>100</v>
      </c>
      <c r="X23" s="1539"/>
      <c r="Y23" s="326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271"/>
      <c r="Q24" s="1536"/>
      <c r="R24" s="714"/>
      <c r="S24" s="715"/>
      <c r="T24" s="714"/>
      <c r="U24" s="715"/>
      <c r="V24" s="714"/>
      <c r="W24" s="715"/>
      <c r="X24" s="1539"/>
      <c r="Y24" s="3264"/>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271"/>
      <c r="Q25" s="1536" t="str">
        <f>B25</f>
        <v>毗邻道路的类型与等级</v>
      </c>
      <c r="R25" s="714" t="s">
        <v>17</v>
      </c>
      <c r="S25" s="715">
        <f>F25</f>
        <v>100</v>
      </c>
      <c r="T25" s="714" t="s">
        <v>17</v>
      </c>
      <c r="U25" s="715">
        <f>H25</f>
        <v>100</v>
      </c>
      <c r="V25" s="714" t="s">
        <v>17</v>
      </c>
      <c r="W25" s="715">
        <f>J25</f>
        <v>100</v>
      </c>
      <c r="X25" s="1539"/>
      <c r="Y25" s="326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271"/>
      <c r="Q26" s="1536"/>
      <c r="R26" s="714"/>
      <c r="S26" s="715"/>
      <c r="T26" s="714"/>
      <c r="U26" s="715"/>
      <c r="V26" s="714"/>
      <c r="W26" s="715"/>
      <c r="X26" s="1539"/>
      <c r="Y26" s="326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271"/>
      <c r="Q27" s="1536" t="str">
        <f t="shared" ref="Q27:Q47" si="11">B27</f>
        <v>楼层</v>
      </c>
      <c r="R27" s="714" t="s">
        <v>17</v>
      </c>
      <c r="S27" s="715">
        <f>F27</f>
        <v>100</v>
      </c>
      <c r="T27" s="714" t="s">
        <v>17</v>
      </c>
      <c r="U27" s="715">
        <f>H27</f>
        <v>100</v>
      </c>
      <c r="V27" s="714" t="s">
        <v>17</v>
      </c>
      <c r="W27" s="715">
        <f>J27</f>
        <v>100</v>
      </c>
      <c r="X27" s="1539"/>
      <c r="Y27" s="326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271"/>
      <c r="Q28" s="1527" t="str">
        <f t="shared" si="11"/>
        <v>朝向</v>
      </c>
      <c r="R28" s="710" t="s">
        <v>17</v>
      </c>
      <c r="S28" s="711">
        <f>F28</f>
        <v>100</v>
      </c>
      <c r="T28" s="710" t="s">
        <v>17</v>
      </c>
      <c r="U28" s="711">
        <f>H28</f>
        <v>100</v>
      </c>
      <c r="V28" s="710" t="s">
        <v>17</v>
      </c>
      <c r="W28" s="711">
        <f>J28</f>
        <v>100</v>
      </c>
      <c r="X28" s="712"/>
      <c r="Y28" s="326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271"/>
      <c r="Q29" s="1536">
        <f t="shared" si="11"/>
        <v>111</v>
      </c>
      <c r="R29" s="714" t="s">
        <v>17</v>
      </c>
      <c r="S29" s="715">
        <f t="shared" ref="S29:S47" si="12">F29</f>
        <v>100</v>
      </c>
      <c r="T29" s="714" t="s">
        <v>17</v>
      </c>
      <c r="U29" s="715">
        <f t="shared" ref="U29:U47" si="13">H29</f>
        <v>100</v>
      </c>
      <c r="V29" s="714" t="s">
        <v>17</v>
      </c>
      <c r="W29" s="715">
        <f t="shared" ref="W29:W47" si="14">J29</f>
        <v>100</v>
      </c>
      <c r="X29" s="1539"/>
      <c r="Y29" s="326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271"/>
      <c r="Q30" s="1536">
        <f t="shared" si="11"/>
        <v>111</v>
      </c>
      <c r="R30" s="714" t="s">
        <v>17</v>
      </c>
      <c r="S30" s="715">
        <f t="shared" si="12"/>
        <v>100</v>
      </c>
      <c r="T30" s="714" t="s">
        <v>17</v>
      </c>
      <c r="U30" s="715">
        <f t="shared" si="13"/>
        <v>100</v>
      </c>
      <c r="V30" s="714" t="s">
        <v>17</v>
      </c>
      <c r="W30" s="715">
        <f t="shared" si="14"/>
        <v>100</v>
      </c>
      <c r="X30" s="1539"/>
      <c r="Y30" s="326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271"/>
      <c r="Q31" s="1536">
        <f t="shared" si="11"/>
        <v>111</v>
      </c>
      <c r="R31" s="714" t="s">
        <v>17</v>
      </c>
      <c r="S31" s="715">
        <f t="shared" si="12"/>
        <v>100</v>
      </c>
      <c r="T31" s="714" t="s">
        <v>17</v>
      </c>
      <c r="U31" s="715">
        <f t="shared" si="13"/>
        <v>100</v>
      </c>
      <c r="V31" s="714" t="s">
        <v>17</v>
      </c>
      <c r="W31" s="715">
        <f t="shared" si="14"/>
        <v>100</v>
      </c>
      <c r="X31" s="1539"/>
      <c r="Y31" s="326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271"/>
      <c r="Q32" s="1536">
        <f t="shared" si="11"/>
        <v>111</v>
      </c>
      <c r="R32" s="714" t="s">
        <v>17</v>
      </c>
      <c r="S32" s="715">
        <f t="shared" si="12"/>
        <v>100</v>
      </c>
      <c r="T32" s="714" t="s">
        <v>17</v>
      </c>
      <c r="U32" s="715">
        <f t="shared" si="13"/>
        <v>100</v>
      </c>
      <c r="V32" s="714" t="s">
        <v>17</v>
      </c>
      <c r="W32" s="715">
        <f t="shared" si="14"/>
        <v>100</v>
      </c>
      <c r="X32" s="1539"/>
      <c r="Y32" s="326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265" t="s">
        <v>2386</v>
      </c>
      <c r="Q33" s="1536" t="str">
        <f t="shared" si="11"/>
        <v>建筑类型</v>
      </c>
      <c r="R33" s="714" t="s">
        <v>17</v>
      </c>
      <c r="S33" s="715">
        <f t="shared" si="12"/>
        <v>100</v>
      </c>
      <c r="T33" s="714" t="s">
        <v>17</v>
      </c>
      <c r="U33" s="715">
        <f t="shared" si="13"/>
        <v>100</v>
      </c>
      <c r="V33" s="714" t="s">
        <v>17</v>
      </c>
      <c r="W33" s="715">
        <f t="shared" si="14"/>
        <v>100</v>
      </c>
      <c r="X33" s="1539"/>
      <c r="Y33" s="326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266"/>
      <c r="Q34" s="716" t="str">
        <f t="shared" si="11"/>
        <v>项目建筑规模</v>
      </c>
      <c r="R34" s="717" t="s">
        <v>17</v>
      </c>
      <c r="S34" s="718" t="e">
        <f t="shared" si="12"/>
        <v>#N/A</v>
      </c>
      <c r="T34" s="717" t="s">
        <v>17</v>
      </c>
      <c r="U34" s="718" t="e">
        <f t="shared" si="13"/>
        <v>#N/A</v>
      </c>
      <c r="V34" s="717" t="s">
        <v>17</v>
      </c>
      <c r="W34" s="718" t="e">
        <f t="shared" si="14"/>
        <v>#N/A</v>
      </c>
      <c r="X34" s="719"/>
      <c r="Y34" s="326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266"/>
      <c r="Q35" s="1536" t="str">
        <f t="shared" si="11"/>
        <v>建筑结构</v>
      </c>
      <c r="R35" s="714" t="s">
        <v>17</v>
      </c>
      <c r="S35" s="715">
        <f t="shared" si="12"/>
        <v>100</v>
      </c>
      <c r="T35" s="714" t="s">
        <v>17</v>
      </c>
      <c r="U35" s="715">
        <f t="shared" si="13"/>
        <v>100</v>
      </c>
      <c r="V35" s="714" t="s">
        <v>17</v>
      </c>
      <c r="W35" s="715">
        <f t="shared" si="14"/>
        <v>100</v>
      </c>
      <c r="X35" s="1539"/>
      <c r="Y35" s="326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266"/>
      <c r="Q36" s="1536" t="str">
        <f t="shared" si="11"/>
        <v>公共部分装修</v>
      </c>
      <c r="R36" s="714" t="s">
        <v>17</v>
      </c>
      <c r="S36" s="715">
        <f t="shared" si="12"/>
        <v>100</v>
      </c>
      <c r="T36" s="714" t="s">
        <v>17</v>
      </c>
      <c r="U36" s="715">
        <f t="shared" si="13"/>
        <v>100</v>
      </c>
      <c r="V36" s="714" t="s">
        <v>17</v>
      </c>
      <c r="W36" s="715">
        <f t="shared" si="14"/>
        <v>100</v>
      </c>
      <c r="X36" s="1539"/>
      <c r="Y36" s="326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266"/>
      <c r="Q37" s="1536" t="str">
        <f t="shared" si="11"/>
        <v>成新度</v>
      </c>
      <c r="R37" s="714" t="s">
        <v>17</v>
      </c>
      <c r="S37" s="715" t="e">
        <f t="shared" si="12"/>
        <v>#N/A</v>
      </c>
      <c r="T37" s="714" t="s">
        <v>17</v>
      </c>
      <c r="U37" s="715" t="e">
        <f t="shared" si="13"/>
        <v>#N/A</v>
      </c>
      <c r="V37" s="714" t="s">
        <v>17</v>
      </c>
      <c r="W37" s="715" t="e">
        <f t="shared" si="14"/>
        <v>#N/A</v>
      </c>
      <c r="X37" s="1539"/>
      <c r="Y37" s="326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266"/>
      <c r="Q38" s="1527" t="str">
        <f t="shared" si="11"/>
        <v>写字楼等级</v>
      </c>
      <c r="R38" s="710" t="s">
        <v>17</v>
      </c>
      <c r="S38" s="711">
        <f t="shared" si="12"/>
        <v>100</v>
      </c>
      <c r="T38" s="710" t="s">
        <v>17</v>
      </c>
      <c r="U38" s="711">
        <f t="shared" si="13"/>
        <v>100</v>
      </c>
      <c r="V38" s="710" t="s">
        <v>17</v>
      </c>
      <c r="W38" s="711">
        <f t="shared" si="14"/>
        <v>100</v>
      </c>
      <c r="X38" s="712"/>
      <c r="Y38" s="326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266" t="s">
        <v>2386</v>
      </c>
      <c r="Q39" s="1536" t="str">
        <f t="shared" si="11"/>
        <v>物业管理</v>
      </c>
      <c r="R39" s="714" t="s">
        <v>17</v>
      </c>
      <c r="S39" s="715">
        <f t="shared" si="12"/>
        <v>100</v>
      </c>
      <c r="T39" s="714" t="s">
        <v>17</v>
      </c>
      <c r="U39" s="715">
        <f t="shared" si="13"/>
        <v>100</v>
      </c>
      <c r="V39" s="714" t="s">
        <v>17</v>
      </c>
      <c r="W39" s="715">
        <f t="shared" si="14"/>
        <v>100</v>
      </c>
      <c r="X39" s="1539"/>
      <c r="Y39" s="326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266"/>
      <c r="Q40" s="1536" t="str">
        <f t="shared" si="11"/>
        <v>市政基础设施</v>
      </c>
      <c r="R40" s="714" t="s">
        <v>17</v>
      </c>
      <c r="S40" s="715">
        <f t="shared" si="12"/>
        <v>100</v>
      </c>
      <c r="T40" s="714" t="s">
        <v>17</v>
      </c>
      <c r="U40" s="715">
        <f t="shared" si="13"/>
        <v>100</v>
      </c>
      <c r="V40" s="714" t="s">
        <v>17</v>
      </c>
      <c r="W40" s="715">
        <f t="shared" si="14"/>
        <v>100</v>
      </c>
      <c r="X40" s="1539"/>
      <c r="Y40" s="326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266"/>
      <c r="Q41" s="1536" t="str">
        <f t="shared" si="11"/>
        <v>层高</v>
      </c>
      <c r="R41" s="714" t="s">
        <v>17</v>
      </c>
      <c r="S41" s="715">
        <f t="shared" si="12"/>
        <v>100</v>
      </c>
      <c r="T41" s="714" t="s">
        <v>17</v>
      </c>
      <c r="U41" s="715">
        <f t="shared" si="13"/>
        <v>100</v>
      </c>
      <c r="V41" s="714" t="s">
        <v>17</v>
      </c>
      <c r="W41" s="715">
        <f t="shared" si="14"/>
        <v>100</v>
      </c>
      <c r="X41" s="1539"/>
      <c r="Y41" s="326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266"/>
      <c r="Q42" s="716" t="str">
        <f t="shared" si="11"/>
        <v>单套建筑面积</v>
      </c>
      <c r="R42" s="717" t="s">
        <v>17</v>
      </c>
      <c r="S42" s="718">
        <f t="shared" si="12"/>
        <v>100</v>
      </c>
      <c r="T42" s="717" t="s">
        <v>17</v>
      </c>
      <c r="U42" s="718">
        <f t="shared" si="13"/>
        <v>100</v>
      </c>
      <c r="V42" s="717" t="s">
        <v>17</v>
      </c>
      <c r="W42" s="718">
        <f t="shared" si="14"/>
        <v>100</v>
      </c>
      <c r="X42" s="719"/>
      <c r="Y42" s="326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266"/>
      <c r="Q43" s="1536" t="str">
        <f t="shared" si="11"/>
        <v>内部装修</v>
      </c>
      <c r="R43" s="714" t="s">
        <v>17</v>
      </c>
      <c r="S43" s="715">
        <f t="shared" si="12"/>
        <v>100</v>
      </c>
      <c r="T43" s="714" t="s">
        <v>17</v>
      </c>
      <c r="U43" s="715">
        <f t="shared" si="13"/>
        <v>100</v>
      </c>
      <c r="V43" s="714" t="s">
        <v>17</v>
      </c>
      <c r="W43" s="715">
        <f t="shared" si="14"/>
        <v>100</v>
      </c>
      <c r="X43" s="1539"/>
      <c r="Y43" s="326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266"/>
      <c r="Q44" s="1536" t="str">
        <f t="shared" si="11"/>
        <v>内部装修维护情况</v>
      </c>
      <c r="R44" s="714" t="s">
        <v>17</v>
      </c>
      <c r="S44" s="715">
        <f t="shared" si="12"/>
        <v>100</v>
      </c>
      <c r="T44" s="714" t="s">
        <v>17</v>
      </c>
      <c r="U44" s="715">
        <f t="shared" si="13"/>
        <v>100</v>
      </c>
      <c r="V44" s="714" t="s">
        <v>17</v>
      </c>
      <c r="W44" s="715">
        <f t="shared" si="14"/>
        <v>100</v>
      </c>
      <c r="X44" s="1539"/>
      <c r="Y44" s="326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266"/>
      <c r="Q45" s="1527">
        <f t="shared" si="11"/>
        <v>111</v>
      </c>
      <c r="R45" s="710" t="s">
        <v>17</v>
      </c>
      <c r="S45" s="711">
        <f t="shared" si="12"/>
        <v>100</v>
      </c>
      <c r="T45" s="710" t="s">
        <v>17</v>
      </c>
      <c r="U45" s="711">
        <f t="shared" si="13"/>
        <v>100</v>
      </c>
      <c r="V45" s="710" t="s">
        <v>17</v>
      </c>
      <c r="W45" s="711">
        <f t="shared" si="14"/>
        <v>100</v>
      </c>
      <c r="X45" s="712"/>
      <c r="Y45" s="326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266"/>
      <c r="Q46" s="1536">
        <f t="shared" si="11"/>
        <v>111</v>
      </c>
      <c r="R46" s="714" t="s">
        <v>17</v>
      </c>
      <c r="S46" s="715">
        <f t="shared" si="12"/>
        <v>100</v>
      </c>
      <c r="T46" s="714" t="s">
        <v>17</v>
      </c>
      <c r="U46" s="715">
        <f t="shared" si="13"/>
        <v>100</v>
      </c>
      <c r="V46" s="714" t="s">
        <v>17</v>
      </c>
      <c r="W46" s="715">
        <f t="shared" si="14"/>
        <v>100</v>
      </c>
      <c r="X46" s="1539"/>
      <c r="Y46" s="326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267"/>
      <c r="Q47" s="1536">
        <f t="shared" si="11"/>
        <v>111</v>
      </c>
      <c r="R47" s="714" t="s">
        <v>17</v>
      </c>
      <c r="S47" s="715">
        <f t="shared" si="12"/>
        <v>100</v>
      </c>
      <c r="T47" s="714" t="s">
        <v>17</v>
      </c>
      <c r="U47" s="715">
        <f t="shared" si="13"/>
        <v>100</v>
      </c>
      <c r="V47" s="714" t="s">
        <v>17</v>
      </c>
      <c r="W47" s="715">
        <f t="shared" si="14"/>
        <v>100</v>
      </c>
      <c r="X47" s="1539"/>
      <c r="Y47" s="326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72" t="str">
        <f>A48</f>
        <v>成交单价（元/平方米）</v>
      </c>
      <c r="Q48" s="3261"/>
      <c r="R48" s="3262">
        <f>E48</f>
        <v>0</v>
      </c>
      <c r="S48" s="3262"/>
      <c r="T48" s="3262">
        <f>G48</f>
        <v>0</v>
      </c>
      <c r="U48" s="3262"/>
      <c r="V48" s="3262">
        <f>I48</f>
        <v>0</v>
      </c>
      <c r="W48" s="3262"/>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5" t="str">
        <f>A50</f>
        <v>估价对象XX用房的比较价值（楼面单价，元/平方米）</v>
      </c>
      <c r="Q50" s="3336"/>
      <c r="R50" s="3337" t="e">
        <f>IF(F1="售价",ROUND(IF(D49="简单平均",AVERAGE(R49:V49),R49*F49+T49*H49+V49*J49),0),ROUND(IF(D49="简单平均",AVERAGE(R49:V49),R49*F49+T49*H49+V49*J49),1))</f>
        <v>#DIV/0!</v>
      </c>
      <c r="S50" s="3337"/>
      <c r="T50" s="3337"/>
      <c r="U50" s="3337"/>
      <c r="V50" s="3337"/>
      <c r="W50" s="333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13" sqref="F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13623.56239999999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6" t="s">
        <v>2467</v>
      </c>
      <c r="D4" s="3277"/>
      <c r="E4" s="3278" t="s">
        <v>2468</v>
      </c>
      <c r="F4" s="3279"/>
      <c r="G4" s="3276" t="s">
        <v>2469</v>
      </c>
      <c r="H4" s="3277"/>
      <c r="I4" s="3276" t="s">
        <v>2470</v>
      </c>
      <c r="J4" s="3277"/>
      <c r="K4" s="567" t="s">
        <v>2471</v>
      </c>
      <c r="L4" s="1044"/>
      <c r="M4" s="1045"/>
      <c r="N4" s="1045"/>
      <c r="O4" s="1045"/>
      <c r="P4" s="3280" t="s">
        <v>2472</v>
      </c>
      <c r="Q4" s="3281"/>
      <c r="R4" s="3286" t="s">
        <v>2468</v>
      </c>
      <c r="S4" s="3287"/>
      <c r="T4" s="3286" t="s">
        <v>2469</v>
      </c>
      <c r="U4" s="3287"/>
      <c r="V4" s="3292" t="s">
        <v>2470</v>
      </c>
      <c r="W4" s="3292"/>
      <c r="X4" s="1539"/>
      <c r="Y4" s="3286" t="s">
        <v>2472</v>
      </c>
      <c r="Z4" s="3287"/>
      <c r="AA4" s="3273" t="s">
        <v>2468</v>
      </c>
      <c r="AB4" s="3274" t="s">
        <v>2469</v>
      </c>
      <c r="AC4" s="3273" t="s">
        <v>2470</v>
      </c>
    </row>
    <row r="5" spans="1:29" ht="15">
      <c r="A5" s="364"/>
      <c r="B5" s="365"/>
      <c r="C5" s="3295" t="s">
        <v>2363</v>
      </c>
      <c r="D5" s="3296"/>
      <c r="E5" s="3302" t="s">
        <v>2364</v>
      </c>
      <c r="F5" s="3303"/>
      <c r="G5" s="3295" t="s">
        <v>2365</v>
      </c>
      <c r="H5" s="3296"/>
      <c r="I5" s="3295" t="s">
        <v>2366</v>
      </c>
      <c r="J5" s="3296"/>
      <c r="K5" s="567"/>
      <c r="L5" s="1044"/>
      <c r="M5" s="1045"/>
      <c r="N5" s="1045"/>
      <c r="O5" s="1045"/>
      <c r="P5" s="3282"/>
      <c r="Q5" s="3283"/>
      <c r="R5" s="3288"/>
      <c r="S5" s="3289"/>
      <c r="T5" s="3288"/>
      <c r="U5" s="3289"/>
      <c r="V5" s="3292"/>
      <c r="W5" s="3292"/>
      <c r="X5" s="1539"/>
      <c r="Y5" s="3288"/>
      <c r="Z5" s="3289"/>
      <c r="AA5" s="3274"/>
      <c r="AB5" s="3274"/>
      <c r="AC5" s="3274"/>
    </row>
    <row r="6" spans="1:29" ht="15.75" thickBot="1">
      <c r="A6" s="366"/>
      <c r="B6" s="367"/>
      <c r="C6" s="3293" t="s">
        <v>2367</v>
      </c>
      <c r="D6" s="3294"/>
      <c r="E6" s="3300" t="s">
        <v>2367</v>
      </c>
      <c r="F6" s="3301"/>
      <c r="G6" s="3293" t="s">
        <v>2367</v>
      </c>
      <c r="H6" s="3294"/>
      <c r="I6" s="3293" t="s">
        <v>2367</v>
      </c>
      <c r="J6" s="3294"/>
      <c r="K6" s="567" t="s">
        <v>2368</v>
      </c>
      <c r="L6" s="1044"/>
      <c r="M6" s="1045"/>
      <c r="N6" s="1045"/>
      <c r="O6" s="1045"/>
      <c r="P6" s="3284"/>
      <c r="Q6" s="3285"/>
      <c r="R6" s="3288"/>
      <c r="S6" s="3289"/>
      <c r="T6" s="3290"/>
      <c r="U6" s="3291"/>
      <c r="V6" s="3292"/>
      <c r="W6" s="3292"/>
      <c r="X6" s="1539"/>
      <c r="Y6" s="3290"/>
      <c r="Z6" s="3291"/>
      <c r="AA6" s="3275"/>
      <c r="AB6" s="3275"/>
      <c r="AC6" s="3275"/>
    </row>
    <row r="7" spans="1:29" s="113" customFormat="1" ht="15.75" thickBot="1">
      <c r="A7" s="368" t="s">
        <v>2369</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7" t="s">
        <v>2370</v>
      </c>
      <c r="Q7" s="3299"/>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7" t="s">
        <v>2373</v>
      </c>
      <c r="Q8" s="3298"/>
      <c r="R8" s="710" t="s">
        <v>17</v>
      </c>
      <c r="S8" s="711">
        <f t="shared" si="0"/>
        <v>0</v>
      </c>
      <c r="T8" s="710" t="s">
        <v>17</v>
      </c>
      <c r="U8" s="711">
        <f t="shared" si="1"/>
        <v>0</v>
      </c>
      <c r="V8" s="710" t="s">
        <v>17</v>
      </c>
      <c r="W8" s="711">
        <f t="shared" si="2"/>
        <v>0</v>
      </c>
      <c r="X8" s="712"/>
      <c r="Y8" s="3297" t="s">
        <v>2373</v>
      </c>
      <c r="Z8" s="329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1"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1"/>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1"/>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61"/>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61"/>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61"/>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15">
      <c r="A15" s="399" t="s">
        <v>2380</v>
      </c>
      <c r="B15" s="65" t="s">
        <v>2524</v>
      </c>
      <c r="C15" s="215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3" t="s">
        <v>2381</v>
      </c>
      <c r="Q15" s="1536" t="str">
        <f t="shared" si="6"/>
        <v>产业集聚程度</v>
      </c>
      <c r="R15" s="714" t="s">
        <v>17</v>
      </c>
      <c r="S15" s="715">
        <f t="shared" si="0"/>
        <v>100</v>
      </c>
      <c r="T15" s="714" t="s">
        <v>17</v>
      </c>
      <c r="U15" s="715">
        <f t="shared" si="1"/>
        <v>100</v>
      </c>
      <c r="V15" s="714" t="s">
        <v>17</v>
      </c>
      <c r="W15" s="715">
        <f t="shared" si="2"/>
        <v>100</v>
      </c>
      <c r="X15" s="1539"/>
      <c r="Y15" s="326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64"/>
      <c r="Q16" s="1536"/>
      <c r="R16" s="714"/>
      <c r="S16" s="715"/>
      <c r="T16" s="714"/>
      <c r="U16" s="715"/>
      <c r="V16" s="714"/>
      <c r="W16" s="715"/>
      <c r="X16" s="1539"/>
      <c r="Y16" s="3264"/>
      <c r="Z16" s="1540"/>
      <c r="AA16" s="1537">
        <v>1</v>
      </c>
      <c r="AB16" s="1537">
        <v>1</v>
      </c>
      <c r="AC16" s="1537">
        <v>1</v>
      </c>
    </row>
    <row r="17" spans="1:29" ht="15">
      <c r="A17" s="387"/>
      <c r="B17" s="410" t="s">
        <v>1945</v>
      </c>
      <c r="C17" s="208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64"/>
      <c r="Q17" s="1536" t="str">
        <f>B17</f>
        <v>交通便捷度</v>
      </c>
      <c r="R17" s="714" t="s">
        <v>17</v>
      </c>
      <c r="S17" s="715">
        <f>F17</f>
        <v>100</v>
      </c>
      <c r="T17" s="714" t="s">
        <v>17</v>
      </c>
      <c r="U17" s="715">
        <f>H17</f>
        <v>100</v>
      </c>
      <c r="V17" s="714" t="s">
        <v>17</v>
      </c>
      <c r="W17" s="715">
        <f>J17</f>
        <v>100</v>
      </c>
      <c r="X17" s="1539"/>
      <c r="Y17" s="326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64"/>
      <c r="Q18" s="1536"/>
      <c r="R18" s="714"/>
      <c r="S18" s="715"/>
      <c r="T18" s="714"/>
      <c r="U18" s="715"/>
      <c r="V18" s="714"/>
      <c r="W18" s="715"/>
      <c r="X18" s="1539"/>
      <c r="Y18" s="3264"/>
      <c r="Z18" s="1540"/>
      <c r="AA18" s="1537">
        <v>1</v>
      </c>
      <c r="AB18" s="1537">
        <v>1</v>
      </c>
      <c r="AC18" s="1537">
        <v>1</v>
      </c>
    </row>
    <row r="19" spans="1:29" ht="15">
      <c r="A19" s="387"/>
      <c r="B19" s="410" t="s">
        <v>2509</v>
      </c>
      <c r="C19" s="208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64"/>
      <c r="Q19" s="1536" t="str">
        <f>B19</f>
        <v>公共配套设施</v>
      </c>
      <c r="R19" s="714" t="s">
        <v>17</v>
      </c>
      <c r="S19" s="715">
        <f>F19</f>
        <v>100</v>
      </c>
      <c r="T19" s="714" t="s">
        <v>17</v>
      </c>
      <c r="U19" s="715">
        <f>H19</f>
        <v>100</v>
      </c>
      <c r="V19" s="714" t="s">
        <v>17</v>
      </c>
      <c r="W19" s="715">
        <f>J19</f>
        <v>100</v>
      </c>
      <c r="X19" s="1539"/>
      <c r="Y19" s="326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64"/>
      <c r="Q20" s="1536"/>
      <c r="R20" s="714"/>
      <c r="S20" s="715"/>
      <c r="T20" s="714"/>
      <c r="U20" s="715"/>
      <c r="V20" s="714"/>
      <c r="W20" s="715"/>
      <c r="X20" s="1539"/>
      <c r="Y20" s="3264"/>
      <c r="Z20" s="1540"/>
      <c r="AA20" s="1537">
        <v>1</v>
      </c>
      <c r="AB20" s="1537">
        <v>1</v>
      </c>
      <c r="AC20" s="1537">
        <v>1</v>
      </c>
    </row>
    <row r="21" spans="1:29" ht="15">
      <c r="A21" s="387"/>
      <c r="B21" s="1293" t="s">
        <v>2510</v>
      </c>
      <c r="C21" s="208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64"/>
      <c r="Q21" s="1536" t="str">
        <f>B21</f>
        <v>基础设施水平</v>
      </c>
      <c r="R21" s="714" t="s">
        <v>17</v>
      </c>
      <c r="S21" s="715">
        <f>F21</f>
        <v>100</v>
      </c>
      <c r="T21" s="714" t="s">
        <v>17</v>
      </c>
      <c r="U21" s="715">
        <f>H21</f>
        <v>100</v>
      </c>
      <c r="V21" s="714" t="s">
        <v>17</v>
      </c>
      <c r="W21" s="715">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64"/>
      <c r="Q22" s="1536"/>
      <c r="R22" s="714"/>
      <c r="S22" s="715"/>
      <c r="T22" s="714"/>
      <c r="U22" s="715"/>
      <c r="V22" s="714"/>
      <c r="W22" s="715"/>
      <c r="X22" s="1539"/>
      <c r="Y22" s="3264"/>
      <c r="Z22" s="1540"/>
      <c r="AA22" s="1537">
        <v>1</v>
      </c>
      <c r="AB22" s="1537">
        <v>1</v>
      </c>
      <c r="AC22" s="1537">
        <v>1</v>
      </c>
    </row>
    <row r="23" spans="1:29" ht="15">
      <c r="A23" s="387"/>
      <c r="B23" s="410" t="s">
        <v>2511</v>
      </c>
      <c r="C23" s="208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64"/>
      <c r="Q23" s="1536" t="str">
        <f>B23</f>
        <v>环境质量</v>
      </c>
      <c r="R23" s="714" t="s">
        <v>17</v>
      </c>
      <c r="S23" s="715">
        <f>F23</f>
        <v>100</v>
      </c>
      <c r="T23" s="714" t="s">
        <v>17</v>
      </c>
      <c r="U23" s="715">
        <f>H23</f>
        <v>100</v>
      </c>
      <c r="V23" s="714" t="s">
        <v>17</v>
      </c>
      <c r="W23" s="715">
        <f>J23</f>
        <v>100</v>
      </c>
      <c r="X23" s="1539"/>
      <c r="Y23" s="326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64"/>
      <c r="Q24" s="1536"/>
      <c r="R24" s="714"/>
      <c r="S24" s="715"/>
      <c r="T24" s="714"/>
      <c r="U24" s="715"/>
      <c r="V24" s="714"/>
      <c r="W24" s="715"/>
      <c r="X24" s="1539"/>
      <c r="Y24" s="326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64"/>
      <c r="Q25" s="1536">
        <f>B25</f>
        <v>111</v>
      </c>
      <c r="R25" s="714" t="s">
        <v>17</v>
      </c>
      <c r="S25" s="715">
        <f>F25</f>
        <v>100</v>
      </c>
      <c r="T25" s="714" t="s">
        <v>17</v>
      </c>
      <c r="U25" s="715">
        <f>H25</f>
        <v>100</v>
      </c>
      <c r="V25" s="714" t="s">
        <v>17</v>
      </c>
      <c r="W25" s="715">
        <f>J25</f>
        <v>100</v>
      </c>
      <c r="X25" s="1539"/>
      <c r="Y25" s="326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64"/>
      <c r="Q26" s="1536">
        <f t="shared" ref="Q26:Q40" si="11">B26</f>
        <v>111</v>
      </c>
      <c r="R26" s="714" t="s">
        <v>17</v>
      </c>
      <c r="S26" s="715">
        <f>F26</f>
        <v>100</v>
      </c>
      <c r="T26" s="714" t="s">
        <v>17</v>
      </c>
      <c r="U26" s="715">
        <f>H26</f>
        <v>100</v>
      </c>
      <c r="V26" s="714" t="s">
        <v>17</v>
      </c>
      <c r="W26" s="715">
        <f>J26</f>
        <v>100</v>
      </c>
      <c r="X26" s="1539"/>
      <c r="Y26" s="326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64"/>
      <c r="Q27" s="1527">
        <f t="shared" si="11"/>
        <v>111</v>
      </c>
      <c r="R27" s="710" t="s">
        <v>17</v>
      </c>
      <c r="S27" s="711">
        <f>F27</f>
        <v>100</v>
      </c>
      <c r="T27" s="710" t="s">
        <v>17</v>
      </c>
      <c r="U27" s="711">
        <f>H27</f>
        <v>100</v>
      </c>
      <c r="V27" s="710" t="s">
        <v>17</v>
      </c>
      <c r="W27" s="711">
        <f>J27</f>
        <v>100</v>
      </c>
      <c r="X27" s="712"/>
      <c r="Y27" s="326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64"/>
      <c r="Q28" s="1536">
        <f t="shared" si="11"/>
        <v>111</v>
      </c>
      <c r="R28" s="714" t="s">
        <v>17</v>
      </c>
      <c r="S28" s="715">
        <f t="shared" ref="S28:S40" si="12">F28</f>
        <v>100</v>
      </c>
      <c r="T28" s="714" t="s">
        <v>17</v>
      </c>
      <c r="U28" s="715">
        <f t="shared" ref="U28:U40" si="13">H28</f>
        <v>100</v>
      </c>
      <c r="V28" s="714" t="s">
        <v>17</v>
      </c>
      <c r="W28" s="715">
        <f t="shared" ref="W28:W40" si="14">J28</f>
        <v>100</v>
      </c>
      <c r="X28" s="1539"/>
      <c r="Y28" s="3264"/>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0" t="s">
        <v>2386</v>
      </c>
      <c r="Q29" s="1536" t="str">
        <f t="shared" si="11"/>
        <v>建筑类型</v>
      </c>
      <c r="R29" s="714" t="s">
        <v>17</v>
      </c>
      <c r="S29" s="715">
        <f t="shared" si="12"/>
        <v>100</v>
      </c>
      <c r="T29" s="714" t="s">
        <v>17</v>
      </c>
      <c r="U29" s="715">
        <f t="shared" si="13"/>
        <v>100</v>
      </c>
      <c r="V29" s="714" t="s">
        <v>17</v>
      </c>
      <c r="W29" s="715">
        <f t="shared" si="14"/>
        <v>100</v>
      </c>
      <c r="X29" s="1539"/>
      <c r="Y29" s="326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68"/>
      <c r="Q30" s="716" t="str">
        <f t="shared" si="11"/>
        <v>项目建筑规模</v>
      </c>
      <c r="R30" s="717" t="s">
        <v>17</v>
      </c>
      <c r="S30" s="718" t="e">
        <f t="shared" si="12"/>
        <v>#N/A</v>
      </c>
      <c r="T30" s="717" t="s">
        <v>17</v>
      </c>
      <c r="U30" s="718" t="e">
        <f t="shared" si="13"/>
        <v>#N/A</v>
      </c>
      <c r="V30" s="717" t="s">
        <v>17</v>
      </c>
      <c r="W30" s="718" t="e">
        <f t="shared" si="14"/>
        <v>#N/A</v>
      </c>
      <c r="X30" s="719"/>
      <c r="Y30" s="326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68"/>
      <c r="Q31" s="1536" t="str">
        <f t="shared" si="11"/>
        <v>建筑结构</v>
      </c>
      <c r="R31" s="714" t="s">
        <v>17</v>
      </c>
      <c r="S31" s="715">
        <f t="shared" si="12"/>
        <v>100</v>
      </c>
      <c r="T31" s="714" t="s">
        <v>17</v>
      </c>
      <c r="U31" s="715">
        <f t="shared" si="13"/>
        <v>100</v>
      </c>
      <c r="V31" s="714" t="s">
        <v>17</v>
      </c>
      <c r="W31" s="715">
        <f t="shared" si="14"/>
        <v>100</v>
      </c>
      <c r="X31" s="1539"/>
      <c r="Y31" s="326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68"/>
      <c r="Q32" s="1536" t="str">
        <f t="shared" si="11"/>
        <v>公共部分装修</v>
      </c>
      <c r="R32" s="714" t="s">
        <v>17</v>
      </c>
      <c r="S32" s="715">
        <f t="shared" si="12"/>
        <v>100</v>
      </c>
      <c r="T32" s="714" t="s">
        <v>17</v>
      </c>
      <c r="U32" s="715">
        <f t="shared" si="13"/>
        <v>100</v>
      </c>
      <c r="V32" s="714" t="s">
        <v>17</v>
      </c>
      <c r="W32" s="715">
        <f t="shared" si="14"/>
        <v>100</v>
      </c>
      <c r="X32" s="1539"/>
      <c r="Y32" s="326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68"/>
      <c r="Q33" s="1536" t="str">
        <f t="shared" si="11"/>
        <v>成新度</v>
      </c>
      <c r="R33" s="714" t="s">
        <v>17</v>
      </c>
      <c r="S33" s="715" t="e">
        <f t="shared" si="12"/>
        <v>#N/A</v>
      </c>
      <c r="T33" s="714" t="s">
        <v>17</v>
      </c>
      <c r="U33" s="715" t="e">
        <f t="shared" si="13"/>
        <v>#N/A</v>
      </c>
      <c r="V33" s="714" t="s">
        <v>17</v>
      </c>
      <c r="W33" s="715" t="e">
        <f t="shared" si="14"/>
        <v>#N/A</v>
      </c>
      <c r="X33" s="1539"/>
      <c r="Y33" s="326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68"/>
      <c r="Q34" s="1527" t="str">
        <f t="shared" si="11"/>
        <v>物业管理</v>
      </c>
      <c r="R34" s="710" t="s">
        <v>17</v>
      </c>
      <c r="S34" s="711">
        <f t="shared" si="12"/>
        <v>100</v>
      </c>
      <c r="T34" s="710" t="s">
        <v>17</v>
      </c>
      <c r="U34" s="711">
        <f t="shared" si="13"/>
        <v>100</v>
      </c>
      <c r="V34" s="710" t="s">
        <v>17</v>
      </c>
      <c r="W34" s="711">
        <f t="shared" si="14"/>
        <v>100</v>
      </c>
      <c r="X34" s="712"/>
      <c r="Y34" s="326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68" t="s">
        <v>2386</v>
      </c>
      <c r="Q35" s="1536" t="str">
        <f t="shared" si="11"/>
        <v>市政基础设施</v>
      </c>
      <c r="R35" s="714" t="s">
        <v>17</v>
      </c>
      <c r="S35" s="715">
        <f t="shared" si="12"/>
        <v>100</v>
      </c>
      <c r="T35" s="714" t="s">
        <v>17</v>
      </c>
      <c r="U35" s="715">
        <f t="shared" si="13"/>
        <v>100</v>
      </c>
      <c r="V35" s="714" t="s">
        <v>17</v>
      </c>
      <c r="W35" s="715">
        <f t="shared" si="14"/>
        <v>100</v>
      </c>
      <c r="X35" s="1539"/>
      <c r="Y35" s="326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68"/>
      <c r="Q36" s="1536" t="str">
        <f t="shared" si="11"/>
        <v>内部装修</v>
      </c>
      <c r="R36" s="714" t="s">
        <v>17</v>
      </c>
      <c r="S36" s="715">
        <f t="shared" si="12"/>
        <v>100</v>
      </c>
      <c r="T36" s="714" t="s">
        <v>17</v>
      </c>
      <c r="U36" s="715">
        <f t="shared" si="13"/>
        <v>100</v>
      </c>
      <c r="V36" s="714" t="s">
        <v>17</v>
      </c>
      <c r="W36" s="715">
        <f t="shared" si="14"/>
        <v>100</v>
      </c>
      <c r="X36" s="1539"/>
      <c r="Y36" s="326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68"/>
      <c r="Q37" s="1536" t="str">
        <f t="shared" si="11"/>
        <v>内部装修状况</v>
      </c>
      <c r="R37" s="714" t="s">
        <v>17</v>
      </c>
      <c r="S37" s="715">
        <f t="shared" si="12"/>
        <v>100</v>
      </c>
      <c r="T37" s="714" t="s">
        <v>17</v>
      </c>
      <c r="U37" s="715">
        <f t="shared" si="13"/>
        <v>100</v>
      </c>
      <c r="V37" s="714" t="s">
        <v>17</v>
      </c>
      <c r="W37" s="715">
        <f t="shared" si="14"/>
        <v>100</v>
      </c>
      <c r="X37" s="1539"/>
      <c r="Y37" s="326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68"/>
      <c r="Q38" s="716">
        <f t="shared" si="11"/>
        <v>111</v>
      </c>
      <c r="R38" s="717" t="s">
        <v>17</v>
      </c>
      <c r="S38" s="718">
        <f t="shared" si="12"/>
        <v>100</v>
      </c>
      <c r="T38" s="717" t="s">
        <v>17</v>
      </c>
      <c r="U38" s="718">
        <f t="shared" si="13"/>
        <v>100</v>
      </c>
      <c r="V38" s="717" t="s">
        <v>17</v>
      </c>
      <c r="W38" s="718">
        <f t="shared" si="14"/>
        <v>100</v>
      </c>
      <c r="X38" s="719"/>
      <c r="Y38" s="326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68"/>
      <c r="Q39" s="1536">
        <f t="shared" si="11"/>
        <v>111</v>
      </c>
      <c r="R39" s="714" t="s">
        <v>17</v>
      </c>
      <c r="S39" s="715">
        <f t="shared" si="12"/>
        <v>100</v>
      </c>
      <c r="T39" s="714" t="s">
        <v>17</v>
      </c>
      <c r="U39" s="715">
        <f t="shared" si="13"/>
        <v>100</v>
      </c>
      <c r="V39" s="714" t="s">
        <v>17</v>
      </c>
      <c r="W39" s="715">
        <f t="shared" si="14"/>
        <v>100</v>
      </c>
      <c r="X39" s="1539"/>
      <c r="Y39" s="326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69"/>
      <c r="Q40" s="1536">
        <f t="shared" si="11"/>
        <v>111</v>
      </c>
      <c r="R40" s="714" t="s">
        <v>17</v>
      </c>
      <c r="S40" s="715">
        <f t="shared" si="12"/>
        <v>100</v>
      </c>
      <c r="T40" s="714" t="s">
        <v>17</v>
      </c>
      <c r="U40" s="715">
        <f t="shared" si="13"/>
        <v>100</v>
      </c>
      <c r="V40" s="714" t="s">
        <v>17</v>
      </c>
      <c r="W40" s="715">
        <f t="shared" si="14"/>
        <v>100</v>
      </c>
      <c r="X40" s="1539"/>
      <c r="Y40" s="326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61" t="str">
        <f>A41</f>
        <v>成交单价（元/平方米）</v>
      </c>
      <c r="Q41" s="3261"/>
      <c r="R41" s="3262">
        <f>E41</f>
        <v>0</v>
      </c>
      <c r="S41" s="3262"/>
      <c r="T41" s="3262">
        <f>G41</f>
        <v>0</v>
      </c>
      <c r="U41" s="3262"/>
      <c r="V41" s="3262">
        <f>I41</f>
        <v>0</v>
      </c>
      <c r="W41" s="3262"/>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58" t="str">
        <f>A43</f>
        <v>估价对象XX用房的比较价值（楼面单价，元/平方米）</v>
      </c>
      <c r="Q43" s="3259"/>
      <c r="R43" s="3260" t="e">
        <f>IF(F1="售价",ROUND(IF(D42="简单平均",AVERAGE(R42:V42),R42*F42+T42*H42+V42*J42),0),ROUND(IF(D42="简单平均",AVERAGE(R42:V42),R42*F42+T42*H42+V42*J42),1))</f>
        <v>#DIV/0!</v>
      </c>
      <c r="S43" s="3260"/>
      <c r="T43" s="3260"/>
      <c r="U43" s="3260"/>
      <c r="V43" s="3260"/>
      <c r="W43" s="3260"/>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13" sqref="F1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76" t="s">
        <v>2467</v>
      </c>
      <c r="D4" s="3277"/>
      <c r="E4" s="3278" t="s">
        <v>2468</v>
      </c>
      <c r="F4" s="3279"/>
      <c r="G4" s="3276" t="s">
        <v>2469</v>
      </c>
      <c r="H4" s="3277"/>
      <c r="I4" s="3276" t="s">
        <v>2470</v>
      </c>
      <c r="J4" s="3277"/>
      <c r="K4" s="567" t="s">
        <v>2471</v>
      </c>
      <c r="L4" s="2944"/>
      <c r="M4" s="2945"/>
      <c r="N4" s="2945"/>
      <c r="O4" s="2945"/>
      <c r="P4" s="3280" t="s">
        <v>2472</v>
      </c>
      <c r="Q4" s="3281"/>
      <c r="R4" s="3286" t="s">
        <v>2468</v>
      </c>
      <c r="S4" s="3287"/>
      <c r="T4" s="3286" t="s">
        <v>2469</v>
      </c>
      <c r="U4" s="3287"/>
      <c r="V4" s="3292" t="s">
        <v>2470</v>
      </c>
      <c r="W4" s="3292"/>
      <c r="X4" s="1539"/>
      <c r="Y4" s="3286" t="s">
        <v>2472</v>
      </c>
      <c r="Z4" s="3287"/>
      <c r="AA4" s="3273" t="s">
        <v>2468</v>
      </c>
      <c r="AB4" s="3274" t="s">
        <v>2469</v>
      </c>
      <c r="AC4" s="3273" t="s">
        <v>2470</v>
      </c>
    </row>
    <row r="5" spans="1:29" ht="15">
      <c r="A5" s="364"/>
      <c r="B5" s="365"/>
      <c r="C5" s="3295" t="s">
        <v>2363</v>
      </c>
      <c r="D5" s="3296"/>
      <c r="E5" s="3302" t="s">
        <v>2364</v>
      </c>
      <c r="F5" s="3303"/>
      <c r="G5" s="3295" t="s">
        <v>2365</v>
      </c>
      <c r="H5" s="3296"/>
      <c r="I5" s="3295" t="s">
        <v>2366</v>
      </c>
      <c r="J5" s="3296"/>
      <c r="K5" s="567"/>
      <c r="L5" s="2944"/>
      <c r="M5" s="2945"/>
      <c r="N5" s="2945"/>
      <c r="O5" s="2945"/>
      <c r="P5" s="3282"/>
      <c r="Q5" s="3283"/>
      <c r="R5" s="3288"/>
      <c r="S5" s="3289"/>
      <c r="T5" s="3288"/>
      <c r="U5" s="3289"/>
      <c r="V5" s="3292"/>
      <c r="W5" s="3292"/>
      <c r="X5" s="1539"/>
      <c r="Y5" s="3288"/>
      <c r="Z5" s="3289"/>
      <c r="AA5" s="3274"/>
      <c r="AB5" s="3274"/>
      <c r="AC5" s="3274"/>
    </row>
    <row r="6" spans="1:29" ht="15.75" thickBot="1">
      <c r="A6" s="366"/>
      <c r="B6" s="367"/>
      <c r="C6" s="3293" t="s">
        <v>2367</v>
      </c>
      <c r="D6" s="3294"/>
      <c r="E6" s="3300" t="s">
        <v>2367</v>
      </c>
      <c r="F6" s="3301"/>
      <c r="G6" s="3293" t="s">
        <v>2367</v>
      </c>
      <c r="H6" s="3294"/>
      <c r="I6" s="3293" t="s">
        <v>2367</v>
      </c>
      <c r="J6" s="3294"/>
      <c r="K6" s="567" t="s">
        <v>2368</v>
      </c>
      <c r="L6" s="2944"/>
      <c r="M6" s="2945"/>
      <c r="N6" s="2945"/>
      <c r="O6" s="2945"/>
      <c r="P6" s="3284"/>
      <c r="Q6" s="3285"/>
      <c r="R6" s="3288"/>
      <c r="S6" s="3289"/>
      <c r="T6" s="3290"/>
      <c r="U6" s="3291"/>
      <c r="V6" s="3292"/>
      <c r="W6" s="3292"/>
      <c r="X6" s="1539"/>
      <c r="Y6" s="3290"/>
      <c r="Z6" s="3291"/>
      <c r="AA6" s="3275"/>
      <c r="AB6" s="3275"/>
      <c r="AC6" s="3275"/>
    </row>
    <row r="7" spans="1:29" s="113" customFormat="1" ht="15.75" thickBot="1">
      <c r="A7" s="368" t="s">
        <v>2369</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97" t="s">
        <v>2370</v>
      </c>
      <c r="Q7" s="3299"/>
      <c r="R7" s="710" t="s">
        <v>17</v>
      </c>
      <c r="S7" s="711">
        <f t="shared" ref="S7:S14" si="0">F7</f>
        <v>0</v>
      </c>
      <c r="T7" s="710" t="s">
        <v>17</v>
      </c>
      <c r="U7" s="711">
        <f t="shared" ref="U7:U14" si="1">H7</f>
        <v>0</v>
      </c>
      <c r="V7" s="710" t="s">
        <v>17</v>
      </c>
      <c r="W7" s="711">
        <f t="shared" ref="W7:W14"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61" t="s">
        <v>2376</v>
      </c>
      <c r="Q9" s="1527" t="str">
        <f t="shared" ref="Q9:Q14" si="6">B9</f>
        <v>用途</v>
      </c>
      <c r="R9" s="710" t="s">
        <v>17</v>
      </c>
      <c r="S9" s="711">
        <f t="shared" si="0"/>
        <v>100</v>
      </c>
      <c r="T9" s="710" t="s">
        <v>17</v>
      </c>
      <c r="U9" s="711">
        <f t="shared" si="1"/>
        <v>100</v>
      </c>
      <c r="V9" s="710" t="s">
        <v>17</v>
      </c>
      <c r="W9" s="711">
        <f t="shared" si="2"/>
        <v>100</v>
      </c>
      <c r="X9" s="712"/>
      <c r="Y9" s="316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61"/>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61"/>
      <c r="Q11" s="1527">
        <f t="shared" si="6"/>
        <v>111</v>
      </c>
      <c r="R11" s="710" t="s">
        <v>17</v>
      </c>
      <c r="S11" s="711">
        <f t="shared" si="0"/>
        <v>100</v>
      </c>
      <c r="T11" s="710" t="s">
        <v>17</v>
      </c>
      <c r="U11" s="711">
        <f t="shared" si="1"/>
        <v>100</v>
      </c>
      <c r="V11" s="710" t="s">
        <v>17</v>
      </c>
      <c r="W11" s="711">
        <f t="shared" si="2"/>
        <v>100</v>
      </c>
      <c r="X11" s="712"/>
      <c r="Y11" s="31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61"/>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61"/>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
      <c r="A14" s="361" t="s">
        <v>2380</v>
      </c>
      <c r="B14" s="585" t="s">
        <v>2530</v>
      </c>
      <c r="C14" s="215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63" t="s">
        <v>2381</v>
      </c>
      <c r="Q14" s="1536" t="str">
        <f t="shared" si="6"/>
        <v>交通便捷度</v>
      </c>
      <c r="R14" s="714" t="s">
        <v>17</v>
      </c>
      <c r="S14" s="715">
        <f t="shared" si="0"/>
        <v>100</v>
      </c>
      <c r="T14" s="714" t="s">
        <v>17</v>
      </c>
      <c r="U14" s="715">
        <f t="shared" si="1"/>
        <v>100</v>
      </c>
      <c r="V14" s="714" t="s">
        <v>17</v>
      </c>
      <c r="W14" s="715">
        <f t="shared" si="2"/>
        <v>100</v>
      </c>
      <c r="X14" s="1539"/>
      <c r="Y14" s="326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64"/>
      <c r="Q15" s="1536"/>
      <c r="R15" s="714"/>
      <c r="S15" s="715"/>
      <c r="T15" s="714"/>
      <c r="U15" s="715"/>
      <c r="V15" s="714"/>
      <c r="W15" s="715"/>
      <c r="X15" s="1539"/>
      <c r="Y15" s="3264"/>
      <c r="Z15" s="1540"/>
      <c r="AA15" s="1537">
        <v>1</v>
      </c>
      <c r="AB15" s="1537">
        <v>1</v>
      </c>
      <c r="AC15" s="1537">
        <v>1</v>
      </c>
    </row>
    <row r="16" spans="1:29" ht="15">
      <c r="A16" s="364"/>
      <c r="B16" s="587" t="s">
        <v>2509</v>
      </c>
      <c r="C16" s="208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64"/>
      <c r="Q16" s="1536" t="str">
        <f>B16</f>
        <v>公共配套设施</v>
      </c>
      <c r="R16" s="714" t="s">
        <v>17</v>
      </c>
      <c r="S16" s="715">
        <f>F16</f>
        <v>100</v>
      </c>
      <c r="T16" s="714" t="s">
        <v>17</v>
      </c>
      <c r="U16" s="715">
        <f>H16</f>
        <v>100</v>
      </c>
      <c r="V16" s="714" t="s">
        <v>17</v>
      </c>
      <c r="W16" s="715">
        <f>J16</f>
        <v>100</v>
      </c>
      <c r="X16" s="1539"/>
      <c r="Y16" s="326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64"/>
      <c r="Q17" s="1536"/>
      <c r="R17" s="714"/>
      <c r="S17" s="715"/>
      <c r="T17" s="714"/>
      <c r="U17" s="715"/>
      <c r="V17" s="714"/>
      <c r="W17" s="715"/>
      <c r="X17" s="1539"/>
      <c r="Y17" s="3264"/>
      <c r="Z17" s="1540"/>
      <c r="AA17" s="1537">
        <v>1</v>
      </c>
      <c r="AB17" s="1537">
        <v>1</v>
      </c>
      <c r="AC17" s="1537">
        <v>1</v>
      </c>
    </row>
    <row r="18" spans="1:29" ht="15">
      <c r="A18" s="364"/>
      <c r="B18" s="589" t="s">
        <v>2510</v>
      </c>
      <c r="C18" s="208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64"/>
      <c r="Q18" s="1536" t="str">
        <f>B18</f>
        <v>基础设施水平</v>
      </c>
      <c r="R18" s="714" t="s">
        <v>17</v>
      </c>
      <c r="S18" s="715">
        <f>F18</f>
        <v>100</v>
      </c>
      <c r="T18" s="714" t="s">
        <v>17</v>
      </c>
      <c r="U18" s="715">
        <f>H18</f>
        <v>100</v>
      </c>
      <c r="V18" s="714" t="s">
        <v>17</v>
      </c>
      <c r="W18" s="715">
        <f>J18</f>
        <v>100</v>
      </c>
      <c r="X18" s="1539"/>
      <c r="Y18" s="326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64"/>
      <c r="Q19" s="1536"/>
      <c r="R19" s="714"/>
      <c r="S19" s="715"/>
      <c r="T19" s="714"/>
      <c r="U19" s="715"/>
      <c r="V19" s="714"/>
      <c r="W19" s="715"/>
      <c r="X19" s="1539"/>
      <c r="Y19" s="3264"/>
      <c r="Z19" s="1540"/>
      <c r="AA19" s="1537">
        <v>1</v>
      </c>
      <c r="AB19" s="1537">
        <v>1</v>
      </c>
      <c r="AC19" s="1537">
        <v>1</v>
      </c>
    </row>
    <row r="20" spans="1:29" ht="15">
      <c r="A20" s="364"/>
      <c r="B20" s="587" t="s">
        <v>2531</v>
      </c>
      <c r="C20" s="208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64"/>
      <c r="Q20" s="1536" t="str">
        <f>B20</f>
        <v>自然及人文环境</v>
      </c>
      <c r="R20" s="714" t="s">
        <v>17</v>
      </c>
      <c r="S20" s="715">
        <f>F20</f>
        <v>100</v>
      </c>
      <c r="T20" s="714" t="s">
        <v>17</v>
      </c>
      <c r="U20" s="715">
        <f>H20</f>
        <v>100</v>
      </c>
      <c r="V20" s="714" t="s">
        <v>17</v>
      </c>
      <c r="W20" s="715">
        <f>J20</f>
        <v>100</v>
      </c>
      <c r="X20" s="1539"/>
      <c r="Y20" s="326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64"/>
      <c r="Q21" s="1536"/>
      <c r="R21" s="714"/>
      <c r="S21" s="715"/>
      <c r="T21" s="714"/>
      <c r="U21" s="715"/>
      <c r="V21" s="714"/>
      <c r="W21" s="715"/>
      <c r="X21" s="1539"/>
      <c r="Y21" s="326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64"/>
      <c r="Q22" s="1536" t="str">
        <f>B22</f>
        <v>楼层</v>
      </c>
      <c r="R22" s="714" t="s">
        <v>17</v>
      </c>
      <c r="S22" s="715">
        <f>F22</f>
        <v>100</v>
      </c>
      <c r="T22" s="714" t="s">
        <v>17</v>
      </c>
      <c r="U22" s="715">
        <f>H22</f>
        <v>100</v>
      </c>
      <c r="V22" s="714" t="s">
        <v>17</v>
      </c>
      <c r="W22" s="715">
        <f>J22</f>
        <v>100</v>
      </c>
      <c r="X22" s="1539"/>
      <c r="Y22" s="326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64"/>
      <c r="Q23" s="1536">
        <f>B23</f>
        <v>111</v>
      </c>
      <c r="R23" s="714" t="s">
        <v>17</v>
      </c>
      <c r="S23" s="715">
        <f>F23</f>
        <v>100</v>
      </c>
      <c r="T23" s="714" t="s">
        <v>17</v>
      </c>
      <c r="U23" s="715">
        <f>H23</f>
        <v>100</v>
      </c>
      <c r="V23" s="714" t="s">
        <v>17</v>
      </c>
      <c r="W23" s="715">
        <f>J23</f>
        <v>100</v>
      </c>
      <c r="X23" s="1539"/>
      <c r="Y23" s="326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64"/>
      <c r="Q24" s="1536">
        <f t="shared" ref="Q24:Q36" si="11">B24</f>
        <v>111</v>
      </c>
      <c r="R24" s="714" t="s">
        <v>17</v>
      </c>
      <c r="S24" s="715">
        <f>F24</f>
        <v>100</v>
      </c>
      <c r="T24" s="714" t="s">
        <v>17</v>
      </c>
      <c r="U24" s="715">
        <f>H24</f>
        <v>100</v>
      </c>
      <c r="V24" s="714" t="s">
        <v>17</v>
      </c>
      <c r="W24" s="715">
        <f>J24</f>
        <v>100</v>
      </c>
      <c r="X24" s="1539"/>
      <c r="Y24" s="326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64"/>
      <c r="Q25" s="1527">
        <f t="shared" si="11"/>
        <v>111</v>
      </c>
      <c r="R25" s="710" t="s">
        <v>17</v>
      </c>
      <c r="S25" s="711">
        <f>F25</f>
        <v>100</v>
      </c>
      <c r="T25" s="710" t="s">
        <v>17</v>
      </c>
      <c r="U25" s="711">
        <f>H25</f>
        <v>100</v>
      </c>
      <c r="V25" s="710" t="s">
        <v>17</v>
      </c>
      <c r="W25" s="711">
        <f>J25</f>
        <v>100</v>
      </c>
      <c r="X25" s="712"/>
      <c r="Y25" s="3264"/>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0"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6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68"/>
      <c r="Q27" s="716" t="str">
        <f t="shared" si="11"/>
        <v>项目停车位配比</v>
      </c>
      <c r="R27" s="717" t="s">
        <v>17</v>
      </c>
      <c r="S27" s="718">
        <f t="shared" si="12"/>
        <v>100</v>
      </c>
      <c r="T27" s="717" t="s">
        <v>17</v>
      </c>
      <c r="U27" s="718">
        <f t="shared" si="13"/>
        <v>100</v>
      </c>
      <c r="V27" s="717" t="s">
        <v>17</v>
      </c>
      <c r="W27" s="718">
        <f t="shared" si="14"/>
        <v>100</v>
      </c>
      <c r="X27" s="719"/>
      <c r="Y27" s="326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68"/>
      <c r="Q28" s="1536" t="str">
        <f t="shared" si="11"/>
        <v>公共部分装修</v>
      </c>
      <c r="R28" s="714" t="s">
        <v>17</v>
      </c>
      <c r="S28" s="715">
        <f t="shared" si="12"/>
        <v>100</v>
      </c>
      <c r="T28" s="714" t="s">
        <v>17</v>
      </c>
      <c r="U28" s="715">
        <f t="shared" si="13"/>
        <v>100</v>
      </c>
      <c r="V28" s="714" t="s">
        <v>17</v>
      </c>
      <c r="W28" s="715">
        <f t="shared" si="14"/>
        <v>100</v>
      </c>
      <c r="X28" s="1539"/>
      <c r="Y28" s="326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68"/>
      <c r="Q29" s="1536" t="str">
        <f t="shared" si="11"/>
        <v>成新率</v>
      </c>
      <c r="R29" s="714" t="s">
        <v>17</v>
      </c>
      <c r="S29" s="715" t="e">
        <f t="shared" si="12"/>
        <v>#N/A</v>
      </c>
      <c r="T29" s="714" t="s">
        <v>17</v>
      </c>
      <c r="U29" s="715" t="e">
        <f t="shared" si="13"/>
        <v>#N/A</v>
      </c>
      <c r="V29" s="714" t="s">
        <v>17</v>
      </c>
      <c r="W29" s="715" t="e">
        <f t="shared" si="14"/>
        <v>#N/A</v>
      </c>
      <c r="X29" s="1539"/>
      <c r="Y29" s="326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68"/>
      <c r="Q30" s="1536" t="str">
        <f t="shared" si="11"/>
        <v>物业等级</v>
      </c>
      <c r="R30" s="714" t="s">
        <v>17</v>
      </c>
      <c r="S30" s="715">
        <f t="shared" si="12"/>
        <v>100</v>
      </c>
      <c r="T30" s="714" t="s">
        <v>17</v>
      </c>
      <c r="U30" s="715">
        <f t="shared" si="13"/>
        <v>100</v>
      </c>
      <c r="V30" s="714" t="s">
        <v>17</v>
      </c>
      <c r="W30" s="715">
        <f t="shared" si="14"/>
        <v>100</v>
      </c>
      <c r="X30" s="1539"/>
      <c r="Y30" s="326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68"/>
      <c r="Q31" s="1527" t="str">
        <f t="shared" si="11"/>
        <v>停车位面积</v>
      </c>
      <c r="R31" s="710" t="s">
        <v>17</v>
      </c>
      <c r="S31" s="711" t="e">
        <f t="shared" si="12"/>
        <v>#N/A</v>
      </c>
      <c r="T31" s="710" t="s">
        <v>17</v>
      </c>
      <c r="U31" s="711" t="e">
        <f t="shared" si="13"/>
        <v>#N/A</v>
      </c>
      <c r="V31" s="710" t="s">
        <v>17</v>
      </c>
      <c r="W31" s="711" t="e">
        <f t="shared" si="14"/>
        <v>#N/A</v>
      </c>
      <c r="X31" s="712"/>
      <c r="Y31" s="326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68" t="s">
        <v>2386</v>
      </c>
      <c r="Q32" s="1536" t="str">
        <f t="shared" si="11"/>
        <v>车位类型</v>
      </c>
      <c r="R32" s="714" t="s">
        <v>17</v>
      </c>
      <c r="S32" s="715">
        <f t="shared" si="12"/>
        <v>100</v>
      </c>
      <c r="T32" s="714" t="s">
        <v>17</v>
      </c>
      <c r="U32" s="715">
        <f t="shared" si="13"/>
        <v>100</v>
      </c>
      <c r="V32" s="714" t="s">
        <v>17</v>
      </c>
      <c r="W32" s="715">
        <f t="shared" si="14"/>
        <v>100</v>
      </c>
      <c r="X32" s="1539"/>
      <c r="Y32" s="326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68"/>
      <c r="Q33" s="1536" t="str">
        <f t="shared" si="11"/>
        <v>是否直接入户</v>
      </c>
      <c r="R33" s="714" t="s">
        <v>17</v>
      </c>
      <c r="S33" s="715">
        <f t="shared" si="12"/>
        <v>100</v>
      </c>
      <c r="T33" s="714" t="s">
        <v>17</v>
      </c>
      <c r="U33" s="715">
        <f t="shared" si="13"/>
        <v>100</v>
      </c>
      <c r="V33" s="714" t="s">
        <v>17</v>
      </c>
      <c r="W33" s="715">
        <f t="shared" si="14"/>
        <v>100</v>
      </c>
      <c r="X33" s="1539"/>
      <c r="Y33" s="326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68"/>
      <c r="Q34" s="1536">
        <f t="shared" si="11"/>
        <v>111</v>
      </c>
      <c r="R34" s="714" t="s">
        <v>17</v>
      </c>
      <c r="S34" s="715">
        <f t="shared" si="12"/>
        <v>100</v>
      </c>
      <c r="T34" s="714" t="s">
        <v>17</v>
      </c>
      <c r="U34" s="715">
        <f t="shared" si="13"/>
        <v>100</v>
      </c>
      <c r="V34" s="714" t="s">
        <v>17</v>
      </c>
      <c r="W34" s="715">
        <f t="shared" si="14"/>
        <v>100</v>
      </c>
      <c r="X34" s="1539"/>
      <c r="Y34" s="326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68"/>
      <c r="Q35" s="716">
        <f t="shared" si="11"/>
        <v>111</v>
      </c>
      <c r="R35" s="717" t="s">
        <v>17</v>
      </c>
      <c r="S35" s="718">
        <f t="shared" si="12"/>
        <v>100</v>
      </c>
      <c r="T35" s="717" t="s">
        <v>17</v>
      </c>
      <c r="U35" s="718">
        <f t="shared" si="13"/>
        <v>100</v>
      </c>
      <c r="V35" s="717" t="s">
        <v>17</v>
      </c>
      <c r="W35" s="718">
        <f t="shared" si="14"/>
        <v>100</v>
      </c>
      <c r="X35" s="719"/>
      <c r="Y35" s="326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68"/>
      <c r="Q36" s="1536">
        <f t="shared" si="11"/>
        <v>111</v>
      </c>
      <c r="R36" s="714" t="s">
        <v>17</v>
      </c>
      <c r="S36" s="715">
        <f t="shared" si="12"/>
        <v>100</v>
      </c>
      <c r="T36" s="714" t="s">
        <v>17</v>
      </c>
      <c r="U36" s="715">
        <f t="shared" si="13"/>
        <v>100</v>
      </c>
      <c r="V36" s="714" t="s">
        <v>17</v>
      </c>
      <c r="W36" s="715">
        <f t="shared" si="14"/>
        <v>100</v>
      </c>
      <c r="X36" s="1539"/>
      <c r="Y36" s="326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61" t="str">
        <f>A37</f>
        <v>成交单价</v>
      </c>
      <c r="Q37" s="3261"/>
      <c r="R37" s="3262">
        <f>E37</f>
        <v>0</v>
      </c>
      <c r="S37" s="3262"/>
      <c r="T37" s="3262">
        <f>G37</f>
        <v>0</v>
      </c>
      <c r="U37" s="3262"/>
      <c r="V37" s="3262">
        <f>I37</f>
        <v>0</v>
      </c>
      <c r="W37" s="3262"/>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58" t="str">
        <f>A39</f>
        <v>估价对象XX用房的比较价值（楼面单价，元/平方米）</v>
      </c>
      <c r="Q39" s="3259"/>
      <c r="R39" s="3351" t="e">
        <f>IF(F1="售价",ROUND(IF(D38="简单平均",AVERAGE(R38:W38),R38*F38+T38*H38+V38*J38),0),ROUND(IF(D38="简单平均",AVERAGE(R38:V38),R38*F38+T38*H38+V38*J38),1))</f>
        <v>#DIV/0!</v>
      </c>
      <c r="S39" s="3351"/>
      <c r="T39" s="3351"/>
      <c r="U39" s="3351"/>
      <c r="V39" s="3351"/>
      <c r="W39" s="335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6" t="s">
        <v>2467</v>
      </c>
      <c r="D4" s="3277"/>
      <c r="E4" s="3278" t="s">
        <v>2468</v>
      </c>
      <c r="F4" s="3279"/>
      <c r="G4" s="3276" t="s">
        <v>2469</v>
      </c>
      <c r="H4" s="3277"/>
      <c r="I4" s="3276" t="s">
        <v>2470</v>
      </c>
      <c r="J4" s="3277"/>
      <c r="K4" s="567" t="s">
        <v>2471</v>
      </c>
      <c r="L4" s="2944"/>
      <c r="M4" s="2945"/>
      <c r="N4" s="2945"/>
      <c r="O4" s="2945"/>
      <c r="P4" s="3280" t="s">
        <v>2472</v>
      </c>
      <c r="Q4" s="3281"/>
      <c r="R4" s="3286" t="s">
        <v>2468</v>
      </c>
      <c r="S4" s="3287"/>
      <c r="T4" s="3286" t="s">
        <v>2469</v>
      </c>
      <c r="U4" s="3287"/>
      <c r="V4" s="3292" t="s">
        <v>2470</v>
      </c>
      <c r="W4" s="3292"/>
      <c r="X4" s="1539"/>
      <c r="Y4" s="3286" t="s">
        <v>2472</v>
      </c>
      <c r="Z4" s="3287"/>
      <c r="AA4" s="3273" t="s">
        <v>2468</v>
      </c>
      <c r="AB4" s="3274" t="s">
        <v>2469</v>
      </c>
      <c r="AC4" s="3273" t="s">
        <v>2470</v>
      </c>
    </row>
    <row r="5" spans="1:29" ht="15">
      <c r="A5" s="364"/>
      <c r="B5" s="365"/>
      <c r="C5" s="3295" t="s">
        <v>2363</v>
      </c>
      <c r="D5" s="3296"/>
      <c r="E5" s="3302" t="s">
        <v>2364</v>
      </c>
      <c r="F5" s="3303"/>
      <c r="G5" s="3295" t="s">
        <v>2365</v>
      </c>
      <c r="H5" s="3296"/>
      <c r="I5" s="3295" t="s">
        <v>2366</v>
      </c>
      <c r="J5" s="3296"/>
      <c r="K5" s="567"/>
      <c r="L5" s="2944"/>
      <c r="M5" s="2945"/>
      <c r="N5" s="2945"/>
      <c r="O5" s="2945"/>
      <c r="P5" s="3282"/>
      <c r="Q5" s="3283"/>
      <c r="R5" s="3288"/>
      <c r="S5" s="3289"/>
      <c r="T5" s="3288"/>
      <c r="U5" s="3289"/>
      <c r="V5" s="3292"/>
      <c r="W5" s="3292"/>
      <c r="X5" s="1539"/>
      <c r="Y5" s="3288"/>
      <c r="Z5" s="3289"/>
      <c r="AA5" s="3274"/>
      <c r="AB5" s="3274"/>
      <c r="AC5" s="3274"/>
    </row>
    <row r="6" spans="1:29" ht="15.75" thickBot="1">
      <c r="A6" s="366"/>
      <c r="B6" s="367"/>
      <c r="C6" s="3293" t="s">
        <v>2367</v>
      </c>
      <c r="D6" s="3294"/>
      <c r="E6" s="3300" t="s">
        <v>2367</v>
      </c>
      <c r="F6" s="3301"/>
      <c r="G6" s="3293" t="s">
        <v>2367</v>
      </c>
      <c r="H6" s="3294"/>
      <c r="I6" s="3293" t="s">
        <v>2367</v>
      </c>
      <c r="J6" s="3294"/>
      <c r="K6" s="567" t="s">
        <v>2368</v>
      </c>
      <c r="L6" s="2944"/>
      <c r="M6" s="2945"/>
      <c r="N6" s="2945"/>
      <c r="O6" s="2945"/>
      <c r="P6" s="3284"/>
      <c r="Q6" s="3285"/>
      <c r="R6" s="3288"/>
      <c r="S6" s="3289"/>
      <c r="T6" s="3290"/>
      <c r="U6" s="3291"/>
      <c r="V6" s="3292"/>
      <c r="W6" s="3292"/>
      <c r="X6" s="1539"/>
      <c r="Y6" s="3290"/>
      <c r="Z6" s="3291"/>
      <c r="AA6" s="3275"/>
      <c r="AB6" s="3275"/>
      <c r="AC6" s="3275"/>
    </row>
    <row r="7" spans="1:29" s="113" customFormat="1" ht="15.75" thickBot="1">
      <c r="A7" s="368" t="s">
        <v>2369</v>
      </c>
      <c r="B7" s="369"/>
      <c r="C7" s="370">
        <f>'数据-取费表'!B2</f>
        <v>44307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97" t="s">
        <v>2370</v>
      </c>
      <c r="Q7" s="3299"/>
      <c r="R7" s="710" t="s">
        <v>17</v>
      </c>
      <c r="S7" s="711">
        <f t="shared" ref="S7:S14" si="0">F7</f>
        <v>0</v>
      </c>
      <c r="T7" s="710" t="s">
        <v>17</v>
      </c>
      <c r="U7" s="711">
        <f t="shared" ref="U7:U14" si="1">H7</f>
        <v>0</v>
      </c>
      <c r="V7" s="710" t="s">
        <v>17</v>
      </c>
      <c r="W7" s="711">
        <f t="shared" ref="W7:W14"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61" t="s">
        <v>2376</v>
      </c>
      <c r="Q9" s="1527" t="str">
        <f t="shared" ref="Q9:Q14" si="6">B9</f>
        <v>用途</v>
      </c>
      <c r="R9" s="710" t="s">
        <v>17</v>
      </c>
      <c r="S9" s="711">
        <f t="shared" si="0"/>
        <v>100</v>
      </c>
      <c r="T9" s="710" t="s">
        <v>17</v>
      </c>
      <c r="U9" s="711">
        <f t="shared" si="1"/>
        <v>100</v>
      </c>
      <c r="V9" s="710" t="s">
        <v>17</v>
      </c>
      <c r="W9" s="711">
        <f t="shared" si="2"/>
        <v>100</v>
      </c>
      <c r="X9" s="712"/>
      <c r="Y9" s="316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61"/>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61"/>
      <c r="Q11" s="1527">
        <f t="shared" si="6"/>
        <v>111</v>
      </c>
      <c r="R11" s="710" t="s">
        <v>17</v>
      </c>
      <c r="S11" s="711">
        <f t="shared" si="0"/>
        <v>100</v>
      </c>
      <c r="T11" s="710" t="s">
        <v>17</v>
      </c>
      <c r="U11" s="711">
        <f t="shared" si="1"/>
        <v>100</v>
      </c>
      <c r="V11" s="710" t="s">
        <v>17</v>
      </c>
      <c r="W11" s="711">
        <f t="shared" si="2"/>
        <v>100</v>
      </c>
      <c r="X11" s="712"/>
      <c r="Y11" s="316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61"/>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61"/>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
      <c r="A14" s="399" t="s">
        <v>2380</v>
      </c>
      <c r="B14" s="65" t="s">
        <v>2530</v>
      </c>
      <c r="C14" s="215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63" t="s">
        <v>2381</v>
      </c>
      <c r="Q14" s="1536" t="str">
        <f t="shared" si="6"/>
        <v>交通便捷度</v>
      </c>
      <c r="R14" s="714" t="s">
        <v>17</v>
      </c>
      <c r="S14" s="715">
        <f t="shared" si="0"/>
        <v>100</v>
      </c>
      <c r="T14" s="714" t="s">
        <v>17</v>
      </c>
      <c r="U14" s="715">
        <f t="shared" si="1"/>
        <v>100</v>
      </c>
      <c r="V14" s="714" t="s">
        <v>17</v>
      </c>
      <c r="W14" s="715">
        <f t="shared" si="2"/>
        <v>100</v>
      </c>
      <c r="X14" s="1539"/>
      <c r="Y14" s="326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64"/>
      <c r="Q15" s="1536"/>
      <c r="R15" s="714"/>
      <c r="S15" s="715"/>
      <c r="T15" s="714"/>
      <c r="U15" s="715"/>
      <c r="V15" s="714"/>
      <c r="W15" s="715"/>
      <c r="X15" s="1539"/>
      <c r="Y15" s="3264"/>
      <c r="Z15" s="1540"/>
      <c r="AA15" s="1537">
        <v>1</v>
      </c>
      <c r="AB15" s="1537">
        <v>1</v>
      </c>
      <c r="AC15" s="1537">
        <v>1</v>
      </c>
    </row>
    <row r="16" spans="1:29" ht="15">
      <c r="A16" s="387"/>
      <c r="B16" s="410" t="s">
        <v>2509</v>
      </c>
      <c r="C16" s="208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64"/>
      <c r="Q16" s="1536" t="str">
        <f>B16</f>
        <v>公共配套设施</v>
      </c>
      <c r="R16" s="714" t="s">
        <v>17</v>
      </c>
      <c r="S16" s="715">
        <f>F16</f>
        <v>100</v>
      </c>
      <c r="T16" s="714" t="s">
        <v>17</v>
      </c>
      <c r="U16" s="715">
        <f>H16</f>
        <v>100</v>
      </c>
      <c r="V16" s="714" t="s">
        <v>17</v>
      </c>
      <c r="W16" s="715">
        <f>J16</f>
        <v>100</v>
      </c>
      <c r="X16" s="1539"/>
      <c r="Y16" s="326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64"/>
      <c r="Q17" s="1536"/>
      <c r="R17" s="714"/>
      <c r="S17" s="715"/>
      <c r="T17" s="714"/>
      <c r="U17" s="715"/>
      <c r="V17" s="714"/>
      <c r="W17" s="715"/>
      <c r="X17" s="1539"/>
      <c r="Y17" s="3264"/>
      <c r="Z17" s="1540"/>
      <c r="AA17" s="1537">
        <v>1</v>
      </c>
      <c r="AB17" s="1537">
        <v>1</v>
      </c>
      <c r="AC17" s="1537">
        <v>1</v>
      </c>
    </row>
    <row r="18" spans="1:29" ht="15">
      <c r="A18" s="387"/>
      <c r="B18" s="1293" t="s">
        <v>2510</v>
      </c>
      <c r="C18" s="208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64"/>
      <c r="Q18" s="1536" t="str">
        <f>B18</f>
        <v>基础设施水平</v>
      </c>
      <c r="R18" s="714" t="s">
        <v>17</v>
      </c>
      <c r="S18" s="715">
        <f>F18</f>
        <v>100</v>
      </c>
      <c r="T18" s="714" t="s">
        <v>17</v>
      </c>
      <c r="U18" s="715">
        <f>H18</f>
        <v>100</v>
      </c>
      <c r="V18" s="714" t="s">
        <v>17</v>
      </c>
      <c r="W18" s="715">
        <f>J18</f>
        <v>100</v>
      </c>
      <c r="X18" s="1539"/>
      <c r="Y18" s="326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64"/>
      <c r="Q19" s="1536"/>
      <c r="R19" s="714"/>
      <c r="S19" s="715"/>
      <c r="T19" s="714"/>
      <c r="U19" s="715"/>
      <c r="V19" s="714"/>
      <c r="W19" s="715"/>
      <c r="X19" s="1539"/>
      <c r="Y19" s="3264"/>
      <c r="Z19" s="1540"/>
      <c r="AA19" s="1537">
        <v>1</v>
      </c>
      <c r="AB19" s="1537">
        <v>1</v>
      </c>
      <c r="AC19" s="1537">
        <v>1</v>
      </c>
    </row>
    <row r="20" spans="1:29" ht="15">
      <c r="A20" s="387"/>
      <c r="B20" s="410" t="s">
        <v>2531</v>
      </c>
      <c r="C20" s="208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64"/>
      <c r="Q20" s="1536" t="str">
        <f>B20</f>
        <v>自然及人文环境</v>
      </c>
      <c r="R20" s="714" t="s">
        <v>17</v>
      </c>
      <c r="S20" s="715">
        <f>F20</f>
        <v>100</v>
      </c>
      <c r="T20" s="714" t="s">
        <v>17</v>
      </c>
      <c r="U20" s="715">
        <f>H20</f>
        <v>100</v>
      </c>
      <c r="V20" s="714" t="s">
        <v>17</v>
      </c>
      <c r="W20" s="715">
        <f>J20</f>
        <v>100</v>
      </c>
      <c r="X20" s="1539"/>
      <c r="Y20" s="326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64"/>
      <c r="Q21" s="1536"/>
      <c r="R21" s="714"/>
      <c r="S21" s="715"/>
      <c r="T21" s="714"/>
      <c r="U21" s="715"/>
      <c r="V21" s="714"/>
      <c r="W21" s="715"/>
      <c r="X21" s="1539"/>
      <c r="Y21" s="326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64"/>
      <c r="Q22" s="1536" t="str">
        <f>B22</f>
        <v>楼层</v>
      </c>
      <c r="R22" s="714" t="s">
        <v>17</v>
      </c>
      <c r="S22" s="715">
        <f>F22</f>
        <v>100</v>
      </c>
      <c r="T22" s="714" t="s">
        <v>17</v>
      </c>
      <c r="U22" s="715">
        <f>H22</f>
        <v>100</v>
      </c>
      <c r="V22" s="714" t="s">
        <v>17</v>
      </c>
      <c r="W22" s="715">
        <f>J22</f>
        <v>100</v>
      </c>
      <c r="X22" s="1539"/>
      <c r="Y22" s="326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64"/>
      <c r="Q23" s="1536">
        <f>B23</f>
        <v>111</v>
      </c>
      <c r="R23" s="714" t="s">
        <v>17</v>
      </c>
      <c r="S23" s="715">
        <f>F23</f>
        <v>100</v>
      </c>
      <c r="T23" s="714" t="s">
        <v>17</v>
      </c>
      <c r="U23" s="715">
        <f>H23</f>
        <v>100</v>
      </c>
      <c r="V23" s="714" t="s">
        <v>17</v>
      </c>
      <c r="W23" s="715">
        <f>J23</f>
        <v>100</v>
      </c>
      <c r="X23" s="1539"/>
      <c r="Y23" s="326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64"/>
      <c r="Q24" s="1536">
        <f t="shared" ref="Q24:Q34" si="11">B24</f>
        <v>111</v>
      </c>
      <c r="R24" s="714" t="s">
        <v>17</v>
      </c>
      <c r="S24" s="715">
        <f>F24</f>
        <v>100</v>
      </c>
      <c r="T24" s="714" t="s">
        <v>17</v>
      </c>
      <c r="U24" s="715">
        <f>H24</f>
        <v>100</v>
      </c>
      <c r="V24" s="714" t="s">
        <v>17</v>
      </c>
      <c r="W24" s="715">
        <f>J24</f>
        <v>100</v>
      </c>
      <c r="X24" s="1539"/>
      <c r="Y24" s="326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64"/>
      <c r="Q25" s="1527">
        <f t="shared" si="11"/>
        <v>111</v>
      </c>
      <c r="R25" s="710" t="s">
        <v>17</v>
      </c>
      <c r="S25" s="711">
        <f>F25</f>
        <v>100</v>
      </c>
      <c r="T25" s="710" t="s">
        <v>17</v>
      </c>
      <c r="U25" s="711">
        <f>H25</f>
        <v>100</v>
      </c>
      <c r="V25" s="710" t="s">
        <v>17</v>
      </c>
      <c r="W25" s="711">
        <f>J25</f>
        <v>100</v>
      </c>
      <c r="X25" s="712"/>
      <c r="Y25" s="3264"/>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0"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6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68"/>
      <c r="Q27" s="716" t="str">
        <f t="shared" si="11"/>
        <v>成新率</v>
      </c>
      <c r="R27" s="717" t="s">
        <v>17</v>
      </c>
      <c r="S27" s="718" t="e">
        <f t="shared" si="12"/>
        <v>#N/A</v>
      </c>
      <c r="T27" s="717" t="s">
        <v>17</v>
      </c>
      <c r="U27" s="718" t="e">
        <f t="shared" si="13"/>
        <v>#N/A</v>
      </c>
      <c r="V27" s="717" t="s">
        <v>17</v>
      </c>
      <c r="W27" s="718" t="e">
        <f t="shared" si="14"/>
        <v>#N/A</v>
      </c>
      <c r="X27" s="719"/>
      <c r="Y27" s="326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68"/>
      <c r="Q28" s="1536" t="str">
        <f t="shared" si="11"/>
        <v>物业等级</v>
      </c>
      <c r="R28" s="714" t="s">
        <v>17</v>
      </c>
      <c r="S28" s="715">
        <f t="shared" si="12"/>
        <v>100</v>
      </c>
      <c r="T28" s="714" t="s">
        <v>17</v>
      </c>
      <c r="U28" s="715">
        <f t="shared" si="13"/>
        <v>100</v>
      </c>
      <c r="V28" s="714" t="s">
        <v>17</v>
      </c>
      <c r="W28" s="715">
        <f t="shared" si="14"/>
        <v>100</v>
      </c>
      <c r="X28" s="1539"/>
      <c r="Y28" s="326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68"/>
      <c r="Q29" s="1536" t="str">
        <f t="shared" si="11"/>
        <v>有无电梯</v>
      </c>
      <c r="R29" s="714" t="s">
        <v>17</v>
      </c>
      <c r="S29" s="715">
        <f t="shared" si="12"/>
        <v>100</v>
      </c>
      <c r="T29" s="714" t="s">
        <v>17</v>
      </c>
      <c r="U29" s="715">
        <f t="shared" si="13"/>
        <v>100</v>
      </c>
      <c r="V29" s="714" t="s">
        <v>17</v>
      </c>
      <c r="W29" s="715">
        <f t="shared" si="14"/>
        <v>100</v>
      </c>
      <c r="X29" s="1539"/>
      <c r="Y29" s="326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68"/>
      <c r="Q30" s="1536" t="str">
        <f t="shared" si="11"/>
        <v>建筑面积</v>
      </c>
      <c r="R30" s="714" t="s">
        <v>17</v>
      </c>
      <c r="S30" s="715" t="e">
        <f t="shared" si="12"/>
        <v>#N/A</v>
      </c>
      <c r="T30" s="714" t="s">
        <v>17</v>
      </c>
      <c r="U30" s="715" t="e">
        <f t="shared" si="13"/>
        <v>#N/A</v>
      </c>
      <c r="V30" s="714" t="s">
        <v>17</v>
      </c>
      <c r="W30" s="715" t="e">
        <f t="shared" si="14"/>
        <v>#N/A</v>
      </c>
      <c r="X30" s="1539"/>
      <c r="Y30" s="326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68"/>
      <c r="Q31" s="1527" t="str">
        <f t="shared" si="11"/>
        <v>是否封闭</v>
      </c>
      <c r="R31" s="710" t="s">
        <v>17</v>
      </c>
      <c r="S31" s="711">
        <f t="shared" si="12"/>
        <v>100</v>
      </c>
      <c r="T31" s="710" t="s">
        <v>17</v>
      </c>
      <c r="U31" s="711">
        <f t="shared" si="13"/>
        <v>100</v>
      </c>
      <c r="V31" s="710" t="s">
        <v>17</v>
      </c>
      <c r="W31" s="711">
        <f t="shared" si="14"/>
        <v>100</v>
      </c>
      <c r="X31" s="712"/>
      <c r="Y31" s="326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68" t="s">
        <v>2386</v>
      </c>
      <c r="Q32" s="1536">
        <f t="shared" si="11"/>
        <v>111</v>
      </c>
      <c r="R32" s="714" t="s">
        <v>17</v>
      </c>
      <c r="S32" s="715">
        <f t="shared" si="12"/>
        <v>100</v>
      </c>
      <c r="T32" s="714" t="s">
        <v>17</v>
      </c>
      <c r="U32" s="715">
        <f t="shared" si="13"/>
        <v>100</v>
      </c>
      <c r="V32" s="714" t="s">
        <v>17</v>
      </c>
      <c r="W32" s="715">
        <f t="shared" si="14"/>
        <v>100</v>
      </c>
      <c r="X32" s="1539"/>
      <c r="Y32" s="326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68"/>
      <c r="Q33" s="1536">
        <f t="shared" si="11"/>
        <v>111</v>
      </c>
      <c r="R33" s="714" t="s">
        <v>17</v>
      </c>
      <c r="S33" s="715">
        <f t="shared" si="12"/>
        <v>100</v>
      </c>
      <c r="T33" s="714" t="s">
        <v>17</v>
      </c>
      <c r="U33" s="715">
        <f t="shared" si="13"/>
        <v>100</v>
      </c>
      <c r="V33" s="714" t="s">
        <v>17</v>
      </c>
      <c r="W33" s="715">
        <f t="shared" si="14"/>
        <v>100</v>
      </c>
      <c r="X33" s="1539"/>
      <c r="Y33" s="326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68"/>
      <c r="Q34" s="1536">
        <f t="shared" si="11"/>
        <v>111</v>
      </c>
      <c r="R34" s="714" t="s">
        <v>17</v>
      </c>
      <c r="S34" s="715">
        <f t="shared" si="12"/>
        <v>100</v>
      </c>
      <c r="T34" s="714" t="s">
        <v>17</v>
      </c>
      <c r="U34" s="715">
        <f t="shared" si="13"/>
        <v>100</v>
      </c>
      <c r="V34" s="714" t="s">
        <v>17</v>
      </c>
      <c r="W34" s="715">
        <f t="shared" si="14"/>
        <v>100</v>
      </c>
      <c r="X34" s="1539"/>
      <c r="Y34" s="326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61" t="str">
        <f>A35</f>
        <v>成交单价（元/平方米）</v>
      </c>
      <c r="Q35" s="3261"/>
      <c r="R35" s="3262">
        <f>E35</f>
        <v>0</v>
      </c>
      <c r="S35" s="3262"/>
      <c r="T35" s="3262">
        <f>G35</f>
        <v>0</v>
      </c>
      <c r="U35" s="3262"/>
      <c r="V35" s="3262">
        <f>I35</f>
        <v>0</v>
      </c>
      <c r="W35" s="3262"/>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58" t="str">
        <f>A37</f>
        <v>估价对象XX用房的比较价值（楼面单价，元/平方米）</v>
      </c>
      <c r="Q37" s="3259"/>
      <c r="R37" s="3351" t="e">
        <f>IF(F1="售价",ROUND(IF(D36="简单平均",AVERAGE(R36:W36),R36*F36+T36*H36+V36*J36),0),ROUND(IF(D36="简单平均",AVERAGE(R36:V36),R36*F36+T36*H36+V36*J36),1))</f>
        <v>#DIV/0!</v>
      </c>
      <c r="S37" s="3351"/>
      <c r="T37" s="3351"/>
      <c r="U37" s="3351"/>
      <c r="V37" s="3351"/>
      <c r="W37" s="335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C7:Q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76" t="s">
        <v>2467</v>
      </c>
      <c r="D4" s="3277"/>
      <c r="E4" s="3278" t="s">
        <v>2468</v>
      </c>
      <c r="F4" s="3279"/>
      <c r="G4" s="3276" t="s">
        <v>2469</v>
      </c>
      <c r="H4" s="3277"/>
      <c r="I4" s="3276" t="s">
        <v>2470</v>
      </c>
      <c r="J4" s="3277"/>
      <c r="K4" s="567" t="s">
        <v>2471</v>
      </c>
      <c r="L4" s="2944"/>
      <c r="M4" s="2945"/>
      <c r="N4" s="2945"/>
      <c r="O4" s="2945"/>
      <c r="P4" s="3280" t="s">
        <v>2472</v>
      </c>
      <c r="Q4" s="3281"/>
      <c r="R4" s="3286" t="s">
        <v>2468</v>
      </c>
      <c r="S4" s="3287"/>
      <c r="T4" s="3286" t="s">
        <v>2469</v>
      </c>
      <c r="U4" s="3287"/>
      <c r="V4" s="3292" t="s">
        <v>2470</v>
      </c>
      <c r="W4" s="3292"/>
      <c r="X4" s="1539"/>
      <c r="Y4" s="3286" t="s">
        <v>2472</v>
      </c>
      <c r="Z4" s="3287"/>
      <c r="AA4" s="3273" t="s">
        <v>2468</v>
      </c>
      <c r="AB4" s="3274" t="s">
        <v>2469</v>
      </c>
      <c r="AC4" s="3273" t="s">
        <v>2470</v>
      </c>
    </row>
    <row r="5" spans="1:30" ht="15">
      <c r="A5" s="364"/>
      <c r="B5" s="365"/>
      <c r="C5" s="3295" t="s">
        <v>2363</v>
      </c>
      <c r="D5" s="3296"/>
      <c r="E5" s="3302" t="s">
        <v>2364</v>
      </c>
      <c r="F5" s="3303"/>
      <c r="G5" s="3295" t="s">
        <v>2365</v>
      </c>
      <c r="H5" s="3296"/>
      <c r="I5" s="3295" t="s">
        <v>2366</v>
      </c>
      <c r="J5" s="3296"/>
      <c r="K5" s="567"/>
      <c r="L5" s="2944"/>
      <c r="M5" s="2945"/>
      <c r="N5" s="2945"/>
      <c r="O5" s="2945"/>
      <c r="P5" s="3282"/>
      <c r="Q5" s="3283"/>
      <c r="R5" s="3288"/>
      <c r="S5" s="3289"/>
      <c r="T5" s="3288"/>
      <c r="U5" s="3289"/>
      <c r="V5" s="3292"/>
      <c r="W5" s="3292"/>
      <c r="X5" s="1539"/>
      <c r="Y5" s="3288"/>
      <c r="Z5" s="3289"/>
      <c r="AA5" s="3274"/>
      <c r="AB5" s="3274"/>
      <c r="AC5" s="3274"/>
    </row>
    <row r="6" spans="1:30" ht="15.75" thickBot="1">
      <c r="A6" s="366"/>
      <c r="B6" s="367"/>
      <c r="C6" s="3293" t="s">
        <v>2367</v>
      </c>
      <c r="D6" s="3294"/>
      <c r="E6" s="3300" t="s">
        <v>2367</v>
      </c>
      <c r="F6" s="3301"/>
      <c r="G6" s="3293" t="s">
        <v>2367</v>
      </c>
      <c r="H6" s="3294"/>
      <c r="I6" s="3293" t="s">
        <v>2367</v>
      </c>
      <c r="J6" s="3294"/>
      <c r="K6" s="567" t="s">
        <v>2368</v>
      </c>
      <c r="L6" s="2944"/>
      <c r="M6" s="2945"/>
      <c r="N6" s="2945"/>
      <c r="O6" s="2945"/>
      <c r="P6" s="3284"/>
      <c r="Q6" s="3285"/>
      <c r="R6" s="3288"/>
      <c r="S6" s="3289"/>
      <c r="T6" s="3290"/>
      <c r="U6" s="3291"/>
      <c r="V6" s="3292"/>
      <c r="W6" s="3292"/>
      <c r="X6" s="1539"/>
      <c r="Y6" s="3290"/>
      <c r="Z6" s="3291"/>
      <c r="AA6" s="3275"/>
      <c r="AB6" s="3275"/>
      <c r="AC6" s="3275"/>
    </row>
    <row r="7" spans="1:30" s="113" customFormat="1" ht="15.75" thickBot="1">
      <c r="A7" s="368" t="s">
        <v>2369</v>
      </c>
      <c r="B7" s="369"/>
      <c r="C7" s="370">
        <f>'数据-取费表'!B2</f>
        <v>44307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97" t="s">
        <v>2370</v>
      </c>
      <c r="Q7" s="3299"/>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61"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261"/>
      <c r="Q10" s="1527" t="str">
        <f t="shared" si="6"/>
        <v>土地使用年限（年）</v>
      </c>
      <c r="R10" s="710" t="s">
        <v>17</v>
      </c>
      <c r="S10" s="711">
        <f t="shared" si="0"/>
        <v>104</v>
      </c>
      <c r="T10" s="710" t="s">
        <v>17</v>
      </c>
      <c r="U10" s="711">
        <f t="shared" si="1"/>
        <v>104</v>
      </c>
      <c r="V10" s="710" t="s">
        <v>17</v>
      </c>
      <c r="W10" s="711">
        <f t="shared" si="2"/>
        <v>104</v>
      </c>
      <c r="X10" s="712"/>
      <c r="Y10" s="3162"/>
      <c r="Z10" s="55" t="str">
        <f t="shared" si="7"/>
        <v>土地使用年限（年）</v>
      </c>
      <c r="AA10" s="713">
        <f t="shared" si="3"/>
        <v>0.96153846153846156</v>
      </c>
      <c r="AB10" s="713">
        <f t="shared" si="4"/>
        <v>0.96153846153846156</v>
      </c>
      <c r="AC10" s="713">
        <f t="shared" si="5"/>
        <v>0.96153846153846156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61"/>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61"/>
      <c r="Q12" s="1527" t="str">
        <f t="shared" si="6"/>
        <v>配建</v>
      </c>
      <c r="R12" s="710" t="s">
        <v>17</v>
      </c>
      <c r="S12" s="711">
        <f t="shared" si="0"/>
        <v>100</v>
      </c>
      <c r="T12" s="710" t="s">
        <v>17</v>
      </c>
      <c r="U12" s="711">
        <f t="shared" si="1"/>
        <v>100</v>
      </c>
      <c r="V12" s="710" t="s">
        <v>17</v>
      </c>
      <c r="W12" s="711">
        <f t="shared" si="2"/>
        <v>100</v>
      </c>
      <c r="X12" s="712"/>
      <c r="Y12" s="316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61"/>
      <c r="Q13" s="1527">
        <f t="shared" si="6"/>
        <v>111</v>
      </c>
      <c r="R13" s="710" t="s">
        <v>17</v>
      </c>
      <c r="S13" s="711">
        <f t="shared" si="0"/>
        <v>100</v>
      </c>
      <c r="T13" s="710" t="s">
        <v>17</v>
      </c>
      <c r="U13" s="711">
        <f t="shared" si="1"/>
        <v>100</v>
      </c>
      <c r="V13" s="710" t="s">
        <v>17</v>
      </c>
      <c r="W13" s="711">
        <f t="shared" si="2"/>
        <v>100</v>
      </c>
      <c r="X13" s="712"/>
      <c r="Y13" s="316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61"/>
      <c r="Q14" s="1527">
        <f t="shared" si="6"/>
        <v>111</v>
      </c>
      <c r="R14" s="710" t="s">
        <v>17</v>
      </c>
      <c r="S14" s="711">
        <f t="shared" si="0"/>
        <v>100</v>
      </c>
      <c r="T14" s="710" t="s">
        <v>17</v>
      </c>
      <c r="U14" s="711">
        <f t="shared" si="1"/>
        <v>100</v>
      </c>
      <c r="V14" s="710" t="s">
        <v>17</v>
      </c>
      <c r="W14" s="711">
        <f t="shared" si="2"/>
        <v>100</v>
      </c>
      <c r="X14" s="712"/>
      <c r="Y14" s="3162"/>
      <c r="Z14" s="55">
        <f t="shared" si="7"/>
        <v>111</v>
      </c>
      <c r="AA14" s="713">
        <f>D14/F14</f>
        <v>1</v>
      </c>
      <c r="AB14" s="713">
        <f>D14/H14</f>
        <v>1</v>
      </c>
      <c r="AC14" s="713">
        <f>D14/J14</f>
        <v>1</v>
      </c>
    </row>
    <row r="15" spans="1:30" ht="15">
      <c r="A15" s="399" t="s">
        <v>2380</v>
      </c>
      <c r="B15" s="65" t="s">
        <v>1943</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63" t="s">
        <v>2381</v>
      </c>
      <c r="Q15" s="1536" t="str">
        <f t="shared" si="6"/>
        <v>居住社区成熟度</v>
      </c>
      <c r="R15" s="714" t="s">
        <v>17</v>
      </c>
      <c r="S15" s="715">
        <f t="shared" si="0"/>
        <v>100</v>
      </c>
      <c r="T15" s="714" t="s">
        <v>17</v>
      </c>
      <c r="U15" s="715">
        <f t="shared" si="1"/>
        <v>100</v>
      </c>
      <c r="V15" s="714" t="s">
        <v>17</v>
      </c>
      <c r="W15" s="715">
        <f t="shared" si="2"/>
        <v>100</v>
      </c>
      <c r="X15" s="1539"/>
      <c r="Y15" s="326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64"/>
      <c r="Q16" s="1536"/>
      <c r="R16" s="714"/>
      <c r="S16" s="715"/>
      <c r="T16" s="714"/>
      <c r="U16" s="715"/>
      <c r="V16" s="714"/>
      <c r="W16" s="715"/>
      <c r="X16" s="1539"/>
      <c r="Y16" s="3264"/>
      <c r="Z16" s="1540"/>
      <c r="AA16" s="1537">
        <v>1</v>
      </c>
      <c r="AB16" s="1537">
        <v>1</v>
      </c>
      <c r="AC16" s="1537">
        <v>1</v>
      </c>
    </row>
    <row r="17" spans="1:29" ht="15">
      <c r="A17" s="387"/>
      <c r="B17" s="410" t="s">
        <v>2474</v>
      </c>
      <c r="C17" s="214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64"/>
      <c r="Q17" s="1536" t="str">
        <f>B17</f>
        <v>商业繁华度</v>
      </c>
      <c r="R17" s="714" t="s">
        <v>17</v>
      </c>
      <c r="S17" s="715">
        <f>F17</f>
        <v>100</v>
      </c>
      <c r="T17" s="714" t="s">
        <v>17</v>
      </c>
      <c r="U17" s="715">
        <f>H17</f>
        <v>100</v>
      </c>
      <c r="V17" s="714" t="s">
        <v>17</v>
      </c>
      <c r="W17" s="715">
        <f>J17</f>
        <v>100</v>
      </c>
      <c r="X17" s="1539"/>
      <c r="Y17" s="326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64"/>
      <c r="Q18" s="1536"/>
      <c r="R18" s="714"/>
      <c r="S18" s="715"/>
      <c r="T18" s="714"/>
      <c r="U18" s="715"/>
      <c r="V18" s="714"/>
      <c r="W18" s="715"/>
      <c r="X18" s="1539"/>
      <c r="Y18" s="3264"/>
      <c r="Z18" s="1540"/>
      <c r="AA18" s="1537">
        <v>1</v>
      </c>
      <c r="AB18" s="1537">
        <v>1</v>
      </c>
      <c r="AC18" s="1537">
        <v>1</v>
      </c>
    </row>
    <row r="19" spans="1:29" ht="15">
      <c r="A19" s="387"/>
      <c r="B19" s="410" t="s">
        <v>2508</v>
      </c>
      <c r="C19" s="214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64"/>
      <c r="Q19" s="1536" t="str">
        <f>B19</f>
        <v>办公集聚程度</v>
      </c>
      <c r="R19" s="714" t="s">
        <v>17</v>
      </c>
      <c r="S19" s="715">
        <f>F19</f>
        <v>100</v>
      </c>
      <c r="T19" s="714" t="s">
        <v>17</v>
      </c>
      <c r="U19" s="715">
        <f>H19</f>
        <v>100</v>
      </c>
      <c r="V19" s="714" t="s">
        <v>17</v>
      </c>
      <c r="W19" s="715">
        <f>J19</f>
        <v>100</v>
      </c>
      <c r="X19" s="1539"/>
      <c r="Y19" s="326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64"/>
      <c r="Q20" s="1536"/>
      <c r="R20" s="714"/>
      <c r="S20" s="715"/>
      <c r="T20" s="714"/>
      <c r="U20" s="715"/>
      <c r="V20" s="714"/>
      <c r="W20" s="715"/>
      <c r="X20" s="1539"/>
      <c r="Y20" s="3264"/>
      <c r="Z20" s="1540"/>
      <c r="AA20" s="1537">
        <v>1</v>
      </c>
      <c r="AB20" s="1537">
        <v>1</v>
      </c>
      <c r="AC20" s="1537">
        <v>1</v>
      </c>
    </row>
    <row r="21" spans="1:29" ht="15">
      <c r="A21" s="387"/>
      <c r="B21" s="410" t="s">
        <v>2530</v>
      </c>
      <c r="C21" s="208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64"/>
      <c r="Q21" s="1536" t="str">
        <f>B21</f>
        <v>交通便捷度</v>
      </c>
      <c r="R21" s="714" t="s">
        <v>17</v>
      </c>
      <c r="S21" s="715">
        <f>F21</f>
        <v>100</v>
      </c>
      <c r="T21" s="714" t="s">
        <v>17</v>
      </c>
      <c r="U21" s="715">
        <f>H21</f>
        <v>100</v>
      </c>
      <c r="V21" s="714" t="s">
        <v>17</v>
      </c>
      <c r="W21" s="715">
        <f>J21</f>
        <v>100</v>
      </c>
      <c r="X21" s="1539"/>
      <c r="Y21" s="326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264"/>
      <c r="Q22" s="1536"/>
      <c r="R22" s="714"/>
      <c r="S22" s="715"/>
      <c r="T22" s="714"/>
      <c r="U22" s="715"/>
      <c r="V22" s="714"/>
      <c r="W22" s="715"/>
      <c r="X22" s="1539"/>
      <c r="Y22" s="3264"/>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64"/>
      <c r="Q23" s="1536" t="str">
        <f t="shared" ref="Q23:Q37" si="8">B23</f>
        <v>区域土地利用方向</v>
      </c>
      <c r="R23" s="714" t="s">
        <v>17</v>
      </c>
      <c r="S23" s="715">
        <f>F23</f>
        <v>100</v>
      </c>
      <c r="T23" s="714" t="s">
        <v>17</v>
      </c>
      <c r="U23" s="715">
        <f>H23</f>
        <v>100</v>
      </c>
      <c r="V23" s="714" t="s">
        <v>17</v>
      </c>
      <c r="W23" s="715">
        <f>J23</f>
        <v>100</v>
      </c>
      <c r="X23" s="1539"/>
      <c r="Y23" s="326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64"/>
      <c r="Q24" s="1536"/>
      <c r="R24" s="714"/>
      <c r="S24" s="715"/>
      <c r="T24" s="714"/>
      <c r="U24" s="715"/>
      <c r="V24" s="714"/>
      <c r="W24" s="715"/>
      <c r="X24" s="1539"/>
      <c r="Y24" s="3264"/>
      <c r="Z24" s="1540"/>
      <c r="AA24" s="1537"/>
      <c r="AB24" s="1537"/>
      <c r="AC24" s="1537"/>
    </row>
    <row r="25" spans="1:29" ht="27">
      <c r="A25" s="364"/>
      <c r="B25" s="1293" t="s">
        <v>2570</v>
      </c>
      <c r="C25" s="214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64"/>
      <c r="Q25" s="1536" t="str">
        <f t="shared" si="8"/>
        <v>自然及人文环境状况</v>
      </c>
      <c r="R25" s="714" t="s">
        <v>17</v>
      </c>
      <c r="S25" s="715">
        <f>F25</f>
        <v>100</v>
      </c>
      <c r="T25" s="714" t="s">
        <v>17</v>
      </c>
      <c r="U25" s="715">
        <f>H25</f>
        <v>100</v>
      </c>
      <c r="V25" s="714" t="s">
        <v>17</v>
      </c>
      <c r="W25" s="715">
        <f>J25</f>
        <v>100</v>
      </c>
      <c r="X25" s="1539"/>
      <c r="Y25" s="326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64"/>
      <c r="Q26" s="1536"/>
      <c r="R26" s="714"/>
      <c r="S26" s="715"/>
      <c r="T26" s="714"/>
      <c r="U26" s="715"/>
      <c r="V26" s="714"/>
      <c r="W26" s="715"/>
      <c r="X26" s="1539"/>
      <c r="Y26" s="3264"/>
      <c r="Z26" s="1540"/>
      <c r="AA26" s="1537">
        <v>1</v>
      </c>
      <c r="AB26" s="1537">
        <v>1</v>
      </c>
      <c r="AC26" s="1537">
        <v>1</v>
      </c>
    </row>
    <row r="27" spans="1:29" s="113" customFormat="1" ht="15">
      <c r="A27" s="605"/>
      <c r="B27" s="1293" t="s">
        <v>2475</v>
      </c>
      <c r="C27" s="208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64"/>
      <c r="Q27" s="1527" t="str">
        <f t="shared" si="8"/>
        <v>公共配套设施</v>
      </c>
      <c r="R27" s="710" t="s">
        <v>17</v>
      </c>
      <c r="S27" s="711">
        <f>F27</f>
        <v>100</v>
      </c>
      <c r="T27" s="710" t="s">
        <v>17</v>
      </c>
      <c r="U27" s="711">
        <f>H27</f>
        <v>100</v>
      </c>
      <c r="V27" s="710" t="s">
        <v>17</v>
      </c>
      <c r="W27" s="711">
        <f>J27</f>
        <v>100</v>
      </c>
      <c r="X27" s="712"/>
      <c r="Y27" s="326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64"/>
      <c r="Q28" s="1527"/>
      <c r="R28" s="710"/>
      <c r="S28" s="711"/>
      <c r="T28" s="710"/>
      <c r="U28" s="711"/>
      <c r="V28" s="710"/>
      <c r="W28" s="711"/>
      <c r="X28" s="712"/>
      <c r="Y28" s="3264"/>
      <c r="Z28" s="55"/>
      <c r="AA28" s="1537">
        <v>1</v>
      </c>
      <c r="AB28" s="1537">
        <v>1</v>
      </c>
      <c r="AC28" s="1537">
        <v>1</v>
      </c>
    </row>
    <row r="29" spans="1:29" s="113" customFormat="1" ht="15">
      <c r="A29" s="605"/>
      <c r="B29" s="1293" t="s">
        <v>2476</v>
      </c>
      <c r="C29" s="208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64"/>
      <c r="Q29" s="1527" t="str">
        <f t="shared" ref="Q29" si="9">B29</f>
        <v>基础设施水平</v>
      </c>
      <c r="R29" s="710" t="s">
        <v>17</v>
      </c>
      <c r="S29" s="711">
        <f>F29</f>
        <v>100</v>
      </c>
      <c r="T29" s="710" t="s">
        <v>17</v>
      </c>
      <c r="U29" s="711">
        <f>H29</f>
        <v>100</v>
      </c>
      <c r="V29" s="710" t="s">
        <v>17</v>
      </c>
      <c r="W29" s="711">
        <f>J29</f>
        <v>100</v>
      </c>
      <c r="X29" s="712"/>
      <c r="Y29" s="326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64"/>
      <c r="Q30" s="1527"/>
      <c r="R30" s="710"/>
      <c r="S30" s="711"/>
      <c r="T30" s="710"/>
      <c r="U30" s="711"/>
      <c r="V30" s="710"/>
      <c r="W30" s="711"/>
      <c r="X30" s="712"/>
      <c r="Y30" s="326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6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64"/>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64"/>
      <c r="Q32" s="1536" t="str">
        <f t="shared" si="8"/>
        <v>毗邻道路的类型与等级</v>
      </c>
      <c r="R32" s="714" t="s">
        <v>17</v>
      </c>
      <c r="S32" s="715">
        <f t="shared" si="10"/>
        <v>100</v>
      </c>
      <c r="T32" s="714" t="s">
        <v>17</v>
      </c>
      <c r="U32" s="715">
        <f t="shared" si="11"/>
        <v>100</v>
      </c>
      <c r="V32" s="714" t="s">
        <v>17</v>
      </c>
      <c r="W32" s="715">
        <f t="shared" si="12"/>
        <v>100</v>
      </c>
      <c r="X32" s="1539"/>
      <c r="Y32" s="326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64"/>
      <c r="Q33" s="1536"/>
      <c r="R33" s="714"/>
      <c r="S33" s="715"/>
      <c r="T33" s="714"/>
      <c r="U33" s="715"/>
      <c r="V33" s="714"/>
      <c r="W33" s="715"/>
      <c r="X33" s="1539"/>
      <c r="Y33" s="326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64"/>
      <c r="Q34" s="1536" t="str">
        <f t="shared" si="8"/>
        <v>土地级别</v>
      </c>
      <c r="R34" s="714" t="s">
        <v>17</v>
      </c>
      <c r="S34" s="715">
        <f t="shared" si="10"/>
        <v>100</v>
      </c>
      <c r="T34" s="714" t="s">
        <v>17</v>
      </c>
      <c r="U34" s="715">
        <f t="shared" si="11"/>
        <v>100</v>
      </c>
      <c r="V34" s="714" t="s">
        <v>17</v>
      </c>
      <c r="W34" s="715">
        <f t="shared" si="12"/>
        <v>100</v>
      </c>
      <c r="X34" s="1539"/>
      <c r="Y34" s="326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64"/>
      <c r="Q35" s="1536">
        <f t="shared" si="8"/>
        <v>111</v>
      </c>
      <c r="R35" s="714" t="s">
        <v>17</v>
      </c>
      <c r="S35" s="715">
        <f t="shared" si="10"/>
        <v>100</v>
      </c>
      <c r="T35" s="714" t="s">
        <v>17</v>
      </c>
      <c r="U35" s="715">
        <f t="shared" si="11"/>
        <v>100</v>
      </c>
      <c r="V35" s="714" t="s">
        <v>17</v>
      </c>
      <c r="W35" s="715">
        <f t="shared" si="12"/>
        <v>100</v>
      </c>
      <c r="X35" s="1539"/>
      <c r="Y35" s="326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50" t="s">
        <v>2386</v>
      </c>
      <c r="Q36" s="1536">
        <f t="shared" si="8"/>
        <v>111</v>
      </c>
      <c r="R36" s="714" t="s">
        <v>17</v>
      </c>
      <c r="S36" s="715">
        <f t="shared" si="10"/>
        <v>100</v>
      </c>
      <c r="T36" s="714" t="s">
        <v>17</v>
      </c>
      <c r="U36" s="715">
        <f t="shared" si="11"/>
        <v>100</v>
      </c>
      <c r="V36" s="714" t="s">
        <v>17</v>
      </c>
      <c r="W36" s="715">
        <f t="shared" si="12"/>
        <v>100</v>
      </c>
      <c r="X36" s="1539"/>
      <c r="Y36" s="326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68"/>
      <c r="Q37" s="1536">
        <f t="shared" si="8"/>
        <v>111</v>
      </c>
      <c r="R37" s="717" t="s">
        <v>17</v>
      </c>
      <c r="S37" s="718">
        <f t="shared" si="10"/>
        <v>100</v>
      </c>
      <c r="T37" s="717" t="s">
        <v>17</v>
      </c>
      <c r="U37" s="718">
        <f t="shared" si="11"/>
        <v>100</v>
      </c>
      <c r="V37" s="717" t="s">
        <v>17</v>
      </c>
      <c r="W37" s="718">
        <f t="shared" si="12"/>
        <v>100</v>
      </c>
      <c r="X37" s="719"/>
      <c r="Y37" s="326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68"/>
      <c r="Q38" s="1536" t="str">
        <f>B38</f>
        <v>宗地面积</v>
      </c>
      <c r="R38" s="714" t="s">
        <v>17</v>
      </c>
      <c r="S38" s="715" t="e">
        <f t="shared" si="10"/>
        <v>#N/A</v>
      </c>
      <c r="T38" s="714" t="s">
        <v>17</v>
      </c>
      <c r="U38" s="715" t="e">
        <f t="shared" si="11"/>
        <v>#N/A</v>
      </c>
      <c r="V38" s="714" t="s">
        <v>17</v>
      </c>
      <c r="W38" s="715" t="e">
        <f t="shared" si="12"/>
        <v>#N/A</v>
      </c>
      <c r="X38" s="1539"/>
      <c r="Y38" s="326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68"/>
      <c r="Q39" s="1536" t="str">
        <f t="shared" ref="Q39:Q45" si="14">B39</f>
        <v>宗地形状</v>
      </c>
      <c r="R39" s="714" t="s">
        <v>17</v>
      </c>
      <c r="S39" s="715">
        <f t="shared" si="10"/>
        <v>100</v>
      </c>
      <c r="T39" s="714" t="s">
        <v>17</v>
      </c>
      <c r="U39" s="715">
        <f t="shared" si="11"/>
        <v>100</v>
      </c>
      <c r="V39" s="714" t="s">
        <v>17</v>
      </c>
      <c r="W39" s="715">
        <f t="shared" si="12"/>
        <v>100</v>
      </c>
      <c r="X39" s="1539"/>
      <c r="Y39" s="326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68"/>
      <c r="Q40" s="1536" t="str">
        <f t="shared" si="14"/>
        <v>临街宽度及深度</v>
      </c>
      <c r="R40" s="714" t="s">
        <v>17</v>
      </c>
      <c r="S40" s="715">
        <f t="shared" si="10"/>
        <v>100</v>
      </c>
      <c r="T40" s="714" t="s">
        <v>17</v>
      </c>
      <c r="U40" s="715">
        <f t="shared" si="11"/>
        <v>100</v>
      </c>
      <c r="V40" s="714" t="s">
        <v>17</v>
      </c>
      <c r="W40" s="715">
        <f t="shared" si="12"/>
        <v>100</v>
      </c>
      <c r="X40" s="1539"/>
      <c r="Y40" s="326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68"/>
      <c r="Q41" s="1536" t="str">
        <f t="shared" si="14"/>
        <v>宗地开发程度</v>
      </c>
      <c r="R41" s="710" t="s">
        <v>17</v>
      </c>
      <c r="S41" s="711">
        <f t="shared" si="10"/>
        <v>100</v>
      </c>
      <c r="T41" s="710" t="s">
        <v>17</v>
      </c>
      <c r="U41" s="711">
        <f t="shared" si="11"/>
        <v>100</v>
      </c>
      <c r="V41" s="710" t="s">
        <v>17</v>
      </c>
      <c r="W41" s="711">
        <f t="shared" si="12"/>
        <v>100</v>
      </c>
      <c r="X41" s="712"/>
      <c r="Y41" s="326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68" t="s">
        <v>2386</v>
      </c>
      <c r="Q42" s="1536" t="str">
        <f t="shared" si="14"/>
        <v>工程地质条件</v>
      </c>
      <c r="R42" s="714" t="s">
        <v>17</v>
      </c>
      <c r="S42" s="715">
        <f t="shared" si="10"/>
        <v>100</v>
      </c>
      <c r="T42" s="714" t="s">
        <v>17</v>
      </c>
      <c r="U42" s="715">
        <f t="shared" si="11"/>
        <v>100</v>
      </c>
      <c r="V42" s="714" t="s">
        <v>17</v>
      </c>
      <c r="W42" s="715">
        <f t="shared" si="12"/>
        <v>100</v>
      </c>
      <c r="X42" s="1539"/>
      <c r="Y42" s="326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68"/>
      <c r="Q43" s="1536">
        <f t="shared" si="14"/>
        <v>111</v>
      </c>
      <c r="R43" s="714" t="s">
        <v>17</v>
      </c>
      <c r="S43" s="715">
        <f t="shared" si="10"/>
        <v>100</v>
      </c>
      <c r="T43" s="714" t="s">
        <v>17</v>
      </c>
      <c r="U43" s="715">
        <f t="shared" si="11"/>
        <v>100</v>
      </c>
      <c r="V43" s="714" t="s">
        <v>17</v>
      </c>
      <c r="W43" s="715">
        <f t="shared" si="12"/>
        <v>100</v>
      </c>
      <c r="X43" s="1539"/>
      <c r="Y43" s="326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68"/>
      <c r="Q44" s="1536">
        <f t="shared" si="14"/>
        <v>111</v>
      </c>
      <c r="R44" s="714" t="s">
        <v>17</v>
      </c>
      <c r="S44" s="715">
        <f t="shared" si="10"/>
        <v>100</v>
      </c>
      <c r="T44" s="714" t="s">
        <v>17</v>
      </c>
      <c r="U44" s="715">
        <f t="shared" si="11"/>
        <v>100</v>
      </c>
      <c r="V44" s="714" t="s">
        <v>17</v>
      </c>
      <c r="W44" s="715">
        <f t="shared" si="12"/>
        <v>100</v>
      </c>
      <c r="X44" s="1539"/>
      <c r="Y44" s="326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68"/>
      <c r="Q45" s="1536">
        <f t="shared" si="14"/>
        <v>111</v>
      </c>
      <c r="R45" s="717" t="s">
        <v>17</v>
      </c>
      <c r="S45" s="718">
        <f t="shared" si="10"/>
        <v>100</v>
      </c>
      <c r="T45" s="717" t="s">
        <v>17</v>
      </c>
      <c r="U45" s="718">
        <f t="shared" si="11"/>
        <v>100</v>
      </c>
      <c r="V45" s="717" t="s">
        <v>17</v>
      </c>
      <c r="W45" s="718">
        <f t="shared" si="12"/>
        <v>100</v>
      </c>
      <c r="X45" s="719"/>
      <c r="Y45" s="326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61" t="str">
        <f>A46</f>
        <v>成交单价</v>
      </c>
      <c r="Q46" s="3261"/>
      <c r="R46" s="3292">
        <f>E46</f>
        <v>0</v>
      </c>
      <c r="S46" s="3292"/>
      <c r="T46" s="3292">
        <f>G46</f>
        <v>0</v>
      </c>
      <c r="U46" s="3292"/>
      <c r="V46" s="3292">
        <f>I46</f>
        <v>0</v>
      </c>
      <c r="W46" s="3292"/>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261" t="str">
        <f>A47</f>
        <v>比较价值（元/平方米）</v>
      </c>
      <c r="Q47" s="3261"/>
      <c r="R47" s="3352" t="e">
        <f>ROUND(PRODUCT(R46,AA7:AA45),0)</f>
        <v>#DIV/0!</v>
      </c>
      <c r="S47" s="3352"/>
      <c r="T47" s="3352" t="e">
        <f>ROUND(PRODUCT(T46,AB7:AB45),0)</f>
        <v>#DIV/0!</v>
      </c>
      <c r="U47" s="3352"/>
      <c r="V47" s="3352" t="e">
        <f>ROUND(PRODUCT(V46,AC7:AC45),0)</f>
        <v>#DIV/0!</v>
      </c>
      <c r="W47" s="3352"/>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58" t="str">
        <f>A48</f>
        <v>估价对象XX用房的比较价值（楼面单价，元/平方米）</v>
      </c>
      <c r="Q48" s="3259"/>
      <c r="R48" s="3353" t="e">
        <f>ROUND(IF(D47="简单平均",AVERAGE(R47:W47),R47*F47+T47*H47+V47*J47),0)</f>
        <v>#DIV/0!</v>
      </c>
      <c r="S48" s="3353"/>
      <c r="T48" s="3353"/>
      <c r="U48" s="3353"/>
      <c r="V48" s="3353"/>
      <c r="W48" s="335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76" t="s">
        <v>2585</v>
      </c>
      <c r="H55" s="3354"/>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13623.56239999999</v>
      </c>
      <c r="F56" s="1017" t="e">
        <f t="shared" ref="F56:F65" si="15">ROUND(B56*E56/10000,0)</f>
        <v>#DIV/0!</v>
      </c>
      <c r="G56" s="3272"/>
      <c r="H56" s="326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55"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5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5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5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13623.56239999999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6" t="s">
        <v>2467</v>
      </c>
      <c r="D4" s="3277"/>
      <c r="E4" s="3278" t="s">
        <v>2468</v>
      </c>
      <c r="F4" s="3279"/>
      <c r="G4" s="3276" t="s">
        <v>2469</v>
      </c>
      <c r="H4" s="3277"/>
      <c r="I4" s="3276" t="s">
        <v>2470</v>
      </c>
      <c r="J4" s="3277"/>
      <c r="K4" s="567" t="s">
        <v>2471</v>
      </c>
      <c r="L4" s="2944"/>
      <c r="M4" s="2945"/>
      <c r="N4" s="2945"/>
      <c r="O4" s="2945"/>
      <c r="P4" s="3280" t="s">
        <v>2472</v>
      </c>
      <c r="Q4" s="3281"/>
      <c r="R4" s="3286" t="s">
        <v>2468</v>
      </c>
      <c r="S4" s="3287"/>
      <c r="T4" s="3286" t="s">
        <v>2469</v>
      </c>
      <c r="U4" s="3287"/>
      <c r="V4" s="3292" t="s">
        <v>2470</v>
      </c>
      <c r="W4" s="3292"/>
      <c r="X4" s="1539"/>
      <c r="Y4" s="3286" t="s">
        <v>2472</v>
      </c>
      <c r="Z4" s="3287"/>
      <c r="AA4" s="3273" t="s">
        <v>2468</v>
      </c>
      <c r="AB4" s="3274" t="s">
        <v>2469</v>
      </c>
      <c r="AC4" s="3273" t="s">
        <v>2470</v>
      </c>
    </row>
    <row r="5" spans="1:29" ht="15">
      <c r="A5" s="364"/>
      <c r="B5" s="365"/>
      <c r="C5" s="3295" t="s">
        <v>2363</v>
      </c>
      <c r="D5" s="3296"/>
      <c r="E5" s="3302" t="s">
        <v>2364</v>
      </c>
      <c r="F5" s="3303"/>
      <c r="G5" s="3295" t="s">
        <v>2365</v>
      </c>
      <c r="H5" s="3296"/>
      <c r="I5" s="3295" t="s">
        <v>2366</v>
      </c>
      <c r="J5" s="3296"/>
      <c r="K5" s="567"/>
      <c r="L5" s="2944"/>
      <c r="M5" s="2945"/>
      <c r="N5" s="2945"/>
      <c r="O5" s="2945"/>
      <c r="P5" s="3282"/>
      <c r="Q5" s="3283"/>
      <c r="R5" s="3288"/>
      <c r="S5" s="3289"/>
      <c r="T5" s="3288"/>
      <c r="U5" s="3289"/>
      <c r="V5" s="3292"/>
      <c r="W5" s="3292"/>
      <c r="X5" s="1539"/>
      <c r="Y5" s="3288"/>
      <c r="Z5" s="3289"/>
      <c r="AA5" s="3274"/>
      <c r="AB5" s="3274"/>
      <c r="AC5" s="3274"/>
    </row>
    <row r="6" spans="1:29" ht="15.75" thickBot="1">
      <c r="A6" s="366"/>
      <c r="B6" s="367"/>
      <c r="C6" s="3356" t="s">
        <v>2618</v>
      </c>
      <c r="D6" s="3357"/>
      <c r="E6" s="3358" t="s">
        <v>2618</v>
      </c>
      <c r="F6" s="3359"/>
      <c r="G6" s="3356" t="s">
        <v>2618</v>
      </c>
      <c r="H6" s="3357"/>
      <c r="I6" s="3356" t="s">
        <v>2618</v>
      </c>
      <c r="J6" s="3357"/>
      <c r="K6" s="567" t="s">
        <v>2368</v>
      </c>
      <c r="L6" s="2944"/>
      <c r="M6" s="2945"/>
      <c r="N6" s="2945"/>
      <c r="O6" s="2945"/>
      <c r="P6" s="3284"/>
      <c r="Q6" s="3285"/>
      <c r="R6" s="3288"/>
      <c r="S6" s="3289"/>
      <c r="T6" s="3290"/>
      <c r="U6" s="3291"/>
      <c r="V6" s="3292"/>
      <c r="W6" s="3292"/>
      <c r="X6" s="1539"/>
      <c r="Y6" s="3290"/>
      <c r="Z6" s="3291"/>
      <c r="AA6" s="3275"/>
      <c r="AB6" s="3275"/>
      <c r="AC6" s="3275"/>
    </row>
    <row r="7" spans="1:29" s="113" customFormat="1" ht="15.75" thickBot="1">
      <c r="A7" s="368" t="s">
        <v>2369</v>
      </c>
      <c r="B7" s="369"/>
      <c r="C7" s="370">
        <f>'数据-取费表'!B2</f>
        <v>44307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97" t="s">
        <v>2370</v>
      </c>
      <c r="Q7" s="3299"/>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61"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261"/>
      <c r="Q10" s="1527" t="str">
        <f t="shared" si="6"/>
        <v>土地使用年限（年）</v>
      </c>
      <c r="R10" s="710" t="s">
        <v>17</v>
      </c>
      <c r="S10" s="711">
        <f t="shared" si="0"/>
        <v>104</v>
      </c>
      <c r="T10" s="710" t="s">
        <v>17</v>
      </c>
      <c r="U10" s="711">
        <f t="shared" si="1"/>
        <v>104</v>
      </c>
      <c r="V10" s="710" t="s">
        <v>17</v>
      </c>
      <c r="W10" s="711">
        <f t="shared" si="2"/>
        <v>104</v>
      </c>
      <c r="X10" s="712"/>
      <c r="Y10" s="3162"/>
      <c r="Z10" s="55" t="str">
        <f t="shared" si="7"/>
        <v>土地使用年限（年）</v>
      </c>
      <c r="AA10" s="713">
        <f t="shared" si="3"/>
        <v>0.96153846153846156</v>
      </c>
      <c r="AB10" s="713">
        <f t="shared" si="4"/>
        <v>0.96153846153846156</v>
      </c>
      <c r="AC10" s="713">
        <f t="shared" si="5"/>
        <v>0.96153846153846156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61"/>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61"/>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61"/>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61"/>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15">
      <c r="A15" s="399" t="s">
        <v>2380</v>
      </c>
      <c r="B15" s="585" t="s">
        <v>2619</v>
      </c>
      <c r="C15" s="215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63" t="s">
        <v>2381</v>
      </c>
      <c r="Q15" s="1536" t="str">
        <f t="shared" si="6"/>
        <v>产业集聚程度</v>
      </c>
      <c r="R15" s="714" t="s">
        <v>17</v>
      </c>
      <c r="S15" s="715">
        <f t="shared" si="0"/>
        <v>100</v>
      </c>
      <c r="T15" s="714" t="s">
        <v>17</v>
      </c>
      <c r="U15" s="715">
        <f t="shared" si="1"/>
        <v>100</v>
      </c>
      <c r="V15" s="714" t="s">
        <v>17</v>
      </c>
      <c r="W15" s="715">
        <f t="shared" si="2"/>
        <v>100</v>
      </c>
      <c r="X15" s="1539"/>
      <c r="Y15" s="326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64"/>
      <c r="Q16" s="1536"/>
      <c r="R16" s="714"/>
      <c r="S16" s="715"/>
      <c r="T16" s="714"/>
      <c r="U16" s="715"/>
      <c r="V16" s="714"/>
      <c r="W16" s="715"/>
      <c r="X16" s="1539"/>
      <c r="Y16" s="3264"/>
      <c r="Z16" s="1540"/>
      <c r="AA16" s="1537">
        <v>1</v>
      </c>
      <c r="AB16" s="1537">
        <v>1</v>
      </c>
      <c r="AC16" s="1537">
        <v>1</v>
      </c>
    </row>
    <row r="17" spans="1:29" ht="15">
      <c r="A17" s="387"/>
      <c r="B17" s="587" t="s">
        <v>2530</v>
      </c>
      <c r="C17" s="208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64"/>
      <c r="Q17" s="1536" t="str">
        <f>B17</f>
        <v>交通便捷度</v>
      </c>
      <c r="R17" s="714" t="s">
        <v>17</v>
      </c>
      <c r="S17" s="715">
        <f>F17</f>
        <v>100</v>
      </c>
      <c r="T17" s="714" t="s">
        <v>17</v>
      </c>
      <c r="U17" s="715">
        <f>H17</f>
        <v>100</v>
      </c>
      <c r="V17" s="714" t="s">
        <v>17</v>
      </c>
      <c r="W17" s="715">
        <f>J17</f>
        <v>100</v>
      </c>
      <c r="X17" s="1539"/>
      <c r="Y17" s="326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64"/>
      <c r="Q18" s="1536"/>
      <c r="R18" s="714"/>
      <c r="S18" s="715"/>
      <c r="T18" s="714"/>
      <c r="U18" s="715"/>
      <c r="V18" s="714"/>
      <c r="W18" s="715"/>
      <c r="X18" s="1539"/>
      <c r="Y18" s="3264"/>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64"/>
      <c r="Q19" s="1536" t="str">
        <f t="shared" ref="Q19:Q33" si="8">B19</f>
        <v>区域土地利用方向</v>
      </c>
      <c r="R19" s="714" t="s">
        <v>17</v>
      </c>
      <c r="S19" s="715">
        <f>F19</f>
        <v>100</v>
      </c>
      <c r="T19" s="714" t="s">
        <v>17</v>
      </c>
      <c r="U19" s="715">
        <f>H19</f>
        <v>100</v>
      </c>
      <c r="V19" s="714" t="s">
        <v>17</v>
      </c>
      <c r="W19" s="715">
        <f>J19</f>
        <v>100</v>
      </c>
      <c r="X19" s="1539"/>
      <c r="Y19" s="326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64"/>
      <c r="Q20" s="1536"/>
      <c r="R20" s="714"/>
      <c r="S20" s="715"/>
      <c r="T20" s="714"/>
      <c r="U20" s="715"/>
      <c r="V20" s="714"/>
      <c r="W20" s="715"/>
      <c r="X20" s="1539"/>
      <c r="Y20" s="3264"/>
      <c r="Z20" s="1540"/>
      <c r="AA20" s="1537"/>
      <c r="AB20" s="1537"/>
      <c r="AC20" s="1537"/>
    </row>
    <row r="21" spans="1:29" ht="15">
      <c r="A21" s="364"/>
      <c r="B21" s="587" t="s">
        <v>2620</v>
      </c>
      <c r="C21" s="208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64"/>
      <c r="Q21" s="1536" t="str">
        <f t="shared" si="8"/>
        <v>环境状况</v>
      </c>
      <c r="R21" s="714" t="s">
        <v>17</v>
      </c>
      <c r="S21" s="715">
        <f>F21</f>
        <v>100</v>
      </c>
      <c r="T21" s="714" t="s">
        <v>17</v>
      </c>
      <c r="U21" s="715">
        <f>H21</f>
        <v>100</v>
      </c>
      <c r="V21" s="714" t="s">
        <v>17</v>
      </c>
      <c r="W21" s="715">
        <f>J21</f>
        <v>100</v>
      </c>
      <c r="X21" s="1539"/>
      <c r="Y21" s="326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64"/>
      <c r="Q22" s="1536"/>
      <c r="R22" s="714"/>
      <c r="S22" s="715"/>
      <c r="T22" s="714"/>
      <c r="U22" s="715"/>
      <c r="V22" s="714"/>
      <c r="W22" s="715"/>
      <c r="X22" s="1539"/>
      <c r="Y22" s="3264"/>
      <c r="Z22" s="1540"/>
      <c r="AA22" s="1537">
        <v>1</v>
      </c>
      <c r="AB22" s="1537">
        <v>1</v>
      </c>
      <c r="AC22" s="1537">
        <v>1</v>
      </c>
    </row>
    <row r="23" spans="1:29" s="113" customFormat="1" ht="15">
      <c r="A23" s="605"/>
      <c r="B23" s="589" t="s">
        <v>2475</v>
      </c>
      <c r="C23" s="208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64"/>
      <c r="Q23" s="1527" t="str">
        <f t="shared" si="8"/>
        <v>公共配套设施</v>
      </c>
      <c r="R23" s="710" t="s">
        <v>17</v>
      </c>
      <c r="S23" s="711">
        <f>F23</f>
        <v>100</v>
      </c>
      <c r="T23" s="710" t="s">
        <v>17</v>
      </c>
      <c r="U23" s="711">
        <f>H23</f>
        <v>100</v>
      </c>
      <c r="V23" s="710" t="s">
        <v>17</v>
      </c>
      <c r="W23" s="711">
        <f>J23</f>
        <v>100</v>
      </c>
      <c r="X23" s="712"/>
      <c r="Y23" s="326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64"/>
      <c r="Q24" s="1527"/>
      <c r="R24" s="710"/>
      <c r="S24" s="711"/>
      <c r="T24" s="710"/>
      <c r="U24" s="711"/>
      <c r="V24" s="710"/>
      <c r="W24" s="711"/>
      <c r="X24" s="712"/>
      <c r="Y24" s="3264"/>
      <c r="Z24" s="55"/>
      <c r="AA24" s="713">
        <v>1</v>
      </c>
      <c r="AB24" s="713">
        <v>1</v>
      </c>
      <c r="AC24" s="713">
        <v>1</v>
      </c>
    </row>
    <row r="25" spans="1:29" s="113" customFormat="1" ht="15">
      <c r="A25" s="605"/>
      <c r="B25" s="589" t="s">
        <v>2476</v>
      </c>
      <c r="C25" s="208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64"/>
      <c r="Q25" s="1527" t="str">
        <f t="shared" ref="Q25" si="9">B25</f>
        <v>基础设施水平</v>
      </c>
      <c r="R25" s="710" t="s">
        <v>17</v>
      </c>
      <c r="S25" s="711">
        <f>F25</f>
        <v>100</v>
      </c>
      <c r="T25" s="710" t="s">
        <v>17</v>
      </c>
      <c r="U25" s="711">
        <f>H25</f>
        <v>100</v>
      </c>
      <c r="V25" s="710" t="s">
        <v>17</v>
      </c>
      <c r="W25" s="711">
        <f>J25</f>
        <v>100</v>
      </c>
      <c r="X25" s="712"/>
      <c r="Y25" s="326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64"/>
      <c r="Q26" s="1527"/>
      <c r="R26" s="710"/>
      <c r="S26" s="711"/>
      <c r="T26" s="710"/>
      <c r="U26" s="711"/>
      <c r="V26" s="710"/>
      <c r="W26" s="711"/>
      <c r="X26" s="712"/>
      <c r="Y26" s="326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6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64"/>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64"/>
      <c r="Q28" s="1536" t="str">
        <f t="shared" si="8"/>
        <v>毗邻道路的类型与等级</v>
      </c>
      <c r="R28" s="714" t="s">
        <v>17</v>
      </c>
      <c r="S28" s="715">
        <f t="shared" si="10"/>
        <v>100</v>
      </c>
      <c r="T28" s="714" t="s">
        <v>17</v>
      </c>
      <c r="U28" s="715">
        <f t="shared" si="11"/>
        <v>100</v>
      </c>
      <c r="V28" s="714" t="s">
        <v>17</v>
      </c>
      <c r="W28" s="715">
        <f t="shared" si="12"/>
        <v>100</v>
      </c>
      <c r="X28" s="1539"/>
      <c r="Y28" s="326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64"/>
      <c r="Q29" s="1536"/>
      <c r="R29" s="714"/>
      <c r="S29" s="715"/>
      <c r="T29" s="714"/>
      <c r="U29" s="715"/>
      <c r="V29" s="714"/>
      <c r="W29" s="715"/>
      <c r="X29" s="1539"/>
      <c r="Y29" s="326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64"/>
      <c r="Q30" s="1536" t="str">
        <f t="shared" si="8"/>
        <v>土地级别</v>
      </c>
      <c r="R30" s="714" t="s">
        <v>17</v>
      </c>
      <c r="S30" s="715">
        <f t="shared" si="10"/>
        <v>100</v>
      </c>
      <c r="T30" s="714" t="s">
        <v>17</v>
      </c>
      <c r="U30" s="715">
        <f t="shared" si="11"/>
        <v>100</v>
      </c>
      <c r="V30" s="714" t="s">
        <v>17</v>
      </c>
      <c r="W30" s="715">
        <f t="shared" si="12"/>
        <v>100</v>
      </c>
      <c r="X30" s="1539"/>
      <c r="Y30" s="326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64"/>
      <c r="Q31" s="1536">
        <f t="shared" si="8"/>
        <v>111</v>
      </c>
      <c r="R31" s="714" t="s">
        <v>17</v>
      </c>
      <c r="S31" s="715">
        <f t="shared" si="10"/>
        <v>100</v>
      </c>
      <c r="T31" s="714" t="s">
        <v>17</v>
      </c>
      <c r="U31" s="715">
        <f t="shared" si="11"/>
        <v>100</v>
      </c>
      <c r="V31" s="714" t="s">
        <v>17</v>
      </c>
      <c r="W31" s="715">
        <f t="shared" si="12"/>
        <v>100</v>
      </c>
      <c r="X31" s="1539"/>
      <c r="Y31" s="326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0" t="s">
        <v>2386</v>
      </c>
      <c r="Q32" s="1536">
        <f t="shared" si="8"/>
        <v>111</v>
      </c>
      <c r="R32" s="714" t="s">
        <v>17</v>
      </c>
      <c r="S32" s="715">
        <f t="shared" si="10"/>
        <v>100</v>
      </c>
      <c r="T32" s="714" t="s">
        <v>17</v>
      </c>
      <c r="U32" s="715">
        <f t="shared" si="11"/>
        <v>100</v>
      </c>
      <c r="V32" s="714" t="s">
        <v>17</v>
      </c>
      <c r="W32" s="715">
        <f t="shared" si="12"/>
        <v>100</v>
      </c>
      <c r="X32" s="1539"/>
      <c r="Y32" s="3268"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68"/>
      <c r="Q33" s="1536">
        <f t="shared" si="8"/>
        <v>111</v>
      </c>
      <c r="R33" s="717" t="s">
        <v>17</v>
      </c>
      <c r="S33" s="718">
        <f t="shared" si="10"/>
        <v>100</v>
      </c>
      <c r="T33" s="717" t="s">
        <v>17</v>
      </c>
      <c r="U33" s="718">
        <f t="shared" si="11"/>
        <v>100</v>
      </c>
      <c r="V33" s="717" t="s">
        <v>17</v>
      </c>
      <c r="W33" s="718">
        <f t="shared" si="12"/>
        <v>100</v>
      </c>
      <c r="X33" s="719"/>
      <c r="Y33" s="326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68"/>
      <c r="Q34" s="1536" t="str">
        <f>B34</f>
        <v>宗地面积</v>
      </c>
      <c r="R34" s="714" t="s">
        <v>17</v>
      </c>
      <c r="S34" s="715" t="e">
        <f t="shared" si="10"/>
        <v>#N/A</v>
      </c>
      <c r="T34" s="714" t="s">
        <v>17</v>
      </c>
      <c r="U34" s="715" t="e">
        <f t="shared" si="11"/>
        <v>#N/A</v>
      </c>
      <c r="V34" s="714" t="s">
        <v>17</v>
      </c>
      <c r="W34" s="715" t="e">
        <f t="shared" si="12"/>
        <v>#N/A</v>
      </c>
      <c r="X34" s="1539"/>
      <c r="Y34" s="326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68"/>
      <c r="Q35" s="1536" t="str">
        <f t="shared" ref="Q35:Q40" si="14">B35</f>
        <v>宗地形状</v>
      </c>
      <c r="R35" s="714" t="s">
        <v>17</v>
      </c>
      <c r="S35" s="715">
        <f t="shared" si="10"/>
        <v>100</v>
      </c>
      <c r="T35" s="714" t="s">
        <v>17</v>
      </c>
      <c r="U35" s="715">
        <f t="shared" si="11"/>
        <v>100</v>
      </c>
      <c r="V35" s="714" t="s">
        <v>17</v>
      </c>
      <c r="W35" s="715">
        <f t="shared" si="12"/>
        <v>100</v>
      </c>
      <c r="X35" s="1539"/>
      <c r="Y35" s="326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68"/>
      <c r="Q36" s="1536" t="str">
        <f t="shared" si="14"/>
        <v>宗地开发程度</v>
      </c>
      <c r="R36" s="710" t="s">
        <v>17</v>
      </c>
      <c r="S36" s="711">
        <f t="shared" si="10"/>
        <v>100</v>
      </c>
      <c r="T36" s="710" t="s">
        <v>17</v>
      </c>
      <c r="U36" s="711">
        <f t="shared" si="11"/>
        <v>100</v>
      </c>
      <c r="V36" s="710" t="s">
        <v>17</v>
      </c>
      <c r="W36" s="711">
        <f t="shared" si="12"/>
        <v>100</v>
      </c>
      <c r="X36" s="712"/>
      <c r="Y36" s="326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68" t="s">
        <v>2386</v>
      </c>
      <c r="Q37" s="1536" t="str">
        <f t="shared" si="14"/>
        <v>工程地质条件</v>
      </c>
      <c r="R37" s="714" t="s">
        <v>17</v>
      </c>
      <c r="S37" s="715">
        <f t="shared" si="10"/>
        <v>100</v>
      </c>
      <c r="T37" s="714" t="s">
        <v>17</v>
      </c>
      <c r="U37" s="715">
        <f t="shared" si="11"/>
        <v>100</v>
      </c>
      <c r="V37" s="714" t="s">
        <v>17</v>
      </c>
      <c r="W37" s="715">
        <f t="shared" si="12"/>
        <v>100</v>
      </c>
      <c r="X37" s="1539"/>
      <c r="Y37" s="326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68"/>
      <c r="Q38" s="1536">
        <f t="shared" si="14"/>
        <v>111</v>
      </c>
      <c r="R38" s="714" t="s">
        <v>17</v>
      </c>
      <c r="S38" s="715">
        <f t="shared" si="10"/>
        <v>100</v>
      </c>
      <c r="T38" s="714" t="s">
        <v>17</v>
      </c>
      <c r="U38" s="715">
        <f t="shared" si="11"/>
        <v>100</v>
      </c>
      <c r="V38" s="714" t="s">
        <v>17</v>
      </c>
      <c r="W38" s="715">
        <f t="shared" si="12"/>
        <v>100</v>
      </c>
      <c r="X38" s="1539"/>
      <c r="Y38" s="326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68"/>
      <c r="Q39" s="1536">
        <f t="shared" si="14"/>
        <v>111</v>
      </c>
      <c r="R39" s="714" t="s">
        <v>17</v>
      </c>
      <c r="S39" s="715">
        <f t="shared" si="10"/>
        <v>100</v>
      </c>
      <c r="T39" s="714" t="s">
        <v>17</v>
      </c>
      <c r="U39" s="715">
        <f t="shared" si="11"/>
        <v>100</v>
      </c>
      <c r="V39" s="714" t="s">
        <v>17</v>
      </c>
      <c r="W39" s="715">
        <f t="shared" si="12"/>
        <v>100</v>
      </c>
      <c r="X39" s="1539"/>
      <c r="Y39" s="326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68"/>
      <c r="Q40" s="1536">
        <f t="shared" si="14"/>
        <v>111</v>
      </c>
      <c r="R40" s="717" t="s">
        <v>17</v>
      </c>
      <c r="S40" s="718">
        <f t="shared" si="10"/>
        <v>100</v>
      </c>
      <c r="T40" s="717" t="s">
        <v>17</v>
      </c>
      <c r="U40" s="718">
        <f t="shared" si="11"/>
        <v>100</v>
      </c>
      <c r="V40" s="717" t="s">
        <v>17</v>
      </c>
      <c r="W40" s="718">
        <f t="shared" si="12"/>
        <v>100</v>
      </c>
      <c r="X40" s="719"/>
      <c r="Y40" s="3268"/>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61" t="str">
        <f>A41</f>
        <v>成交单价</v>
      </c>
      <c r="Q41" s="3261"/>
      <c r="R41" s="3292">
        <f>E41</f>
        <v>0</v>
      </c>
      <c r="S41" s="3292"/>
      <c r="T41" s="3292">
        <f>G41</f>
        <v>0</v>
      </c>
      <c r="U41" s="3292"/>
      <c r="V41" s="3292">
        <f>I41</f>
        <v>0</v>
      </c>
      <c r="W41" s="3292"/>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261" t="str">
        <f>A42</f>
        <v>比较价值（元/平方米）</v>
      </c>
      <c r="Q42" s="3261"/>
      <c r="R42" s="3352" t="e">
        <f>ROUND(PRODUCT(R41,AA7:AA40),0)</f>
        <v>#DIV/0!</v>
      </c>
      <c r="S42" s="3352"/>
      <c r="T42" s="3352" t="e">
        <f>ROUND(PRODUCT(T41,AB7:AB40),0)</f>
        <v>#DIV/0!</v>
      </c>
      <c r="U42" s="3352"/>
      <c r="V42" s="3352" t="e">
        <f>ROUND(PRODUCT(V41,AC7:AC40),0)</f>
        <v>#DIV/0!</v>
      </c>
      <c r="W42" s="335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58" t="str">
        <f>A43</f>
        <v>估价对象XX用房的比较价值（楼面单价，元/平方米）</v>
      </c>
      <c r="Q43" s="3259"/>
      <c r="R43" s="3353" t="e">
        <f>ROUND(IF(D42="简单平均",AVERAGE(R42:W42),R42*F42+T42*H42+V42*J42),0)</f>
        <v>#DIV/0!</v>
      </c>
      <c r="S43" s="3353"/>
      <c r="T43" s="3353"/>
      <c r="U43" s="3353"/>
      <c r="V43" s="3353"/>
      <c r="W43" s="335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76" t="s">
        <v>2585</v>
      </c>
      <c r="H50" s="3354"/>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13623.56239999999</v>
      </c>
      <c r="F51" s="647" t="e">
        <f t="shared" ref="F51:F60" si="15">ROUND(B51*E51/10000,0)</f>
        <v>#DIV/0!</v>
      </c>
      <c r="G51" s="3272"/>
      <c r="H51" s="326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55"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5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5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5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3"/>
      <c r="B4" s="3364"/>
      <c r="C4" s="3364"/>
      <c r="D4" s="3365"/>
      <c r="E4" s="3365"/>
      <c r="F4" s="3365"/>
      <c r="G4" s="3365"/>
      <c r="H4" s="3365"/>
      <c r="I4" s="3365"/>
      <c r="J4" s="3366"/>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7"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68"/>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0" t="s">
        <v>2661</v>
      </c>
      <c r="X8" s="336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8"/>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2"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8"/>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8"/>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2"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7"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9"/>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62"/>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69"/>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70"/>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67" t="s">
        <v>2704</v>
      </c>
      <c r="B16" s="2209" t="s">
        <v>2705</v>
      </c>
      <c r="C16" s="2371" t="e">
        <f>ROUND(IF(F17="与级别开发程度一致",0,(G17-E17)/C17),0)</f>
        <v>#DIV/0!</v>
      </c>
      <c r="D16" s="3383" t="s">
        <v>2709</v>
      </c>
      <c r="E16" s="3384"/>
      <c r="F16" s="3383" t="s">
        <v>2706</v>
      </c>
      <c r="G16" s="338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71"/>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44307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t="e">
        <f>IF(B21="容积率修正",IF(G3&lt;=10,D22,J22),C23)</f>
        <v>#DIV/0!</v>
      </c>
      <c r="D21" s="2265"/>
      <c r="E21" s="2265"/>
      <c r="F21" s="2265"/>
      <c r="G21" s="2265"/>
      <c r="H21" s="2265"/>
      <c r="I21" s="2265"/>
      <c r="J21" s="2266"/>
      <c r="K21" s="1287"/>
      <c r="L21" s="3019"/>
      <c r="M21" s="3019"/>
      <c r="N21" s="2267" t="s">
        <v>2725</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9"/>
      <c r="M22" s="3019"/>
      <c r="N22" s="2267" t="s">
        <v>2729</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1.6899999999999998E-2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0"/>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5"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1"/>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1"/>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2"/>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9" t="s">
        <v>2770</v>
      </c>
      <c r="B48" s="2332">
        <f>估价对象房地状况!C4</f>
        <v>0</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9" t="s">
        <v>2771</v>
      </c>
      <c r="B49" s="2333">
        <f>估价对象房地状况!C18</f>
        <v>0</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6" t="s">
        <v>2778</v>
      </c>
      <c r="B54" s="1494">
        <f>估价对象房地状况!C21</f>
        <v>0</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6" t="s">
        <v>2779</v>
      </c>
      <c r="B55" s="2333">
        <f>估价对象房地状况!C22</f>
        <v>0</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7" t="s">
        <v>2780</v>
      </c>
      <c r="B56" s="2338">
        <f>估价对象房地状况!C20</f>
        <v>0</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9" t="s">
        <v>2783</v>
      </c>
      <c r="B59" s="2332">
        <f>估价对象房地状况!C17</f>
        <v>0</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9" t="s">
        <v>2771</v>
      </c>
      <c r="B60" s="2333">
        <f>估价对象房地状况!C18</f>
        <v>0</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9" t="s">
        <v>2778</v>
      </c>
      <c r="B65" s="1494">
        <f>估价对象房地状况!C21</f>
        <v>0</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9" t="s">
        <v>2779</v>
      </c>
      <c r="B66" s="1494">
        <f>估价对象房地状况!C22</f>
        <v>0</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7" t="s">
        <v>2780</v>
      </c>
      <c r="B67" s="2339">
        <f>估价对象房地状况!C20</f>
        <v>0</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9" t="s">
        <v>2785</v>
      </c>
      <c r="B70" s="2332">
        <f>估价对象房地状况!C15</f>
        <v>0</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9" t="s">
        <v>2771</v>
      </c>
      <c r="B71" s="2333">
        <f>估价对象房地状况!C18</f>
        <v>0</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9" t="s">
        <v>2778</v>
      </c>
      <c r="B74" s="1494">
        <f>估价对象房地状况!C21</f>
        <v>0</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9" t="s">
        <v>2779</v>
      </c>
      <c r="B75" s="1494">
        <f>估价对象房地状况!C22</f>
        <v>0</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24">
      <c r="A77" s="2329" t="s">
        <v>2780</v>
      </c>
      <c r="B77" s="2332">
        <f>估价对象房地状况!C20</f>
        <v>0</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24">
      <c r="A81" s="2329" t="s">
        <v>2789</v>
      </c>
      <c r="B81" s="2333">
        <f>估价对象房地状况!G15</f>
        <v>0</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14.25">
      <c r="A82" s="2329" t="s">
        <v>2771</v>
      </c>
      <c r="B82" s="2333">
        <f>估价对象房地状况!G16</f>
        <v>0</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4">
      <c r="A85" s="2329" t="s">
        <v>2778</v>
      </c>
      <c r="B85" s="1494">
        <f>估价对象房地状况!G19</f>
        <v>0</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4">
      <c r="A86" s="2329" t="s">
        <v>2779</v>
      </c>
      <c r="B86" s="1494">
        <f>估价对象房地状况!G20</f>
        <v>0</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15" thickBot="1">
      <c r="A88" s="2337" t="s">
        <v>2791</v>
      </c>
      <c r="B88" s="2342">
        <f>估价对象房地状况!G18</f>
        <v>0</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2" t="s">
        <v>2792</v>
      </c>
      <c r="B90" s="3372"/>
      <c r="C90" s="3372"/>
      <c r="D90" s="3372"/>
      <c r="E90" s="3372"/>
      <c r="F90" s="3372"/>
      <c r="G90" s="3372"/>
      <c r="H90" s="3372"/>
      <c r="I90" s="3372"/>
      <c r="J90" s="3372"/>
      <c r="K90" s="2343"/>
      <c r="L90" s="2343"/>
      <c r="M90" s="2343"/>
      <c r="N90" s="2343"/>
    </row>
    <row r="91" spans="1:37">
      <c r="A91" s="3374" t="s">
        <v>2793</v>
      </c>
      <c r="B91" s="3374" t="s">
        <v>2794</v>
      </c>
      <c r="C91" s="2297" t="s">
        <v>2795</v>
      </c>
      <c r="D91" s="2298"/>
      <c r="E91" s="2298"/>
      <c r="F91" s="2298"/>
      <c r="G91" s="2298"/>
      <c r="H91" s="2298"/>
      <c r="I91" s="2298"/>
      <c r="J91" s="2344"/>
      <c r="K91" s="2345"/>
      <c r="L91" s="2345"/>
      <c r="M91" s="2345"/>
      <c r="N91" s="2345"/>
    </row>
    <row r="92" spans="1:37">
      <c r="A92" s="3374"/>
      <c r="B92" s="337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5"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6"/>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5"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76"/>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76"/>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76"/>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76"/>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76"/>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76"/>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76"/>
      <c r="B108" s="3378"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7"/>
      <c r="B109" s="3379"/>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73" t="s">
        <v>2800</v>
      </c>
      <c r="B110" s="3373"/>
      <c r="C110" s="3373"/>
      <c r="D110" s="3373"/>
      <c r="E110" s="3373"/>
      <c r="F110" s="3373"/>
      <c r="G110" s="3373"/>
      <c r="H110" s="3373"/>
      <c r="I110" s="3373"/>
      <c r="J110" s="3373"/>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6" t="s">
        <v>183</v>
      </c>
      <c r="B18" s="821" t="s">
        <v>560</v>
      </c>
      <c r="C18" s="822" t="s">
        <v>561</v>
      </c>
      <c r="D18" s="823"/>
      <c r="E18" s="821">
        <v>1</v>
      </c>
      <c r="F18" s="824" t="s">
        <v>562</v>
      </c>
      <c r="G18" s="825"/>
      <c r="H18" s="817"/>
      <c r="I18" s="817"/>
    </row>
    <row r="19" spans="1:9" s="826" customFormat="1" ht="19.5" customHeight="1">
      <c r="A19" s="3386"/>
      <c r="B19" s="3386" t="s">
        <v>563</v>
      </c>
      <c r="C19" s="822" t="s">
        <v>564</v>
      </c>
      <c r="D19" s="823"/>
      <c r="E19" s="821">
        <v>0.9</v>
      </c>
      <c r="F19" s="824" t="s">
        <v>565</v>
      </c>
      <c r="G19" s="825"/>
      <c r="H19" s="817"/>
      <c r="I19" s="817"/>
    </row>
    <row r="20" spans="1:9" s="826" customFormat="1" ht="19.5" customHeight="1">
      <c r="A20" s="3386"/>
      <c r="B20" s="3386"/>
      <c r="C20" s="822" t="s">
        <v>566</v>
      </c>
      <c r="D20" s="823"/>
      <c r="E20" s="821">
        <v>1.1000000000000001</v>
      </c>
      <c r="F20" s="824" t="s">
        <v>567</v>
      </c>
      <c r="G20" s="825"/>
      <c r="H20" s="817"/>
      <c r="I20" s="817"/>
    </row>
    <row r="21" spans="1:9" s="826" customFormat="1" ht="19.5" customHeight="1">
      <c r="A21" s="3386"/>
      <c r="B21" s="3386"/>
      <c r="C21" s="822" t="s">
        <v>568</v>
      </c>
      <c r="D21" s="823"/>
      <c r="E21" s="821">
        <v>0.8</v>
      </c>
      <c r="F21" s="824" t="s">
        <v>569</v>
      </c>
      <c r="G21" s="825"/>
      <c r="H21" s="817"/>
      <c r="I21" s="817"/>
    </row>
    <row r="22" spans="1:9" s="826" customFormat="1" ht="19.5" customHeight="1">
      <c r="A22" s="3386"/>
      <c r="B22" s="3386"/>
      <c r="C22" s="822" t="s">
        <v>570</v>
      </c>
      <c r="D22" s="823"/>
      <c r="E22" s="821">
        <v>0.5</v>
      </c>
      <c r="F22" s="824"/>
      <c r="G22" s="825"/>
      <c r="H22" s="817"/>
      <c r="I22" s="817"/>
    </row>
    <row r="23" spans="1:9" s="826" customFormat="1" ht="19.5" customHeight="1">
      <c r="A23" s="3386" t="s">
        <v>184</v>
      </c>
      <c r="B23" s="821" t="s">
        <v>560</v>
      </c>
      <c r="C23" s="822" t="s">
        <v>571</v>
      </c>
      <c r="D23" s="823"/>
      <c r="E23" s="821">
        <v>1</v>
      </c>
      <c r="F23" s="824" t="s">
        <v>572</v>
      </c>
      <c r="G23" s="825"/>
      <c r="H23" s="817"/>
      <c r="I23" s="817"/>
    </row>
    <row r="24" spans="1:9" s="826" customFormat="1" ht="19.5" customHeight="1">
      <c r="A24" s="3386"/>
      <c r="B24" s="3386" t="s">
        <v>563</v>
      </c>
      <c r="C24" s="822" t="s">
        <v>573</v>
      </c>
      <c r="D24" s="823"/>
      <c r="E24" s="821">
        <v>0.5</v>
      </c>
      <c r="F24" s="824"/>
      <c r="G24" s="825"/>
      <c r="H24" s="817"/>
      <c r="I24" s="817"/>
    </row>
    <row r="25" spans="1:9" s="826" customFormat="1" ht="19.5" customHeight="1">
      <c r="A25" s="3386"/>
      <c r="B25" s="3386"/>
      <c r="C25" s="822" t="s">
        <v>574</v>
      </c>
      <c r="D25" s="823"/>
      <c r="E25" s="821">
        <v>1.1000000000000001</v>
      </c>
      <c r="F25" s="824"/>
      <c r="G25" s="825"/>
      <c r="H25" s="817"/>
      <c r="I25" s="817"/>
    </row>
    <row r="26" spans="1:9" s="826" customFormat="1" ht="19.5" customHeight="1">
      <c r="A26" s="3386"/>
      <c r="B26" s="3386"/>
      <c r="C26" s="822" t="s">
        <v>575</v>
      </c>
      <c r="D26" s="823"/>
      <c r="E26" s="821">
        <v>1.1000000000000001</v>
      </c>
      <c r="F26" s="824"/>
      <c r="G26" s="825"/>
      <c r="H26" s="817"/>
      <c r="I26" s="817"/>
    </row>
    <row r="27" spans="1:9" s="826" customFormat="1" ht="19.5" customHeight="1">
      <c r="A27" s="3386"/>
      <c r="B27" s="3386"/>
      <c r="C27" s="822" t="s">
        <v>576</v>
      </c>
      <c r="D27" s="823"/>
      <c r="E27" s="821">
        <v>0.9</v>
      </c>
      <c r="F27" s="824" t="s">
        <v>577</v>
      </c>
      <c r="G27" s="825"/>
      <c r="H27" s="817"/>
      <c r="I27" s="817"/>
    </row>
    <row r="28" spans="1:9" s="826" customFormat="1" ht="19.5" customHeight="1">
      <c r="A28" s="3386"/>
      <c r="B28" s="3386"/>
      <c r="C28" s="822" t="s">
        <v>578</v>
      </c>
      <c r="D28" s="823"/>
      <c r="E28" s="821">
        <v>0.9</v>
      </c>
      <c r="F28" s="824" t="s">
        <v>579</v>
      </c>
      <c r="G28" s="825"/>
      <c r="H28" s="817"/>
      <c r="I28" s="817"/>
    </row>
    <row r="29" spans="1:9" s="826" customFormat="1" ht="19.5" customHeight="1">
      <c r="A29" s="3386"/>
      <c r="B29" s="3386"/>
      <c r="C29" s="822" t="s">
        <v>580</v>
      </c>
      <c r="D29" s="823"/>
      <c r="E29" s="821">
        <v>0.9</v>
      </c>
      <c r="F29" s="824" t="s">
        <v>581</v>
      </c>
      <c r="G29" s="825"/>
      <c r="H29" s="817"/>
      <c r="I29" s="817"/>
    </row>
    <row r="30" spans="1:9" s="826" customFormat="1" ht="19.5" customHeight="1">
      <c r="A30" s="3386"/>
      <c r="B30" s="3386"/>
      <c r="C30" s="822" t="s">
        <v>582</v>
      </c>
      <c r="D30" s="823"/>
      <c r="E30" s="821">
        <v>0.9</v>
      </c>
      <c r="F30" s="824" t="s">
        <v>583</v>
      </c>
      <c r="G30" s="825"/>
      <c r="H30" s="817"/>
      <c r="I30" s="817"/>
    </row>
    <row r="31" spans="1:9" s="826" customFormat="1" ht="19.5" customHeight="1">
      <c r="A31" s="3386"/>
      <c r="B31" s="3386"/>
      <c r="C31" s="822" t="s">
        <v>584</v>
      </c>
      <c r="D31" s="823"/>
      <c r="E31" s="821">
        <v>0.8</v>
      </c>
      <c r="F31" s="824" t="s">
        <v>585</v>
      </c>
      <c r="G31" s="825"/>
      <c r="H31" s="817"/>
      <c r="I31" s="817"/>
    </row>
    <row r="32" spans="1:9" s="826" customFormat="1" ht="19.5" customHeight="1">
      <c r="A32" s="3386"/>
      <c r="B32" s="3386"/>
      <c r="C32" s="822" t="s">
        <v>586</v>
      </c>
      <c r="D32" s="823"/>
      <c r="E32" s="821">
        <v>0.8</v>
      </c>
      <c r="F32" s="824" t="s">
        <v>587</v>
      </c>
      <c r="G32" s="825"/>
      <c r="H32" s="817"/>
      <c r="I32" s="817"/>
    </row>
    <row r="33" spans="1:9" s="826" customFormat="1" ht="19.5" customHeight="1">
      <c r="A33" s="3386" t="s">
        <v>185</v>
      </c>
      <c r="B33" s="821" t="s">
        <v>560</v>
      </c>
      <c r="C33" s="822" t="s">
        <v>588</v>
      </c>
      <c r="D33" s="823"/>
      <c r="E33" s="821">
        <v>1</v>
      </c>
      <c r="F33" s="824" t="s">
        <v>589</v>
      </c>
      <c r="G33" s="825"/>
      <c r="H33" s="817"/>
      <c r="I33" s="817"/>
    </row>
    <row r="34" spans="1:9" s="826" customFormat="1" ht="19.5" customHeight="1">
      <c r="A34" s="3386"/>
      <c r="B34" s="821" t="s">
        <v>563</v>
      </c>
      <c r="C34" s="822" t="s">
        <v>590</v>
      </c>
      <c r="D34" s="823"/>
      <c r="E34" s="821">
        <v>1.5</v>
      </c>
      <c r="F34" s="824" t="s">
        <v>591</v>
      </c>
      <c r="G34" s="825"/>
      <c r="H34" s="817"/>
      <c r="I34" s="817"/>
    </row>
    <row r="35" spans="1:9" s="826" customFormat="1" ht="19.5" customHeight="1">
      <c r="A35" s="3386" t="s">
        <v>186</v>
      </c>
      <c r="B35" s="821" t="s">
        <v>560</v>
      </c>
      <c r="C35" s="822" t="s">
        <v>592</v>
      </c>
      <c r="D35" s="823"/>
      <c r="E35" s="821">
        <v>1</v>
      </c>
      <c r="F35" s="824" t="s">
        <v>593</v>
      </c>
      <c r="G35" s="825"/>
      <c r="H35" s="817"/>
      <c r="I35" s="817"/>
    </row>
    <row r="36" spans="1:9" s="826" customFormat="1" ht="19.5" customHeight="1">
      <c r="A36" s="3386"/>
      <c r="B36" s="3386" t="s">
        <v>563</v>
      </c>
      <c r="C36" s="822" t="s">
        <v>594</v>
      </c>
      <c r="D36" s="823"/>
      <c r="E36" s="821">
        <v>1</v>
      </c>
      <c r="F36" s="824" t="s">
        <v>595</v>
      </c>
      <c r="G36" s="825"/>
      <c r="H36" s="817"/>
      <c r="I36" s="817"/>
    </row>
    <row r="37" spans="1:9" s="826" customFormat="1" ht="19.5" customHeight="1">
      <c r="A37" s="3386"/>
      <c r="B37" s="3386"/>
      <c r="C37" s="822" t="s">
        <v>596</v>
      </c>
      <c r="D37" s="823"/>
      <c r="E37" s="821">
        <v>1.5</v>
      </c>
      <c r="F37" s="824" t="s">
        <v>597</v>
      </c>
      <c r="G37" s="825"/>
      <c r="H37" s="817"/>
      <c r="I37" s="817"/>
    </row>
    <row r="38" spans="1:9" s="826" customFormat="1" ht="19.5" customHeight="1">
      <c r="A38" s="3386"/>
      <c r="B38" s="3386"/>
      <c r="C38" s="822" t="s">
        <v>598</v>
      </c>
      <c r="D38" s="823"/>
      <c r="E38" s="821">
        <v>1</v>
      </c>
      <c r="F38" s="824" t="s">
        <v>599</v>
      </c>
      <c r="G38" s="825"/>
      <c r="H38" s="817"/>
      <c r="I38" s="817"/>
    </row>
    <row r="39" spans="1:9" s="826" customFormat="1" ht="19.5" customHeight="1">
      <c r="A39" s="3386"/>
      <c r="B39" s="33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6" t="s">
        <v>614</v>
      </c>
      <c r="C61" s="757" t="s">
        <v>615</v>
      </c>
      <c r="D61" s="757" t="s">
        <v>616</v>
      </c>
      <c r="E61" s="834">
        <v>0.5</v>
      </c>
      <c r="F61" s="821">
        <v>80</v>
      </c>
    </row>
    <row r="62" spans="1:8" s="817" customFormat="1" ht="24">
      <c r="A62" s="821">
        <v>2</v>
      </c>
      <c r="B62" s="3386"/>
      <c r="C62" s="757" t="s">
        <v>617</v>
      </c>
      <c r="D62" s="757" t="s">
        <v>618</v>
      </c>
      <c r="E62" s="834">
        <v>0.5</v>
      </c>
      <c r="F62" s="821">
        <v>80</v>
      </c>
    </row>
    <row r="63" spans="1:8" s="817" customFormat="1" ht="36">
      <c r="A63" s="821">
        <v>3</v>
      </c>
      <c r="B63" s="3386"/>
      <c r="C63" s="757" t="s">
        <v>619</v>
      </c>
      <c r="D63" s="757" t="s">
        <v>620</v>
      </c>
      <c r="E63" s="834">
        <v>0.5</v>
      </c>
      <c r="F63" s="821">
        <v>80</v>
      </c>
    </row>
    <row r="64" spans="1:8" s="817" customFormat="1" ht="36">
      <c r="A64" s="821">
        <v>4</v>
      </c>
      <c r="B64" s="3386"/>
      <c r="C64" s="757" t="s">
        <v>621</v>
      </c>
      <c r="D64" s="757" t="s">
        <v>622</v>
      </c>
      <c r="E64" s="834">
        <v>0.4</v>
      </c>
      <c r="F64" s="821">
        <v>60</v>
      </c>
    </row>
    <row r="65" spans="1:6" s="817" customFormat="1" ht="36">
      <c r="A65" s="821">
        <v>5</v>
      </c>
      <c r="B65" s="3386"/>
      <c r="C65" s="757" t="s">
        <v>623</v>
      </c>
      <c r="D65" s="757" t="s">
        <v>624</v>
      </c>
      <c r="E65" s="834">
        <v>0.2</v>
      </c>
      <c r="F65" s="821">
        <v>30</v>
      </c>
    </row>
    <row r="66" spans="1:6" s="817" customFormat="1" ht="36">
      <c r="A66" s="821">
        <v>6</v>
      </c>
      <c r="B66" s="3386"/>
      <c r="C66" s="757" t="s">
        <v>625</v>
      </c>
      <c r="D66" s="757" t="s">
        <v>626</v>
      </c>
      <c r="E66" s="834">
        <v>0.3</v>
      </c>
      <c r="F66" s="821">
        <v>50</v>
      </c>
    </row>
    <row r="67" spans="1:6" s="817" customFormat="1" ht="36">
      <c r="A67" s="821">
        <v>7</v>
      </c>
      <c r="B67" s="3386"/>
      <c r="C67" s="757" t="s">
        <v>627</v>
      </c>
      <c r="D67" s="757" t="s">
        <v>628</v>
      </c>
      <c r="E67" s="834">
        <v>0.2</v>
      </c>
      <c r="F67" s="821">
        <v>30</v>
      </c>
    </row>
    <row r="68" spans="1:6" s="817" customFormat="1" ht="36">
      <c r="A68" s="821">
        <v>8</v>
      </c>
      <c r="B68" s="3386"/>
      <c r="C68" s="757" t="s">
        <v>629</v>
      </c>
      <c r="D68" s="757" t="s">
        <v>630</v>
      </c>
      <c r="E68" s="834">
        <v>0.2</v>
      </c>
      <c r="F68" s="821">
        <v>30</v>
      </c>
    </row>
    <row r="69" spans="1:6" s="817" customFormat="1" ht="36">
      <c r="A69" s="821">
        <v>9</v>
      </c>
      <c r="B69" s="3386"/>
      <c r="C69" s="757" t="s">
        <v>631</v>
      </c>
      <c r="D69" s="757" t="s">
        <v>632</v>
      </c>
      <c r="E69" s="834">
        <v>0.2</v>
      </c>
      <c r="F69" s="821">
        <v>30</v>
      </c>
    </row>
    <row r="70" spans="1:6" s="817" customFormat="1" ht="48">
      <c r="A70" s="821">
        <v>10</v>
      </c>
      <c r="B70" s="3386"/>
      <c r="C70" s="757" t="s">
        <v>633</v>
      </c>
      <c r="D70" s="757" t="s">
        <v>634</v>
      </c>
      <c r="E70" s="834">
        <v>0.2</v>
      </c>
      <c r="F70" s="821">
        <v>30</v>
      </c>
    </row>
    <row r="71" spans="1:6" s="817" customFormat="1" ht="48">
      <c r="A71" s="821">
        <v>11</v>
      </c>
      <c r="B71" s="3386"/>
      <c r="C71" s="757" t="s">
        <v>635</v>
      </c>
      <c r="D71" s="757" t="s">
        <v>636</v>
      </c>
      <c r="E71" s="834">
        <v>0.2</v>
      </c>
      <c r="F71" s="821">
        <v>30</v>
      </c>
    </row>
    <row r="72" spans="1:6" s="817" customFormat="1" ht="36">
      <c r="A72" s="821">
        <v>12</v>
      </c>
      <c r="B72" s="3386"/>
      <c r="C72" s="757" t="s">
        <v>637</v>
      </c>
      <c r="D72" s="757" t="s">
        <v>638</v>
      </c>
      <c r="E72" s="834">
        <v>0.5</v>
      </c>
      <c r="F72" s="821">
        <v>80</v>
      </c>
    </row>
    <row r="73" spans="1:6" s="817" customFormat="1" ht="24">
      <c r="A73" s="821">
        <v>13</v>
      </c>
      <c r="B73" s="3386"/>
      <c r="C73" s="757" t="s">
        <v>639</v>
      </c>
      <c r="D73" s="757" t="s">
        <v>640</v>
      </c>
      <c r="E73" s="834">
        <v>0.4</v>
      </c>
      <c r="F73" s="821">
        <v>60</v>
      </c>
    </row>
    <row r="74" spans="1:6" s="817" customFormat="1" ht="24">
      <c r="A74" s="821">
        <v>14</v>
      </c>
      <c r="B74" s="3386"/>
      <c r="C74" s="757" t="s">
        <v>641</v>
      </c>
      <c r="D74" s="757" t="s">
        <v>642</v>
      </c>
      <c r="E74" s="834">
        <v>0.2</v>
      </c>
      <c r="F74" s="821">
        <v>30</v>
      </c>
    </row>
    <row r="75" spans="1:6" s="817" customFormat="1" ht="24">
      <c r="A75" s="821">
        <v>15</v>
      </c>
      <c r="B75" s="3386"/>
      <c r="C75" s="757" t="s">
        <v>643</v>
      </c>
      <c r="D75" s="757" t="s">
        <v>644</v>
      </c>
      <c r="E75" s="834">
        <v>0.2</v>
      </c>
      <c r="F75" s="821">
        <v>30</v>
      </c>
    </row>
    <row r="76" spans="1:6" s="817" customFormat="1" ht="24">
      <c r="A76" s="821">
        <v>16</v>
      </c>
      <c r="B76" s="3386" t="s">
        <v>645</v>
      </c>
      <c r="C76" s="757" t="s">
        <v>646</v>
      </c>
      <c r="D76" s="757" t="s">
        <v>647</v>
      </c>
      <c r="E76" s="834">
        <v>0.5</v>
      </c>
      <c r="F76" s="821">
        <v>80</v>
      </c>
    </row>
    <row r="77" spans="1:6" s="817" customFormat="1" ht="24">
      <c r="A77" s="821">
        <v>17</v>
      </c>
      <c r="B77" s="3386"/>
      <c r="C77" s="757" t="s">
        <v>648</v>
      </c>
      <c r="D77" s="757" t="s">
        <v>649</v>
      </c>
      <c r="E77" s="834">
        <v>0.5</v>
      </c>
      <c r="F77" s="821">
        <v>80</v>
      </c>
    </row>
    <row r="78" spans="1:6" s="817" customFormat="1" ht="24">
      <c r="A78" s="821">
        <v>18</v>
      </c>
      <c r="B78" s="3386"/>
      <c r="C78" s="757" t="s">
        <v>650</v>
      </c>
      <c r="D78" s="757" t="s">
        <v>651</v>
      </c>
      <c r="E78" s="834">
        <v>0.2</v>
      </c>
      <c r="F78" s="821">
        <v>30</v>
      </c>
    </row>
    <row r="79" spans="1:6" s="817" customFormat="1" ht="24">
      <c r="A79" s="821">
        <v>19</v>
      </c>
      <c r="B79" s="3386"/>
      <c r="C79" s="757" t="s">
        <v>652</v>
      </c>
      <c r="D79" s="757" t="s">
        <v>653</v>
      </c>
      <c r="E79" s="834">
        <v>0.5</v>
      </c>
      <c r="F79" s="821">
        <v>80</v>
      </c>
    </row>
    <row r="80" spans="1:6" s="817" customFormat="1" ht="36">
      <c r="A80" s="821">
        <v>20</v>
      </c>
      <c r="B80" s="3386"/>
      <c r="C80" s="757" t="s">
        <v>654</v>
      </c>
      <c r="D80" s="757" t="s">
        <v>655</v>
      </c>
      <c r="E80" s="834">
        <v>0.2</v>
      </c>
      <c r="F80" s="821">
        <v>30</v>
      </c>
    </row>
    <row r="81" spans="1:6" s="817" customFormat="1" ht="36">
      <c r="A81" s="821">
        <v>21</v>
      </c>
      <c r="B81" s="3386"/>
      <c r="C81" s="757" t="s">
        <v>656</v>
      </c>
      <c r="D81" s="757" t="s">
        <v>657</v>
      </c>
      <c r="E81" s="834">
        <v>0.2</v>
      </c>
      <c r="F81" s="821">
        <v>30</v>
      </c>
    </row>
    <row r="82" spans="1:6" s="817" customFormat="1" ht="48">
      <c r="A82" s="821">
        <v>22</v>
      </c>
      <c r="B82" s="3386"/>
      <c r="C82" s="757" t="s">
        <v>658</v>
      </c>
      <c r="D82" s="757" t="s">
        <v>659</v>
      </c>
      <c r="E82" s="834">
        <v>0.2</v>
      </c>
      <c r="F82" s="821">
        <v>30</v>
      </c>
    </row>
    <row r="83" spans="1:6" s="817" customFormat="1" ht="48">
      <c r="A83" s="821">
        <v>23</v>
      </c>
      <c r="B83" s="3386"/>
      <c r="C83" s="757" t="s">
        <v>660</v>
      </c>
      <c r="D83" s="757" t="s">
        <v>661</v>
      </c>
      <c r="E83" s="834">
        <v>0.2</v>
      </c>
      <c r="F83" s="821">
        <v>30</v>
      </c>
    </row>
    <row r="84" spans="1:6" s="817" customFormat="1" ht="36">
      <c r="A84" s="821">
        <v>24</v>
      </c>
      <c r="B84" s="3386"/>
      <c r="C84" s="757" t="s">
        <v>662</v>
      </c>
      <c r="D84" s="757" t="s">
        <v>663</v>
      </c>
      <c r="E84" s="834">
        <v>0.2</v>
      </c>
      <c r="F84" s="821">
        <v>30</v>
      </c>
    </row>
    <row r="85" spans="1:6" s="817" customFormat="1" ht="36">
      <c r="A85" s="821">
        <v>25</v>
      </c>
      <c r="B85" s="3386"/>
      <c r="C85" s="757" t="s">
        <v>664</v>
      </c>
      <c r="D85" s="757" t="s">
        <v>665</v>
      </c>
      <c r="E85" s="834">
        <v>0.5</v>
      </c>
      <c r="F85" s="821">
        <v>80</v>
      </c>
    </row>
    <row r="86" spans="1:6" s="817" customFormat="1" ht="36">
      <c r="A86" s="821">
        <v>26</v>
      </c>
      <c r="B86" s="3386"/>
      <c r="C86" s="757" t="s">
        <v>666</v>
      </c>
      <c r="D86" s="757" t="s">
        <v>667</v>
      </c>
      <c r="E86" s="834">
        <v>0.2</v>
      </c>
      <c r="F86" s="821">
        <v>30</v>
      </c>
    </row>
    <row r="87" spans="1:6" s="817" customFormat="1" ht="36">
      <c r="A87" s="821">
        <v>27</v>
      </c>
      <c r="B87" s="3386"/>
      <c r="C87" s="757" t="s">
        <v>668</v>
      </c>
      <c r="D87" s="757" t="s">
        <v>669</v>
      </c>
      <c r="E87" s="834">
        <v>0.2</v>
      </c>
      <c r="F87" s="821">
        <v>30</v>
      </c>
    </row>
    <row r="88" spans="1:6" s="817" customFormat="1" ht="36">
      <c r="A88" s="821">
        <v>28</v>
      </c>
      <c r="B88" s="3386"/>
      <c r="C88" s="757" t="s">
        <v>670</v>
      </c>
      <c r="D88" s="757" t="s">
        <v>671</v>
      </c>
      <c r="E88" s="834">
        <v>0.2</v>
      </c>
      <c r="F88" s="821">
        <v>30</v>
      </c>
    </row>
    <row r="89" spans="1:6" s="817" customFormat="1" ht="24">
      <c r="A89" s="821">
        <v>29</v>
      </c>
      <c r="B89" s="3386"/>
      <c r="C89" s="757" t="s">
        <v>672</v>
      </c>
      <c r="D89" s="757" t="s">
        <v>673</v>
      </c>
      <c r="E89" s="834">
        <v>0.2</v>
      </c>
      <c r="F89" s="821">
        <v>30</v>
      </c>
    </row>
    <row r="90" spans="1:6" s="817" customFormat="1" ht="24">
      <c r="A90" s="821">
        <v>30</v>
      </c>
      <c r="B90" s="3386"/>
      <c r="C90" s="757" t="s">
        <v>674</v>
      </c>
      <c r="D90" s="757" t="s">
        <v>675</v>
      </c>
      <c r="E90" s="834">
        <v>0.2</v>
      </c>
      <c r="F90" s="821">
        <v>30</v>
      </c>
    </row>
    <row r="91" spans="1:6" s="817" customFormat="1" ht="36">
      <c r="A91" s="821">
        <v>31</v>
      </c>
      <c r="B91" s="3386"/>
      <c r="C91" s="757" t="s">
        <v>676</v>
      </c>
      <c r="D91" s="757" t="s">
        <v>677</v>
      </c>
      <c r="E91" s="834">
        <v>0.2</v>
      </c>
      <c r="F91" s="821">
        <v>30</v>
      </c>
    </row>
    <row r="92" spans="1:6" s="817" customFormat="1" ht="24">
      <c r="A92" s="821">
        <v>32</v>
      </c>
      <c r="B92" s="3386" t="s">
        <v>678</v>
      </c>
      <c r="C92" s="821" t="s">
        <v>679</v>
      </c>
      <c r="D92" s="757" t="s">
        <v>680</v>
      </c>
      <c r="E92" s="834">
        <v>0.2</v>
      </c>
      <c r="F92" s="821">
        <v>30</v>
      </c>
    </row>
    <row r="93" spans="1:6" s="817" customFormat="1" ht="36">
      <c r="A93" s="821">
        <v>33</v>
      </c>
      <c r="B93" s="3386"/>
      <c r="C93" s="821" t="s">
        <v>681</v>
      </c>
      <c r="D93" s="757" t="s">
        <v>682</v>
      </c>
      <c r="E93" s="834">
        <v>0.2</v>
      </c>
      <c r="F93" s="821">
        <v>30</v>
      </c>
    </row>
    <row r="94" spans="1:6" s="817" customFormat="1" ht="48">
      <c r="A94" s="821">
        <v>34</v>
      </c>
      <c r="B94" s="3386"/>
      <c r="C94" s="821" t="s">
        <v>683</v>
      </c>
      <c r="D94" s="757" t="s">
        <v>684</v>
      </c>
      <c r="E94" s="834">
        <v>0.2</v>
      </c>
      <c r="F94" s="821">
        <v>30</v>
      </c>
    </row>
    <row r="95" spans="1:6" s="817" customFormat="1" ht="36">
      <c r="A95" s="821">
        <v>35</v>
      </c>
      <c r="B95" s="3386"/>
      <c r="C95" s="821" t="s">
        <v>685</v>
      </c>
      <c r="D95" s="757" t="s">
        <v>686</v>
      </c>
      <c r="E95" s="834">
        <v>0.2</v>
      </c>
      <c r="F95" s="821">
        <v>30</v>
      </c>
    </row>
    <row r="96" spans="1:6" s="817" customFormat="1" ht="48">
      <c r="A96" s="821">
        <v>36</v>
      </c>
      <c r="B96" s="3386"/>
      <c r="C96" s="757" t="s">
        <v>687</v>
      </c>
      <c r="D96" s="757" t="s">
        <v>688</v>
      </c>
      <c r="E96" s="834">
        <v>0.2</v>
      </c>
      <c r="F96" s="821">
        <v>30</v>
      </c>
    </row>
    <row r="97" spans="1:6" s="817" customFormat="1" ht="36">
      <c r="A97" s="821">
        <v>37</v>
      </c>
      <c r="B97" s="3386"/>
      <c r="C97" s="821" t="s">
        <v>689</v>
      </c>
      <c r="D97" s="757" t="s">
        <v>690</v>
      </c>
      <c r="E97" s="834">
        <v>0.2</v>
      </c>
      <c r="F97" s="821">
        <v>30</v>
      </c>
    </row>
    <row r="98" spans="1:6" s="817" customFormat="1" ht="36">
      <c r="A98" s="821">
        <v>38</v>
      </c>
      <c r="B98" s="3386"/>
      <c r="C98" s="821" t="s">
        <v>691</v>
      </c>
      <c r="D98" s="757" t="s">
        <v>692</v>
      </c>
      <c r="E98" s="834">
        <v>0.2</v>
      </c>
      <c r="F98" s="821">
        <v>30</v>
      </c>
    </row>
    <row r="99" spans="1:6" s="817" customFormat="1" ht="36">
      <c r="A99" s="821">
        <v>39</v>
      </c>
      <c r="B99" s="3386" t="s">
        <v>693</v>
      </c>
      <c r="C99" s="821" t="s">
        <v>694</v>
      </c>
      <c r="D99" s="757" t="s">
        <v>695</v>
      </c>
      <c r="E99" s="834">
        <v>0.3</v>
      </c>
      <c r="F99" s="821">
        <v>50</v>
      </c>
    </row>
    <row r="100" spans="1:6" s="817" customFormat="1" ht="24">
      <c r="A100" s="821">
        <v>40</v>
      </c>
      <c r="B100" s="3386"/>
      <c r="C100" s="821" t="s">
        <v>696</v>
      </c>
      <c r="D100" s="757" t="s">
        <v>697</v>
      </c>
      <c r="E100" s="834">
        <v>0.2</v>
      </c>
      <c r="F100" s="821">
        <v>30</v>
      </c>
    </row>
    <row r="101" spans="1:6" s="817" customFormat="1" ht="36">
      <c r="A101" s="821">
        <v>41</v>
      </c>
      <c r="B101" s="33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6" t="s">
        <v>708</v>
      </c>
      <c r="C105" s="821" t="s">
        <v>709</v>
      </c>
      <c r="D105" s="757" t="s">
        <v>710</v>
      </c>
      <c r="E105" s="834">
        <v>0.2</v>
      </c>
      <c r="F105" s="821">
        <v>30</v>
      </c>
    </row>
    <row r="106" spans="1:6" s="817" customFormat="1" ht="36">
      <c r="A106" s="821">
        <v>46</v>
      </c>
      <c r="B106" s="3386"/>
      <c r="C106" s="821" t="s">
        <v>711</v>
      </c>
      <c r="D106" s="757" t="s">
        <v>712</v>
      </c>
      <c r="E106" s="834">
        <v>0.2</v>
      </c>
      <c r="F106" s="821">
        <v>30</v>
      </c>
    </row>
    <row r="107" spans="1:6" s="817" customFormat="1" ht="36">
      <c r="A107" s="821">
        <v>47</v>
      </c>
      <c r="B107" s="3386" t="s">
        <v>713</v>
      </c>
      <c r="C107" s="821" t="s">
        <v>714</v>
      </c>
      <c r="D107" s="757" t="s">
        <v>715</v>
      </c>
      <c r="E107" s="834">
        <v>0.3</v>
      </c>
      <c r="F107" s="821">
        <v>50</v>
      </c>
    </row>
    <row r="108" spans="1:6" s="817" customFormat="1" ht="36">
      <c r="A108" s="821">
        <v>48</v>
      </c>
      <c r="B108" s="33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6" t="s">
        <v>724</v>
      </c>
      <c r="C111" s="821" t="s">
        <v>725</v>
      </c>
      <c r="D111" s="757" t="s">
        <v>726</v>
      </c>
      <c r="E111" s="834">
        <v>0.2</v>
      </c>
      <c r="F111" s="821">
        <v>30</v>
      </c>
    </row>
    <row r="112" spans="1:6" s="817" customFormat="1" ht="24">
      <c r="A112" s="821">
        <v>52</v>
      </c>
      <c r="B112" s="3386"/>
      <c r="C112" s="821" t="s">
        <v>727</v>
      </c>
      <c r="D112" s="757" t="s">
        <v>728</v>
      </c>
      <c r="E112" s="834">
        <v>0.2</v>
      </c>
      <c r="F112" s="821">
        <v>30</v>
      </c>
    </row>
    <row r="113" spans="1:6" s="817" customFormat="1" ht="24">
      <c r="A113" s="821">
        <v>53</v>
      </c>
      <c r="B113" s="33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6" t="s">
        <v>737</v>
      </c>
      <c r="C116" s="821" t="s">
        <v>738</v>
      </c>
      <c r="D116" s="757" t="s">
        <v>739</v>
      </c>
      <c r="E116" s="834">
        <v>0.2</v>
      </c>
      <c r="F116" s="821">
        <v>30</v>
      </c>
    </row>
    <row r="117" spans="1:6" ht="36">
      <c r="A117" s="821">
        <v>57</v>
      </c>
      <c r="B117" s="33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34"/>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1595</v>
      </c>
      <c r="C4" s="3069"/>
      <c r="D4" s="3069"/>
      <c r="E4" s="1678"/>
    </row>
    <row r="5" spans="1:5" ht="16.5" thickTop="1">
      <c r="A5" s="1676"/>
      <c r="B5" s="3067" t="s">
        <v>1587</v>
      </c>
      <c r="C5" s="1679" t="s">
        <v>1588</v>
      </c>
      <c r="D5" s="959">
        <f ca="1">结果表!H101</f>
        <v>130341</v>
      </c>
      <c r="E5" s="1676"/>
    </row>
    <row r="6" spans="1:5" ht="15.75">
      <c r="A6" s="1676"/>
      <c r="B6" s="3067"/>
      <c r="C6" s="1679" t="s">
        <v>1589</v>
      </c>
      <c r="D6" s="959" t="str">
        <f ca="1">NUMBERSTRING(INT(D5*10000),2)&amp;"元整"</f>
        <v>壹拾叁亿零叁佰肆拾壹万元整</v>
      </c>
      <c r="E6" s="1676"/>
    </row>
    <row r="7" spans="1:5" ht="15.75">
      <c r="A7" s="1676"/>
      <c r="B7" s="3072"/>
      <c r="C7" s="1680" t="s">
        <v>1590</v>
      </c>
      <c r="D7" s="960">
        <f ca="1">结果表!H102</f>
        <v>95673</v>
      </c>
      <c r="E7" s="1676"/>
    </row>
    <row r="8" spans="1:5" ht="15.75">
      <c r="A8" s="1676"/>
      <c r="B8" s="3073" t="str">
        <f>结果表!E103</f>
        <v>2.估价师知悉的法定优先受偿款</v>
      </c>
      <c r="C8" s="1681" t="s">
        <v>1591</v>
      </c>
      <c r="D8" s="960">
        <f>结果表!H103</f>
        <v>0</v>
      </c>
      <c r="E8" s="1676"/>
    </row>
    <row r="9" spans="1:5" ht="15.75">
      <c r="A9" s="1676"/>
      <c r="B9" s="307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6" t="str">
        <f>结果表!E107</f>
        <v>3.房地产抵押价值</v>
      </c>
      <c r="C13" s="1684" t="s">
        <v>1588</v>
      </c>
      <c r="D13" s="962">
        <f ca="1">结果表!H107</f>
        <v>130341</v>
      </c>
      <c r="E13" s="1676"/>
    </row>
    <row r="14" spans="1:5" ht="15.75">
      <c r="A14" s="1676"/>
      <c r="B14" s="3067"/>
      <c r="C14" s="1679" t="s">
        <v>1589</v>
      </c>
      <c r="D14" s="959" t="str">
        <f ca="1">NUMBERSTRING(INT(D13*10000),2)&amp;"元整"</f>
        <v>壹拾叁亿零叁佰肆拾壹万元整</v>
      </c>
      <c r="E14" s="1676"/>
    </row>
    <row r="15" spans="1:5" ht="15">
      <c r="A15" s="1676"/>
      <c r="B15" s="3072"/>
      <c r="C15" s="1680" t="s">
        <v>1599</v>
      </c>
      <c r="D15" s="968">
        <f ca="1">结果表!H108</f>
        <v>95673</v>
      </c>
      <c r="E15" s="1676"/>
    </row>
    <row r="16" spans="1:5" ht="15">
      <c r="A16" s="1676"/>
      <c r="B16" s="3073" t="str">
        <f>结果表!E109</f>
        <v>——</v>
      </c>
      <c r="C16" s="1684" t="s">
        <v>1600</v>
      </c>
      <c r="D16" s="1685" t="str">
        <f>结果表!H109</f>
        <v>——</v>
      </c>
      <c r="E16" s="1676"/>
    </row>
    <row r="17" spans="1:5" ht="15.75">
      <c r="A17" s="1676"/>
      <c r="B17" s="3074"/>
      <c r="C17" s="1679" t="s">
        <v>1601</v>
      </c>
      <c r="D17" s="959" t="e">
        <f>NUMBERSTRING(INT(D16*10000),2)&amp;"元整"</f>
        <v>#VALUE!</v>
      </c>
      <c r="E17" s="1676"/>
    </row>
    <row r="18" spans="1:5" ht="15">
      <c r="A18" s="1676"/>
      <c r="B18" s="3075"/>
      <c r="C18" s="1680" t="s">
        <v>1590</v>
      </c>
      <c r="D18" s="968" t="str">
        <f>结果表!H110</f>
        <v>——</v>
      </c>
      <c r="E18" s="1676"/>
    </row>
    <row r="19" spans="1:5" ht="15.75">
      <c r="A19" s="1676"/>
      <c r="B19" s="3066" t="str">
        <f>结果表!E111</f>
        <v>4.抵押净值</v>
      </c>
      <c r="C19" s="1684" t="s">
        <v>1588</v>
      </c>
      <c r="D19" s="960">
        <f ca="1">结果表!H111</f>
        <v>93048</v>
      </c>
      <c r="E19" s="1676"/>
    </row>
    <row r="20" spans="1:5" ht="15.75">
      <c r="A20" s="1676"/>
      <c r="B20" s="3067"/>
      <c r="C20" s="1679" t="s">
        <v>1601</v>
      </c>
      <c r="D20" s="959" t="str">
        <f ca="1">NUMBERSTRING(INT(D19*10000),2)&amp;"元整"</f>
        <v>玖亿叁仟零肆拾捌万元整</v>
      </c>
      <c r="E20" s="1676"/>
    </row>
    <row r="21" spans="1:5" ht="15.75" thickBot="1">
      <c r="A21" s="1676"/>
      <c r="B21" s="3068"/>
      <c r="C21" s="1686" t="s">
        <v>1599</v>
      </c>
      <c r="D21" s="969">
        <f ca="1">结果表!H112</f>
        <v>68299</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C7:Q34"/>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3055</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3054</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4">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2857</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3051</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3">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3050</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40">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2873</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2871</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2870</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2869</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2867</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2865</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2868</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8">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2863</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8"/>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2862</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8"/>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2855</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7"/>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93">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8"/>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3"/>
        <v>419.31181600000002</v>
      </c>
      <c r="C21" s="2424">
        <f t="shared" si="164"/>
        <v>313.95436800000004</v>
      </c>
      <c r="D21" s="2424">
        <f t="shared" si="165"/>
        <v>313.95436800000004</v>
      </c>
      <c r="E21" s="2424">
        <f t="shared" si="166"/>
        <v>596.63028431999999</v>
      </c>
      <c r="F21" s="2424">
        <f t="shared" si="167"/>
        <v>274.74220703999998</v>
      </c>
      <c r="G21" s="3388"/>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7"/>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93">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8"/>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6"/>
        <v>360.06949782209392</v>
      </c>
      <c r="C25" s="2424">
        <f t="shared" si="176"/>
        <v>289.84672674747821</v>
      </c>
      <c r="D25" s="2424">
        <f t="shared" si="177"/>
        <v>289.84672674747821</v>
      </c>
      <c r="E25" s="2424">
        <f t="shared" si="178"/>
        <v>501.06543001181495</v>
      </c>
      <c r="F25" s="2424">
        <f t="shared" si="178"/>
        <v>256.82882500744967</v>
      </c>
      <c r="G25" s="3388"/>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6"/>
        <v>346.720748986128</v>
      </c>
      <c r="C26" s="2424">
        <f t="shared" si="176"/>
        <v>284.30282172386285</v>
      </c>
      <c r="D26" s="2424">
        <f t="shared" si="177"/>
        <v>284.30282172386285</v>
      </c>
      <c r="E26" s="2424">
        <f t="shared" si="178"/>
        <v>479.58023546306947</v>
      </c>
      <c r="F26" s="2424">
        <f t="shared" si="178"/>
        <v>253.25788877571213</v>
      </c>
      <c r="G26" s="3389"/>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77"/>
        <v>277</v>
      </c>
      <c r="E27" s="2438">
        <v>459</v>
      </c>
      <c r="F27" s="2439">
        <v>249</v>
      </c>
      <c r="G27" s="3387">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8"/>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0"/>
        <v>322.34053690220776</v>
      </c>
      <c r="C29" s="2424">
        <f t="shared" si="180"/>
        <v>271.46160770422546</v>
      </c>
      <c r="D29" s="2424">
        <f t="shared" si="177"/>
        <v>271.46160770422546</v>
      </c>
      <c r="E29" s="2424">
        <f t="shared" si="181"/>
        <v>442.69434542172456</v>
      </c>
      <c r="F29" s="2424">
        <f t="shared" si="181"/>
        <v>241.34030753190925</v>
      </c>
      <c r="G29" s="3388"/>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0"/>
        <v>319.87748030386797</v>
      </c>
      <c r="C30" s="2424">
        <f t="shared" si="180"/>
        <v>269.60135833173649</v>
      </c>
      <c r="D30" s="2424">
        <f t="shared" si="177"/>
        <v>269.60135833173649</v>
      </c>
      <c r="E30" s="2424">
        <f t="shared" si="181"/>
        <v>439.18089823583784</v>
      </c>
      <c r="F30" s="2424">
        <f t="shared" si="181"/>
        <v>239.23503918706311</v>
      </c>
      <c r="G30" s="3389"/>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77"/>
        <v>268</v>
      </c>
      <c r="E31" s="2452">
        <v>437</v>
      </c>
      <c r="F31" s="2453">
        <v>237</v>
      </c>
      <c r="G31" s="3387">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8"/>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2"/>
        <v>314.72141172386546</v>
      </c>
      <c r="C33" s="2424">
        <f t="shared" si="182"/>
        <v>263.03901319069001</v>
      </c>
      <c r="D33" s="2424">
        <f t="shared" si="177"/>
        <v>263.03901319069001</v>
      </c>
      <c r="E33" s="2424">
        <f t="shared" si="183"/>
        <v>433.65745506782821</v>
      </c>
      <c r="F33" s="2424">
        <f t="shared" si="183"/>
        <v>233.23005080045735</v>
      </c>
      <c r="G33" s="3388"/>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144</v>
      </c>
      <c r="B34" s="2457">
        <f t="shared" si="182"/>
        <v>307.34512863658733</v>
      </c>
      <c r="C34" s="2457">
        <f t="shared" si="182"/>
        <v>257.80556031626975</v>
      </c>
      <c r="D34" s="2457">
        <f t="shared" si="177"/>
        <v>257.80556031626975</v>
      </c>
      <c r="E34" s="2457">
        <f t="shared" si="183"/>
        <v>422.70928459677179</v>
      </c>
      <c r="F34" s="2457">
        <f t="shared" si="183"/>
        <v>229.73803270336617</v>
      </c>
      <c r="G34" s="3389"/>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77"/>
        <v>252</v>
      </c>
      <c r="E35" s="2438">
        <v>409</v>
      </c>
      <c r="F35" s="2439">
        <v>227</v>
      </c>
      <c r="G35" s="3394">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1131</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95"/>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1132</v>
      </c>
      <c r="B37" s="2424">
        <f t="shared" si="186"/>
        <v>288.2649053828776</v>
      </c>
      <c r="C37" s="2424">
        <f t="shared" si="186"/>
        <v>243.64564425013293</v>
      </c>
      <c r="D37" s="2424">
        <f t="shared" si="177"/>
        <v>243.64564425013293</v>
      </c>
      <c r="E37" s="2424">
        <f t="shared" si="187"/>
        <v>393.31080825986544</v>
      </c>
      <c r="F37" s="2424">
        <f t="shared" si="187"/>
        <v>223.07903790551154</v>
      </c>
      <c r="G37" s="3395"/>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1133</v>
      </c>
      <c r="B38" s="2424">
        <f t="shared" si="186"/>
        <v>282.50186729015837</v>
      </c>
      <c r="C38" s="2424">
        <f t="shared" si="186"/>
        <v>238.09796174155468</v>
      </c>
      <c r="D38" s="2424">
        <f t="shared" si="177"/>
        <v>238.09796174155468</v>
      </c>
      <c r="E38" s="2424">
        <f t="shared" si="187"/>
        <v>385.33438646014054</v>
      </c>
      <c r="F38" s="2424">
        <f t="shared" si="187"/>
        <v>221.55034055567739</v>
      </c>
      <c r="G38" s="3396"/>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77"/>
        <v>234</v>
      </c>
      <c r="E39" s="2473">
        <v>379</v>
      </c>
      <c r="F39" s="2474">
        <v>220</v>
      </c>
      <c r="G39" s="3387">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77"/>
        <v>232.41954707985698</v>
      </c>
      <c r="E40" s="2424">
        <f t="shared" ref="E40:F42" si="188">E39/(1+P39)</f>
        <v>375.32184591008121</v>
      </c>
      <c r="F40" s="2424">
        <f t="shared" si="188"/>
        <v>218.03766105054513</v>
      </c>
      <c r="G40" s="3388"/>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1136</v>
      </c>
      <c r="B41" s="2424">
        <f>B40/(1+N40)</f>
        <v>275.24529281292263</v>
      </c>
      <c r="C41" s="2424">
        <f>C40/(1+O40)</f>
        <v>231.74747938962707</v>
      </c>
      <c r="D41" s="2424">
        <f t="shared" si="177"/>
        <v>231.74747938962707</v>
      </c>
      <c r="E41" s="2424">
        <f t="shared" si="188"/>
        <v>375.35938184826603</v>
      </c>
      <c r="F41" s="2424">
        <f t="shared" si="188"/>
        <v>216.78033510692495</v>
      </c>
      <c r="G41" s="3388"/>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1137</v>
      </c>
      <c r="B42" s="2424">
        <f>B41/(1+N41)</f>
        <v>275.19025476197027</v>
      </c>
      <c r="C42" s="2475">
        <v>232</v>
      </c>
      <c r="D42" s="2475">
        <f t="shared" si="177"/>
        <v>232</v>
      </c>
      <c r="E42" s="2424">
        <f t="shared" si="188"/>
        <v>375.65990977608692</v>
      </c>
      <c r="F42" s="2424">
        <f t="shared" si="188"/>
        <v>214.12518283971252</v>
      </c>
      <c r="G42" s="3389"/>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77"/>
        <v>232</v>
      </c>
      <c r="E43" s="2438">
        <v>376</v>
      </c>
      <c r="F43" s="2439">
        <v>213</v>
      </c>
      <c r="G43" s="3387">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1139</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8">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1140</v>
      </c>
      <c r="B45" s="2424">
        <f t="shared" si="189"/>
        <v>275.19335084830601</v>
      </c>
      <c r="C45" s="2424">
        <f t="shared" si="189"/>
        <v>230.18088050139744</v>
      </c>
      <c r="D45" s="2424">
        <f t="shared" si="177"/>
        <v>230.18088050139744</v>
      </c>
      <c r="E45" s="2424">
        <f t="shared" si="190"/>
        <v>377.58482925212331</v>
      </c>
      <c r="F45" s="2424">
        <f t="shared" si="190"/>
        <v>210.90687997847917</v>
      </c>
      <c r="G45" s="3388">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1141</v>
      </c>
      <c r="B46" s="2424">
        <f t="shared" si="189"/>
        <v>276.29854502841971</v>
      </c>
      <c r="C46" s="2424">
        <f t="shared" si="189"/>
        <v>229.79023709833027</v>
      </c>
      <c r="D46" s="2424">
        <f t="shared" si="177"/>
        <v>229.79023709833027</v>
      </c>
      <c r="E46" s="2424">
        <f t="shared" si="190"/>
        <v>379.78759731655936</v>
      </c>
      <c r="F46" s="2424">
        <f t="shared" si="190"/>
        <v>211.32953905659235</v>
      </c>
      <c r="G46" s="3389">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77"/>
        <v>221</v>
      </c>
      <c r="E47" s="2438">
        <v>373</v>
      </c>
      <c r="F47" s="2439">
        <v>196</v>
      </c>
      <c r="G47" s="3387">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1143</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8">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1144</v>
      </c>
      <c r="B49" s="2424">
        <f t="shared" si="191"/>
        <v>242.95398227588385</v>
      </c>
      <c r="C49" s="2424">
        <f t="shared" si="191"/>
        <v>199.59137053614126</v>
      </c>
      <c r="D49" s="2424">
        <f t="shared" si="177"/>
        <v>199.59137053614126</v>
      </c>
      <c r="E49" s="2424">
        <f t="shared" si="192"/>
        <v>335.92189522342125</v>
      </c>
      <c r="F49" s="2424">
        <f t="shared" si="192"/>
        <v>183.10139991109489</v>
      </c>
      <c r="G49" s="3388">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1145</v>
      </c>
      <c r="B50" s="2424">
        <f t="shared" si="191"/>
        <v>232.06990378821649</v>
      </c>
      <c r="C50" s="2424">
        <f t="shared" si="191"/>
        <v>192.74878854286936</v>
      </c>
      <c r="D50" s="2424">
        <f t="shared" si="177"/>
        <v>192.74878854286936</v>
      </c>
      <c r="E50" s="2424">
        <f t="shared" si="192"/>
        <v>319.71247284992984</v>
      </c>
      <c r="F50" s="2424">
        <f t="shared" si="192"/>
        <v>175.67053622862409</v>
      </c>
      <c r="G50" s="3389">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77"/>
        <v>187</v>
      </c>
      <c r="E51" s="2438">
        <v>301</v>
      </c>
      <c r="F51" s="2439">
        <v>168</v>
      </c>
      <c r="G51" s="3387">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1147</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8">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1148</v>
      </c>
      <c r="B53" s="2424">
        <f t="shared" si="193"/>
        <v>210.630522469011</v>
      </c>
      <c r="C53" s="2424">
        <f t="shared" si="193"/>
        <v>181.69567812247232</v>
      </c>
      <c r="D53" s="2424">
        <f t="shared" si="177"/>
        <v>181.69567812247232</v>
      </c>
      <c r="E53" s="2424">
        <f t="shared" si="194"/>
        <v>286.13517466736738</v>
      </c>
      <c r="F53" s="2424">
        <f t="shared" si="194"/>
        <v>165.47535084591149</v>
      </c>
      <c r="G53" s="3388">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1149</v>
      </c>
      <c r="B54" s="2424">
        <f t="shared" si="193"/>
        <v>208.83454537875372</v>
      </c>
      <c r="C54" s="2424">
        <f t="shared" si="193"/>
        <v>183.77230517090351</v>
      </c>
      <c r="D54" s="2424">
        <f t="shared" si="177"/>
        <v>183.77230517090351</v>
      </c>
      <c r="E54" s="2424">
        <f t="shared" si="194"/>
        <v>281.10342338870947</v>
      </c>
      <c r="F54" s="2424">
        <f t="shared" si="194"/>
        <v>168.97309388942256</v>
      </c>
      <c r="G54" s="3389">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77"/>
        <v>188</v>
      </c>
      <c r="E55" s="2473">
        <v>289</v>
      </c>
      <c r="F55" s="2474">
        <v>166</v>
      </c>
      <c r="G55" s="3387">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1151</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8">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1152</v>
      </c>
      <c r="B57" s="2424">
        <f t="shared" si="195"/>
        <v>206.31694671589116</v>
      </c>
      <c r="C57" s="2424">
        <f t="shared" si="195"/>
        <v>183.61041121036101</v>
      </c>
      <c r="D57" s="2424">
        <f t="shared" si="177"/>
        <v>183.61041121036101</v>
      </c>
      <c r="E57" s="2424">
        <f t="shared" si="196"/>
        <v>276.66850301795557</v>
      </c>
      <c r="F57" s="2424">
        <f t="shared" si="196"/>
        <v>165.1360938278614</v>
      </c>
      <c r="G57" s="3388">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1153</v>
      </c>
      <c r="B58" s="2476">
        <f t="shared" si="195"/>
        <v>196.62341248059772</v>
      </c>
      <c r="C58" s="2476">
        <f t="shared" si="195"/>
        <v>170.99125648199012</v>
      </c>
      <c r="D58" s="2476">
        <f t="shared" si="177"/>
        <v>170.99125648199012</v>
      </c>
      <c r="E58" s="2476">
        <f t="shared" si="196"/>
        <v>266.07857570490052</v>
      </c>
      <c r="F58" s="2476">
        <f t="shared" si="196"/>
        <v>154.53499328828505</v>
      </c>
      <c r="G58" s="3389">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77"/>
        <v>165</v>
      </c>
      <c r="E59" s="2438">
        <v>254</v>
      </c>
      <c r="F59" s="2439">
        <v>148</v>
      </c>
      <c r="G59" s="3387">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1155</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8">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1156</v>
      </c>
      <c r="B61" s="2424">
        <f t="shared" si="199"/>
        <v>168.82017748715555</v>
      </c>
      <c r="C61" s="2424">
        <f t="shared" si="199"/>
        <v>148.06267029972753</v>
      </c>
      <c r="D61" s="2424">
        <f t="shared" si="177"/>
        <v>148.06267029972753</v>
      </c>
      <c r="E61" s="2424">
        <f t="shared" si="200"/>
        <v>216.46288379323747</v>
      </c>
      <c r="F61" s="2424">
        <f t="shared" si="200"/>
        <v>134.23529411764704</v>
      </c>
      <c r="G61" s="3388">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1157</v>
      </c>
      <c r="B62" s="2424">
        <f t="shared" si="199"/>
        <v>163.84913591779542</v>
      </c>
      <c r="C62" s="2424">
        <f t="shared" si="199"/>
        <v>145.0283378746594</v>
      </c>
      <c r="D62" s="2424">
        <f t="shared" si="177"/>
        <v>145.0283378746594</v>
      </c>
      <c r="E62" s="2424">
        <f t="shared" si="200"/>
        <v>204.95180722891567</v>
      </c>
      <c r="F62" s="2424">
        <f t="shared" si="200"/>
        <v>125.95920303605313</v>
      </c>
      <c r="G62" s="3389">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77"/>
        <v>141</v>
      </c>
      <c r="E63" s="2452">
        <v>195</v>
      </c>
      <c r="F63" s="2453">
        <v>122</v>
      </c>
      <c r="G63" s="3387">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1159</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8">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1160</v>
      </c>
      <c r="B65" s="2424">
        <f t="shared" si="203"/>
        <v>146.57412060301507</v>
      </c>
      <c r="C65" s="2424">
        <f t="shared" si="203"/>
        <v>136.46831955922866</v>
      </c>
      <c r="D65" s="2424">
        <f t="shared" si="177"/>
        <v>136.46831955922866</v>
      </c>
      <c r="E65" s="2424">
        <f t="shared" si="204"/>
        <v>166.73864894795128</v>
      </c>
      <c r="F65" s="2424">
        <f t="shared" si="204"/>
        <v>115.05882352941177</v>
      </c>
      <c r="G65" s="3388">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1161</v>
      </c>
      <c r="B66" s="2424">
        <f t="shared" si="203"/>
        <v>144.04145728643215</v>
      </c>
      <c r="C66" s="2424">
        <f t="shared" si="203"/>
        <v>136.12396694214877</v>
      </c>
      <c r="D66" s="2424">
        <f t="shared" si="177"/>
        <v>136.12396694214877</v>
      </c>
      <c r="E66" s="2424">
        <f t="shared" si="204"/>
        <v>158.32225913621264</v>
      </c>
      <c r="F66" s="2424">
        <f t="shared" si="204"/>
        <v>114.04278074866311</v>
      </c>
      <c r="G66" s="3389">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77"/>
        <v>131</v>
      </c>
      <c r="E67" s="2452">
        <v>155</v>
      </c>
      <c r="F67" s="2453">
        <v>114</v>
      </c>
      <c r="G67" s="3387">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1163</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8">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1164</v>
      </c>
      <c r="B69" s="2424">
        <f t="shared" si="207"/>
        <v>124.29032258064517</v>
      </c>
      <c r="C69" s="2424">
        <f t="shared" si="207"/>
        <v>123.8968609865471</v>
      </c>
      <c r="D69" s="2424">
        <f t="shared" si="177"/>
        <v>123.8968609865471</v>
      </c>
      <c r="E69" s="2424">
        <f t="shared" si="208"/>
        <v>138.00507614213197</v>
      </c>
      <c r="F69" s="2424">
        <f t="shared" si="208"/>
        <v>107.96106557377048</v>
      </c>
      <c r="G69" s="3388">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1165</v>
      </c>
      <c r="B70" s="2424">
        <f t="shared" si="207"/>
        <v>122.57204301075269</v>
      </c>
      <c r="C70" s="2424">
        <f t="shared" si="207"/>
        <v>123.4932735426009</v>
      </c>
      <c r="D70" s="2424">
        <f t="shared" si="177"/>
        <v>123.4932735426009</v>
      </c>
      <c r="E70" s="2424">
        <f t="shared" si="208"/>
        <v>129.82233502538071</v>
      </c>
      <c r="F70" s="2424">
        <f t="shared" si="208"/>
        <v>107.39446721311475</v>
      </c>
      <c r="G70" s="3389">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77"/>
        <v>122</v>
      </c>
      <c r="E71" s="2473">
        <v>124</v>
      </c>
      <c r="F71" s="2474">
        <v>107</v>
      </c>
      <c r="G71" s="3387">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1167</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8">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1168</v>
      </c>
      <c r="B73" s="2424">
        <f t="shared" si="211"/>
        <v>116.99099099099099</v>
      </c>
      <c r="C73" s="2424">
        <f t="shared" si="211"/>
        <v>118.84848484848486</v>
      </c>
      <c r="D73" s="2424">
        <f t="shared" si="177"/>
        <v>118.84848484848486</v>
      </c>
      <c r="E73" s="2424">
        <f t="shared" si="212"/>
        <v>117.60960960960961</v>
      </c>
      <c r="F73" s="2424">
        <f t="shared" si="212"/>
        <v>104</v>
      </c>
      <c r="G73" s="3388">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1169</v>
      </c>
      <c r="B74" s="2476">
        <f t="shared" si="211"/>
        <v>112.48648648648648</v>
      </c>
      <c r="C74" s="2476">
        <f t="shared" si="211"/>
        <v>115.21212121212122</v>
      </c>
      <c r="D74" s="2476">
        <f t="shared" si="177"/>
        <v>115.21212121212122</v>
      </c>
      <c r="E74" s="2476">
        <f t="shared" si="212"/>
        <v>110.4024024024024</v>
      </c>
      <c r="F74" s="2476">
        <f t="shared" si="212"/>
        <v>104</v>
      </c>
      <c r="G74" s="3389">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77"/>
        <v>114</v>
      </c>
      <c r="E75" s="2493">
        <v>108</v>
      </c>
      <c r="F75" s="2494">
        <v>104</v>
      </c>
      <c r="G75" s="3387">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3">B77+(B$75-B$79)/4</f>
        <v>109.75</v>
      </c>
      <c r="C76" s="2497">
        <f t="shared" si="213"/>
        <v>112.25</v>
      </c>
      <c r="D76" s="2497">
        <f t="shared" si="177"/>
        <v>112.25</v>
      </c>
      <c r="E76" s="2497">
        <f t="shared" ref="E76:F78" si="214">E77+(E$75-E$79)/4</f>
        <v>107.25</v>
      </c>
      <c r="F76" s="2497">
        <f t="shared" si="214"/>
        <v>103.5</v>
      </c>
      <c r="G76" s="3388">
        <v>2003</v>
      </c>
      <c r="H76" s="2449">
        <v>3</v>
      </c>
      <c r="I76" s="2495"/>
      <c r="J76" s="2495"/>
      <c r="K76" s="2495"/>
      <c r="L76" s="2495"/>
      <c r="X76" s="2487"/>
      <c r="Y76" s="2487"/>
      <c r="Z76" s="2487"/>
    </row>
    <row r="77" spans="1:26">
      <c r="A77" s="2423" t="s">
        <v>1172</v>
      </c>
      <c r="B77" s="2497">
        <f t="shared" si="213"/>
        <v>108.5</v>
      </c>
      <c r="C77" s="2497">
        <f t="shared" si="213"/>
        <v>110.5</v>
      </c>
      <c r="D77" s="2497">
        <f t="shared" si="177"/>
        <v>110.5</v>
      </c>
      <c r="E77" s="2497">
        <f t="shared" si="214"/>
        <v>106.5</v>
      </c>
      <c r="F77" s="2497">
        <f t="shared" si="214"/>
        <v>103</v>
      </c>
      <c r="G77" s="3388">
        <v>2003</v>
      </c>
      <c r="H77" s="2436">
        <v>2</v>
      </c>
      <c r="I77" s="2495"/>
      <c r="J77" s="2495"/>
      <c r="K77" s="2495"/>
      <c r="L77" s="2495"/>
      <c r="X77" s="2487"/>
      <c r="Y77" s="2487"/>
      <c r="Z77" s="2487"/>
    </row>
    <row r="78" spans="1:26" ht="13.5" thickBot="1">
      <c r="A78" s="2423" t="s">
        <v>1173</v>
      </c>
      <c r="B78" s="2497">
        <f t="shared" si="213"/>
        <v>107.25</v>
      </c>
      <c r="C78" s="2497">
        <f t="shared" si="213"/>
        <v>108.75</v>
      </c>
      <c r="D78" s="2497">
        <f t="shared" si="177"/>
        <v>108.75</v>
      </c>
      <c r="E78" s="2497">
        <f t="shared" si="214"/>
        <v>105.75</v>
      </c>
      <c r="F78" s="2497">
        <f t="shared" si="214"/>
        <v>102.5</v>
      </c>
      <c r="G78" s="3389">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77"/>
        <v>107</v>
      </c>
      <c r="E79" s="2499">
        <v>105</v>
      </c>
      <c r="F79" s="2500">
        <v>102</v>
      </c>
      <c r="G79" s="3387">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5">B81+(B$79-B$83)/4</f>
        <v>105</v>
      </c>
      <c r="C80" s="2497">
        <f t="shared" si="215"/>
        <v>106</v>
      </c>
      <c r="D80" s="2497">
        <f t="shared" si="177"/>
        <v>106</v>
      </c>
      <c r="E80" s="2497">
        <f t="shared" ref="E80:F82" si="216">E81+(E$79-E$83)/4</f>
        <v>104.5</v>
      </c>
      <c r="F80" s="2497">
        <f t="shared" si="216"/>
        <v>101.5</v>
      </c>
      <c r="G80" s="3388">
        <v>2002</v>
      </c>
      <c r="H80" s="2449">
        <v>3</v>
      </c>
      <c r="I80" s="2495"/>
      <c r="J80" s="2495"/>
      <c r="K80" s="2495"/>
      <c r="L80" s="2495"/>
      <c r="X80" s="2487"/>
      <c r="Y80" s="2487"/>
      <c r="Z80" s="2487"/>
    </row>
    <row r="81" spans="1:26">
      <c r="A81" s="2423" t="s">
        <v>1176</v>
      </c>
      <c r="B81" s="2497">
        <f t="shared" si="215"/>
        <v>104</v>
      </c>
      <c r="C81" s="2497">
        <f t="shared" si="215"/>
        <v>105</v>
      </c>
      <c r="D81" s="2497">
        <f t="shared" si="177"/>
        <v>105</v>
      </c>
      <c r="E81" s="2497">
        <f t="shared" si="216"/>
        <v>104</v>
      </c>
      <c r="F81" s="2497">
        <f t="shared" si="216"/>
        <v>101</v>
      </c>
      <c r="G81" s="3388">
        <v>2002</v>
      </c>
      <c r="H81" s="2436">
        <v>2</v>
      </c>
      <c r="I81" s="2495"/>
      <c r="J81" s="2495"/>
      <c r="K81" s="2495"/>
      <c r="L81" s="2495"/>
      <c r="X81" s="2487"/>
      <c r="Y81" s="2487"/>
      <c r="Z81" s="2487"/>
    </row>
    <row r="82" spans="1:26" s="2460" customFormat="1" ht="13.5" thickBot="1">
      <c r="A82" s="2456" t="s">
        <v>1177</v>
      </c>
      <c r="B82" s="2463">
        <f t="shared" si="215"/>
        <v>103</v>
      </c>
      <c r="C82" s="2463">
        <f t="shared" si="215"/>
        <v>104</v>
      </c>
      <c r="D82" s="2463">
        <f t="shared" si="177"/>
        <v>104</v>
      </c>
      <c r="E82" s="2463">
        <f t="shared" si="216"/>
        <v>103.5</v>
      </c>
      <c r="F82" s="2463">
        <f t="shared" si="216"/>
        <v>100.5</v>
      </c>
      <c r="G82" s="3389">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4"/>
      <selection pane="bottomLeft" activeCell="F7" sqref="C7:Q3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01" t="s">
        <v>2826</v>
      </c>
      <c r="D1" s="3402"/>
      <c r="E1" s="3402"/>
      <c r="F1" s="3402"/>
      <c r="G1" s="3402"/>
      <c r="H1" s="3402"/>
      <c r="I1" s="3402"/>
      <c r="J1" s="3402"/>
      <c r="K1" s="3402"/>
      <c r="L1" s="3402"/>
      <c r="M1" s="3402"/>
      <c r="N1" s="3402"/>
      <c r="O1" s="3402"/>
      <c r="P1" s="3402"/>
      <c r="Q1" s="3402"/>
      <c r="R1" s="3402"/>
      <c r="S1" s="3403"/>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98" t="s">
        <v>33</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36699</v>
      </c>
      <c r="C2" s="2" t="s">
        <v>133</v>
      </c>
      <c r="D2" s="205"/>
      <c r="E2" s="205"/>
      <c r="F2" s="205"/>
      <c r="G2" s="205"/>
    </row>
    <row r="3" spans="1:7" s="206" customFormat="1" ht="18" customHeight="1" thickBot="1">
      <c r="A3" s="209" t="s">
        <v>85</v>
      </c>
      <c r="B3" s="210">
        <f ca="1">ROUND(B2*10000/'数据-汇总表'!E3,0)</f>
        <v>26938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113</v>
      </c>
      <c r="D9" s="954">
        <f>'数据-汇总表'!E5</f>
        <v>13623.56239999999</v>
      </c>
      <c r="E9" s="231">
        <f>'数据-取费表'!B27</f>
        <v>83</v>
      </c>
      <c r="F9" s="227"/>
      <c r="G9" s="232"/>
    </row>
    <row r="10" spans="1:7" s="220" customFormat="1" ht="13.5" customHeight="1">
      <c r="A10" s="887" t="s">
        <v>801</v>
      </c>
      <c r="B10" s="230" t="s">
        <v>94</v>
      </c>
      <c r="C10" s="231">
        <f>ROUND(D10*E10/10000,0)</f>
        <v>0</v>
      </c>
      <c r="D10" s="954">
        <f>'数据-汇总表'!E6</f>
        <v>0</v>
      </c>
      <c r="E10" s="231">
        <f>'数据-取费表'!B28</f>
        <v>83</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272</v>
      </c>
      <c r="D19" s="958">
        <f>'数据-汇总表'!E3</f>
        <v>13623.56239999999</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1655</v>
      </c>
      <c r="D22" s="241">
        <f ca="1">C26</f>
        <v>1E-3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21</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3195</v>
      </c>
      <c r="D27" s="241">
        <f>C29</f>
        <v>3.8E-3</v>
      </c>
      <c r="E27" s="242" t="s">
        <v>126</v>
      </c>
      <c r="F27" s="252">
        <f>'数据-取费表'!Q16</f>
        <v>0.15</v>
      </c>
      <c r="G27" s="253" t="s">
        <v>1037</v>
      </c>
    </row>
    <row r="28" spans="1:7" s="220" customFormat="1" ht="13.5" customHeight="1">
      <c r="A28" s="888" t="s">
        <v>794</v>
      </c>
      <c r="B28" s="254" t="s">
        <v>1030</v>
      </c>
      <c r="C28" s="255">
        <f>ROUND((C5+C19+C20)*F27*'数据-取费表'!B21/'数据-取费表'!B20,0)</f>
        <v>3195</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28521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7731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6812</v>
      </c>
      <c r="D34" s="223"/>
      <c r="E34" s="226"/>
      <c r="F34" s="263">
        <f>IF('数据-取费表'!B24=0,1,'数据-取费表'!N16)</f>
        <v>1</v>
      </c>
      <c r="G34" s="225" t="s">
        <v>116</v>
      </c>
    </row>
    <row r="35" spans="1:7" ht="13.5" customHeight="1">
      <c r="A35" s="888" t="s">
        <v>796</v>
      </c>
      <c r="B35" s="221" t="s">
        <v>60</v>
      </c>
      <c r="C35" s="226">
        <f>ROUND(C34*F35,0)</f>
        <v>204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341</v>
      </c>
      <c r="D36" s="226"/>
      <c r="E36" s="226"/>
      <c r="F36" s="265">
        <f>'数据-取费表'!B34</f>
        <v>0.05</v>
      </c>
      <c r="G36" s="266" t="s">
        <v>62</v>
      </c>
    </row>
    <row r="37" spans="1:7" s="264" customFormat="1" ht="13.5" customHeight="1">
      <c r="A37" s="888" t="s">
        <v>798</v>
      </c>
      <c r="B37" s="221" t="s">
        <v>118</v>
      </c>
      <c r="C37" s="255">
        <f>ROUND(E37*D37*F34/10000,0)</f>
        <v>272</v>
      </c>
      <c r="D37" s="223">
        <f>'数据-汇总表'!E3</f>
        <v>13623.56239999999</v>
      </c>
      <c r="E37" s="255">
        <f>'数据-取费表'!B35</f>
        <v>200</v>
      </c>
      <c r="F37" s="265"/>
      <c r="G37" s="267" t="s">
        <v>119</v>
      </c>
    </row>
    <row r="38" spans="1:7" ht="13.5" customHeight="1">
      <c r="A38" s="888" t="s">
        <v>799</v>
      </c>
      <c r="B38" s="221" t="s">
        <v>63</v>
      </c>
      <c r="C38" s="226">
        <f>ROUND(C34*F38,0)</f>
        <v>102</v>
      </c>
      <c r="D38" s="226"/>
      <c r="E38" s="226"/>
      <c r="F38" s="265">
        <f>'数据-取费表'!B36</f>
        <v>1.4999999999999999E-2</v>
      </c>
      <c r="G38" s="225" t="s">
        <v>117</v>
      </c>
    </row>
    <row r="39" spans="1:7" s="220" customFormat="1" ht="13.5" customHeight="1">
      <c r="A39" s="885" t="s">
        <v>783</v>
      </c>
      <c r="B39" s="216" t="s">
        <v>104</v>
      </c>
      <c r="C39" s="238">
        <f>ROUND(C33*F20,0)</f>
        <v>155</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304</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298</v>
      </c>
      <c r="D42" s="244"/>
      <c r="E42" s="244"/>
      <c r="F42" s="245"/>
      <c r="G42" s="3304" t="s">
        <v>121</v>
      </c>
    </row>
    <row r="43" spans="1:7" ht="13.5" customHeight="1">
      <c r="A43" s="888" t="s">
        <v>792</v>
      </c>
      <c r="B43" s="221" t="s">
        <v>1032</v>
      </c>
      <c r="C43" s="244">
        <f ca="1">ROUND(IF('数据-取费表'!B22&lt;=1,C39*F22*'数据-取费表'!B21/2,C39*(POWER((1+F22),'数据-取费表'!B21/2)-1)),0)</f>
        <v>6</v>
      </c>
      <c r="D43" s="244"/>
      <c r="E43" s="244"/>
      <c r="F43" s="245"/>
      <c r="G43" s="3305"/>
    </row>
    <row r="44" spans="1:7" ht="13.5" customHeight="1">
      <c r="A44" s="888" t="s">
        <v>793</v>
      </c>
      <c r="B44" s="221" t="s">
        <v>1034</v>
      </c>
      <c r="C44" s="244">
        <f ca="1">ROUND(IF('数据-取费表'!B22&lt;=1,C40*F22*'数据-取费表'!B21/2,C40*(POWER((1+F22),'数据-取费表'!B21/2)-1)),4)</f>
        <v>1E-3</v>
      </c>
      <c r="D44" s="244"/>
      <c r="E44" s="244"/>
      <c r="F44" s="245"/>
      <c r="G44" s="3306"/>
    </row>
    <row r="45" spans="1:7" s="220" customFormat="1" ht="13.5" customHeight="1">
      <c r="A45" s="885" t="s">
        <v>786</v>
      </c>
      <c r="B45" s="250" t="s">
        <v>112</v>
      </c>
      <c r="C45" s="251">
        <f>C46</f>
        <v>1183</v>
      </c>
      <c r="D45" s="241">
        <f>C47</f>
        <v>3.8E-3</v>
      </c>
      <c r="E45" s="242" t="s">
        <v>129</v>
      </c>
      <c r="F45" s="252"/>
      <c r="G45" s="253" t="s">
        <v>1040</v>
      </c>
    </row>
    <row r="46" spans="1:7" s="220" customFormat="1" ht="13.5" customHeight="1">
      <c r="A46" s="888" t="s">
        <v>794</v>
      </c>
      <c r="B46" s="254" t="s">
        <v>1033</v>
      </c>
      <c r="C46" s="255">
        <f>ROUND((C33+C39)*F27,0)</f>
        <v>1183</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10223</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8178</v>
      </c>
      <c r="D51" s="238"/>
      <c r="E51" s="238"/>
      <c r="F51" s="270"/>
      <c r="G51" s="240" t="s">
        <v>64</v>
      </c>
    </row>
    <row r="52" spans="1:7" s="214" customFormat="1" ht="16.5" thickBot="1">
      <c r="A52" s="271" t="s">
        <v>65</v>
      </c>
      <c r="B52" s="272"/>
      <c r="C52" s="273">
        <f ca="1">C31+C51</f>
        <v>36699</v>
      </c>
      <c r="D52" s="272"/>
      <c r="E52" s="272"/>
      <c r="F52" s="272"/>
      <c r="G52" s="274"/>
    </row>
    <row r="55" spans="1:7" ht="15">
      <c r="B55" s="276" t="s">
        <v>66</v>
      </c>
      <c r="C55" s="277"/>
    </row>
    <row r="56" spans="1:7">
      <c r="B56" s="279" t="s">
        <v>67</v>
      </c>
      <c r="C56" s="280">
        <f ca="1">ROUND(C51/C52,3)</f>
        <v>0.223</v>
      </c>
    </row>
    <row r="57" spans="1:7">
      <c r="B57" s="279" t="s">
        <v>68</v>
      </c>
      <c r="C57" s="281">
        <f ca="1">1-C56</f>
        <v>0.77700000000000002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4" t="s">
        <v>156</v>
      </c>
      <c r="B1" s="3404"/>
      <c r="C1" s="3404"/>
      <c r="D1" s="3404"/>
      <c r="E1" s="3404"/>
      <c r="F1" s="34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5" t="s">
        <v>169</v>
      </c>
      <c r="B2" s="3405"/>
      <c r="C2" s="3405"/>
      <c r="D2" s="3405"/>
      <c r="E2" s="3405"/>
      <c r="F2" s="34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4" t="s">
        <v>839</v>
      </c>
      <c r="B1" s="34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44307</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3052</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3" t="s">
        <v>1603</v>
      </c>
      <c r="E3" s="963" t="s">
        <v>1609</v>
      </c>
      <c r="F3" s="963" t="s">
        <v>1603</v>
      </c>
      <c r="G3" s="963" t="s">
        <v>1604</v>
      </c>
      <c r="H3" s="963" t="s">
        <v>1603</v>
      </c>
      <c r="I3" s="963" t="s">
        <v>1604</v>
      </c>
    </row>
    <row r="4" spans="1:9" ht="15">
      <c r="A4" s="1690" t="str">
        <f>项目基本情况!S2</f>
        <v>房地产</v>
      </c>
      <c r="B4" s="963">
        <f>项目基本情况!C17</f>
        <v>13623.56239999999</v>
      </c>
      <c r="C4" s="963">
        <f>项目基本情况!C18</f>
        <v>0</v>
      </c>
      <c r="D4" s="963">
        <f ca="1">结果表!D118</f>
        <v>77423</v>
      </c>
      <c r="E4" s="963">
        <f ca="1">结果表!E118</f>
        <v>56830</v>
      </c>
      <c r="F4" s="963">
        <f ca="1">结果表!F118</f>
        <v>52918</v>
      </c>
      <c r="G4" s="963">
        <f ca="1">结果表!G118</f>
        <v>38843</v>
      </c>
      <c r="H4" s="963">
        <f ca="1">结果表!H118</f>
        <v>130341</v>
      </c>
      <c r="I4" s="963">
        <f ca="1">结果表!I118</f>
        <v>95673</v>
      </c>
    </row>
    <row r="5" spans="1:9" ht="30" customHeight="1">
      <c r="A5" s="3080" t="s">
        <v>1605</v>
      </c>
      <c r="B5" s="3080"/>
      <c r="C5" s="3080"/>
      <c r="D5" s="3081" t="str">
        <f ca="1">结果表!D119</f>
        <v>柒亿柒仟肆佰贰拾叁万元整</v>
      </c>
      <c r="E5" s="3081"/>
      <c r="F5" s="3081" t="str">
        <f ca="1">结果表!F119</f>
        <v>伍亿贰仟玖佰壹拾捌万元整</v>
      </c>
      <c r="G5" s="3081"/>
      <c r="H5" s="3081" t="str">
        <f ca="1">结果表!H119</f>
        <v>壹拾叁亿零叁佰肆拾壹万元整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75">
      <c r="A8" s="3079" t="str">
        <f>结果表!A122</f>
        <v>房地产抵押价值</v>
      </c>
      <c r="B8" s="3079"/>
      <c r="C8" s="3079"/>
      <c r="D8" s="3079">
        <f ca="1">结果表!D122</f>
        <v>130341</v>
      </c>
      <c r="E8" s="3079"/>
      <c r="F8" s="3079"/>
      <c r="G8" s="3079"/>
      <c r="H8" s="3079"/>
      <c r="I8" s="3079"/>
    </row>
    <row r="9" spans="1:9" ht="15">
      <c r="A9" s="3080" t="s">
        <v>1605</v>
      </c>
      <c r="B9" s="3080"/>
      <c r="C9" s="3080"/>
      <c r="D9" s="3081" t="str">
        <f ca="1">结果表!D123</f>
        <v>壹拾叁亿零叁佰肆拾壹万元整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75">
      <c r="A12" s="3079" t="str">
        <f>结果表!A126</f>
        <v>抵押净值</v>
      </c>
      <c r="B12" s="3079"/>
      <c r="C12" s="3079"/>
      <c r="D12" s="3079">
        <f ca="1">结果表!D126</f>
        <v>93048</v>
      </c>
      <c r="E12" s="3079"/>
      <c r="F12" s="3079"/>
      <c r="G12" s="3079"/>
      <c r="H12" s="3079"/>
      <c r="I12" s="3079"/>
    </row>
    <row r="13" spans="1:9" ht="15.75" thickBot="1">
      <c r="A13" s="3076" t="s">
        <v>1605</v>
      </c>
      <c r="B13" s="3076"/>
      <c r="C13" s="3076"/>
      <c r="D13" s="3077" t="str">
        <f ca="1">结果表!D127</f>
        <v>玖亿叁仟零肆拾捌万元整</v>
      </c>
      <c r="E13" s="3077"/>
      <c r="F13" s="3077"/>
      <c r="G13" s="3077"/>
      <c r="H13" s="3077"/>
      <c r="I13" s="3077"/>
    </row>
    <row r="14" spans="1:9" ht="15" thickTop="1">
      <c r="A14" s="3078" t="s">
        <v>1610</v>
      </c>
      <c r="B14" s="3078"/>
      <c r="C14" s="3078"/>
      <c r="D14" s="3078"/>
      <c r="E14" s="3078"/>
      <c r="F14" s="3078"/>
      <c r="G14" s="3078"/>
      <c r="H14" s="3078"/>
      <c r="I14" s="307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3" t="s">
        <v>1627</v>
      </c>
      <c r="B1" s="3093"/>
      <c r="C1" s="3093"/>
      <c r="D1" s="3093"/>
    </row>
    <row r="2" spans="1:4" ht="18">
      <c r="A2" s="3094" t="s">
        <v>1611</v>
      </c>
      <c r="B2" s="3094"/>
      <c r="C2" s="3094"/>
      <c r="D2" s="3094"/>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4" t="s">
        <v>1617</v>
      </c>
      <c r="B6" s="3094"/>
      <c r="C6" s="3094"/>
      <c r="D6" s="309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5"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1" t="s">
        <v>1634</v>
      </c>
      <c r="B15" s="3096" t="s">
        <v>136</v>
      </c>
      <c r="C15" s="3097"/>
    </row>
    <row r="16" spans="1:7" ht="13.5">
      <c r="A16" s="3102"/>
      <c r="B16" s="3096" t="s">
        <v>69</v>
      </c>
      <c r="C16" s="3097"/>
    </row>
    <row r="17" spans="1:3" ht="13.5">
      <c r="A17" s="3102"/>
      <c r="B17" s="3099" t="s">
        <v>1635</v>
      </c>
      <c r="C17" s="1717" t="s">
        <v>1634</v>
      </c>
    </row>
    <row r="18" spans="1:3" ht="13.5">
      <c r="A18" s="3102"/>
      <c r="B18" s="3099"/>
      <c r="C18" s="1717" t="s">
        <v>1636</v>
      </c>
    </row>
    <row r="19" spans="1:3" ht="13.5">
      <c r="A19" s="3102"/>
      <c r="B19" s="3099"/>
      <c r="C19" s="1717" t="s">
        <v>1637</v>
      </c>
    </row>
    <row r="20" spans="1:3" ht="13.5">
      <c r="A20" s="3103"/>
      <c r="B20" s="3098" t="s">
        <v>1638</v>
      </c>
      <c r="C20" s="3097"/>
    </row>
    <row r="21" spans="1:3" ht="13.5">
      <c r="A21" s="1718" t="s">
        <v>1639</v>
      </c>
      <c r="B21" s="1719"/>
      <c r="C21" s="1720"/>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7" t="s">
        <v>1645</v>
      </c>
    </row>
    <row r="26" spans="1:3" ht="13.5">
      <c r="A26" s="3100"/>
      <c r="B26" s="3099"/>
      <c r="C26" s="1717" t="s">
        <v>1646</v>
      </c>
    </row>
    <row r="27" spans="1:3" ht="13.5">
      <c r="A27" s="3100"/>
      <c r="B27" s="3099"/>
      <c r="C27" s="1717" t="s">
        <v>1647</v>
      </c>
    </row>
    <row r="28" spans="1:3" ht="13.5">
      <c r="A28" s="3100"/>
      <c r="B28" s="3099"/>
      <c r="C28" s="1717" t="s">
        <v>1648</v>
      </c>
    </row>
    <row r="29" spans="1:3" ht="13.5">
      <c r="A29" s="3100"/>
      <c r="B29" s="3099"/>
      <c r="C29" s="1717" t="s">
        <v>1649</v>
      </c>
    </row>
    <row r="30" spans="1:3" ht="13.5">
      <c r="A30" s="3100"/>
      <c r="B30" s="3099"/>
      <c r="C30" s="1717" t="s">
        <v>1650</v>
      </c>
    </row>
    <row r="31" spans="1:3" ht="13.5">
      <c r="A31" s="3100"/>
      <c r="B31" s="3099"/>
      <c r="C31" s="1717" t="s">
        <v>1651</v>
      </c>
    </row>
    <row r="32" spans="1:3" ht="13.5">
      <c r="A32" s="3100"/>
      <c r="B32" s="3099"/>
      <c r="C32" s="1717" t="s">
        <v>1652</v>
      </c>
    </row>
    <row r="33" spans="1:3" ht="13.5">
      <c r="A33" s="3100"/>
      <c r="B33" s="309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44323</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f ca="1">IF(C13&lt;B2,"已过期",1120020033)</f>
        <v>1120020033</v>
      </c>
      <c r="C13" s="2568">
        <v>44339</v>
      </c>
      <c r="D13" s="2569" t="str">
        <f t="shared" ca="1" si="0"/>
        <v>刘敬东（注册号：1120020033）</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4" t="s">
        <v>2903</v>
      </c>
      <c r="B17" s="3104"/>
      <c r="C17" s="3104"/>
      <c r="D17" s="3104"/>
      <c r="E17" s="3104"/>
      <c r="F17" s="3104"/>
      <c r="G17" s="3104"/>
      <c r="H17" s="3104"/>
    </row>
    <row r="18" spans="1:8" ht="24" customHeight="1">
      <c r="A18" s="3105" t="s">
        <v>2904</v>
      </c>
      <c r="B18" s="3105"/>
      <c r="C18" s="3105"/>
      <c r="D18" s="2566"/>
      <c r="E18" s="3106" t="s">
        <v>2905</v>
      </c>
      <c r="F18" s="3105"/>
      <c r="G18" s="3105"/>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 (元)</vt:lpstr>
      <vt:lpstr>收益法（汇总）</vt:lpstr>
      <vt:lpstr>酒店收入计算</vt:lpstr>
      <vt:lpstr>收益法</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2021-05-07T08:15:13Z</dcterms:modified>
</cp:coreProperties>
</file>