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清单" sheetId="77" r:id="rId45"/>
  </sheet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2" i="34" l="1"/>
  <c r="F19" i="6" l="1"/>
  <c r="F20" i="6"/>
  <c r="AY3" i="3"/>
  <c r="AP543" i="3"/>
  <c r="AR543" i="3"/>
  <c r="I543" i="3"/>
  <c r="Q525" i="31" l="1"/>
  <c r="Q526" i="31"/>
  <c r="Q527" i="31"/>
  <c r="Q528" i="31"/>
  <c r="Q529" i="31"/>
  <c r="Q530" i="31"/>
  <c r="Q531" i="31"/>
  <c r="Q532" i="31"/>
  <c r="Q533" i="31"/>
  <c r="Q534" i="31"/>
  <c r="Q535" i="31"/>
  <c r="Q536" i="31"/>
  <c r="Q537" i="31"/>
  <c r="Q538" i="31"/>
  <c r="Q539" i="31"/>
  <c r="Q540" i="31"/>
  <c r="Q541" i="31"/>
  <c r="Q542" i="31"/>
  <c r="Q543" i="31"/>
  <c r="Q544" i="31"/>
  <c r="Q545" i="31"/>
  <c r="Q546" i="31"/>
  <c r="Q547" i="31"/>
  <c r="Q548" i="31"/>
  <c r="Q549" i="31"/>
  <c r="Q550" i="31"/>
  <c r="Q551" i="31"/>
  <c r="Q552" i="31"/>
  <c r="Q553" i="31"/>
  <c r="O553" i="31"/>
  <c r="O525" i="31"/>
  <c r="O526" i="31"/>
  <c r="O527" i="31"/>
  <c r="O528" i="31"/>
  <c r="O529" i="31"/>
  <c r="O530" i="31"/>
  <c r="O531" i="31"/>
  <c r="O532" i="31"/>
  <c r="O533" i="31"/>
  <c r="O534" i="31"/>
  <c r="O535" i="31"/>
  <c r="O536" i="31"/>
  <c r="O537" i="31"/>
  <c r="O538" i="31"/>
  <c r="O539" i="31"/>
  <c r="O540" i="31"/>
  <c r="O541" i="31"/>
  <c r="O542" i="31"/>
  <c r="O543" i="31"/>
  <c r="O544" i="31"/>
  <c r="O545" i="31"/>
  <c r="O546" i="31"/>
  <c r="O547" i="31"/>
  <c r="O548" i="31"/>
  <c r="O549" i="31"/>
  <c r="O550" i="31"/>
  <c r="O551" i="31"/>
  <c r="O552" i="31"/>
  <c r="M525" i="31"/>
  <c r="M526" i="31"/>
  <c r="M527" i="31"/>
  <c r="M528" i="31"/>
  <c r="M529" i="31"/>
  <c r="M530" i="31"/>
  <c r="M531" i="31"/>
  <c r="M532" i="31"/>
  <c r="M533" i="31"/>
  <c r="M534" i="31"/>
  <c r="M535" i="31"/>
  <c r="M536" i="31"/>
  <c r="M537" i="31"/>
  <c r="M538" i="31"/>
  <c r="M539" i="31"/>
  <c r="M540" i="31"/>
  <c r="M541" i="31"/>
  <c r="M542" i="31"/>
  <c r="M543" i="31"/>
  <c r="M544" i="31"/>
  <c r="M545" i="31"/>
  <c r="M546" i="31"/>
  <c r="M547" i="31"/>
  <c r="M548" i="31"/>
  <c r="M549" i="31"/>
  <c r="M550" i="31"/>
  <c r="M551" i="31"/>
  <c r="M552" i="31"/>
  <c r="M553" i="31"/>
  <c r="K525" i="31"/>
  <c r="K526" i="31"/>
  <c r="K527" i="31"/>
  <c r="K528" i="31"/>
  <c r="K529" i="31"/>
  <c r="K530" i="31"/>
  <c r="K531" i="31"/>
  <c r="K532" i="31"/>
  <c r="K533" i="31"/>
  <c r="K534" i="31"/>
  <c r="K535" i="31"/>
  <c r="K536" i="31"/>
  <c r="K537" i="31"/>
  <c r="K538" i="31"/>
  <c r="K539" i="31"/>
  <c r="K540" i="31"/>
  <c r="K541" i="31"/>
  <c r="K542" i="31"/>
  <c r="K543" i="31"/>
  <c r="K544" i="31"/>
  <c r="K545" i="31"/>
  <c r="K546" i="31"/>
  <c r="K547" i="31"/>
  <c r="K548" i="31"/>
  <c r="K549" i="31"/>
  <c r="K550" i="31"/>
  <c r="K551" i="31"/>
  <c r="K552" i="31"/>
  <c r="K553" i="31"/>
  <c r="I525" i="31"/>
  <c r="I526" i="31"/>
  <c r="I527" i="31"/>
  <c r="I528" i="31"/>
  <c r="I529" i="31"/>
  <c r="I530" i="31"/>
  <c r="I531" i="31"/>
  <c r="I532" i="31"/>
  <c r="I533" i="31"/>
  <c r="I534" i="31"/>
  <c r="I535" i="31"/>
  <c r="I536" i="31"/>
  <c r="I537" i="31"/>
  <c r="I538" i="31"/>
  <c r="I539" i="31"/>
  <c r="I540" i="31"/>
  <c r="I541" i="31"/>
  <c r="I542" i="31"/>
  <c r="I543" i="31"/>
  <c r="I544" i="31"/>
  <c r="I545" i="31"/>
  <c r="I546" i="31"/>
  <c r="I547" i="31"/>
  <c r="I548" i="31"/>
  <c r="I549" i="31"/>
  <c r="I550" i="31"/>
  <c r="I551" i="31"/>
  <c r="I552" i="31"/>
  <c r="I553"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E525" i="31"/>
  <c r="E526" i="31"/>
  <c r="E527" i="31"/>
  <c r="E528"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AZ3" i="3" l="1"/>
  <c r="I48" i="34"/>
  <c r="C526" i="31"/>
  <c r="C527" i="31"/>
  <c r="C528" i="31"/>
  <c r="C529" i="31"/>
  <c r="C530" i="31"/>
  <c r="C531" i="31"/>
  <c r="C532" i="31"/>
  <c r="C533" i="31"/>
  <c r="C534" i="31"/>
  <c r="C535" i="31"/>
  <c r="C536" i="31"/>
  <c r="C537" i="31"/>
  <c r="C538" i="31"/>
  <c r="C539" i="31"/>
  <c r="C540" i="31"/>
  <c r="C541" i="31"/>
  <c r="C542" i="31"/>
  <c r="C543" i="31"/>
  <c r="C544" i="31"/>
  <c r="C545" i="31"/>
  <c r="C546" i="31"/>
  <c r="C547" i="31"/>
  <c r="C548" i="31"/>
  <c r="C549" i="31"/>
  <c r="C550" i="31"/>
  <c r="C551" i="31"/>
  <c r="C552" i="31"/>
  <c r="C553" i="31"/>
  <c r="C5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A534" i="31"/>
  <c r="A535" i="31"/>
  <c r="A536" i="31"/>
  <c r="A537" i="31"/>
  <c r="A538" i="31"/>
  <c r="A539" i="31"/>
  <c r="A540" i="31"/>
  <c r="A541" i="31"/>
  <c r="A542" i="31"/>
  <c r="A543" i="31"/>
  <c r="A544" i="31"/>
  <c r="A545" i="31"/>
  <c r="A546" i="31"/>
  <c r="A547" i="31"/>
  <c r="A548" i="31"/>
  <c r="A549" i="31"/>
  <c r="A550" i="31"/>
  <c r="A551" i="31"/>
  <c r="A552" i="31"/>
  <c r="A553" i="31"/>
  <c r="A525" i="31"/>
  <c r="A526" i="31"/>
  <c r="A527" i="31"/>
  <c r="A528" i="31"/>
  <c r="A529" i="31"/>
  <c r="A530" i="31"/>
  <c r="A531" i="31"/>
  <c r="A532" i="31"/>
  <c r="A533"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B25" i="31"/>
  <c r="A25" i="31"/>
  <c r="B24" i="31"/>
  <c r="A24" i="31"/>
  <c r="N7" i="1"/>
  <c r="Y7" i="1" s="1"/>
  <c r="N6" i="1"/>
  <c r="Y6" i="1"/>
  <c r="C19" i="6" l="1"/>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13" i="3"/>
  <c r="G3" i="77"/>
  <c r="G4" i="77"/>
  <c r="G5" i="77"/>
  <c r="G6" i="77"/>
  <c r="G7" i="77"/>
  <c r="G8" i="77"/>
  <c r="G9" i="77"/>
  <c r="G10" i="77"/>
  <c r="G11" i="77"/>
  <c r="G12" i="77"/>
  <c r="G13" i="77"/>
  <c r="G14" i="77"/>
  <c r="G15" i="77"/>
  <c r="G16" i="77"/>
  <c r="G17" i="77"/>
  <c r="G18"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G51" i="77"/>
  <c r="G52" i="77"/>
  <c r="G53" i="77"/>
  <c r="G54" i="77"/>
  <c r="G55" i="77"/>
  <c r="G56" i="77"/>
  <c r="G57" i="77"/>
  <c r="G58" i="77"/>
  <c r="G59" i="77"/>
  <c r="G60" i="77"/>
  <c r="G61" i="77"/>
  <c r="G62" i="77"/>
  <c r="G63" i="77"/>
  <c r="G64" i="77"/>
  <c r="G65" i="77"/>
  <c r="G66" i="77"/>
  <c r="G67" i="77"/>
  <c r="G68" i="77"/>
  <c r="G69" i="77"/>
  <c r="G70" i="77"/>
  <c r="G71" i="77"/>
  <c r="G72" i="77"/>
  <c r="G73" i="77"/>
  <c r="G74" i="77"/>
  <c r="G75" i="77"/>
  <c r="G76" i="77"/>
  <c r="G77" i="77"/>
  <c r="G78" i="77"/>
  <c r="G79" i="77"/>
  <c r="G80" i="77"/>
  <c r="G81" i="77"/>
  <c r="G82" i="77"/>
  <c r="G83" i="77"/>
  <c r="G84" i="77"/>
  <c r="G85" i="77"/>
  <c r="G86" i="77"/>
  <c r="G87" i="77"/>
  <c r="G88" i="77"/>
  <c r="G89" i="77"/>
  <c r="G90" i="77"/>
  <c r="G91" i="77"/>
  <c r="G92" i="77"/>
  <c r="G93" i="77"/>
  <c r="G94" i="77"/>
  <c r="G95" i="77"/>
  <c r="G96" i="77"/>
  <c r="G97" i="77"/>
  <c r="G98" i="77"/>
  <c r="G99" i="77"/>
  <c r="G100" i="77"/>
  <c r="G101" i="77"/>
  <c r="G102" i="77"/>
  <c r="G103" i="77"/>
  <c r="G104" i="77"/>
  <c r="G105" i="77"/>
  <c r="G106" i="77"/>
  <c r="G107" i="77"/>
  <c r="G108" i="77"/>
  <c r="G109" i="77"/>
  <c r="G110" i="77"/>
  <c r="G111" i="77"/>
  <c r="G112" i="77"/>
  <c r="G113" i="77"/>
  <c r="G114" i="77"/>
  <c r="G115" i="77"/>
  <c r="G116" i="77"/>
  <c r="G117" i="77"/>
  <c r="G118" i="77"/>
  <c r="G119" i="77"/>
  <c r="G120" i="77"/>
  <c r="G121" i="77"/>
  <c r="G122" i="77"/>
  <c r="G123" i="77"/>
  <c r="G124" i="77"/>
  <c r="G125" i="77"/>
  <c r="G126" i="77"/>
  <c r="G127" i="77"/>
  <c r="G128" i="77"/>
  <c r="G129" i="77"/>
  <c r="G130" i="77"/>
  <c r="G131" i="77"/>
  <c r="G132" i="77"/>
  <c r="G133" i="77"/>
  <c r="G134" i="77"/>
  <c r="G135" i="77"/>
  <c r="G136" i="77"/>
  <c r="G137" i="77"/>
  <c r="G138" i="77"/>
  <c r="G139" i="77"/>
  <c r="G140" i="77"/>
  <c r="G141" i="77"/>
  <c r="G142" i="77"/>
  <c r="G143" i="77"/>
  <c r="G144" i="77"/>
  <c r="G145" i="77"/>
  <c r="G146" i="77"/>
  <c r="G147" i="77"/>
  <c r="G148" i="77"/>
  <c r="G149" i="77"/>
  <c r="G150" i="77"/>
  <c r="G151" i="77"/>
  <c r="G152" i="77"/>
  <c r="G153" i="77"/>
  <c r="G154" i="77"/>
  <c r="G155" i="77"/>
  <c r="G156" i="77"/>
  <c r="G157" i="77"/>
  <c r="G158" i="77"/>
  <c r="G159" i="77"/>
  <c r="G160" i="77"/>
  <c r="G161" i="77"/>
  <c r="G162" i="77"/>
  <c r="G163" i="77"/>
  <c r="G164" i="77"/>
  <c r="G165" i="77"/>
  <c r="G166" i="77"/>
  <c r="G167" i="77"/>
  <c r="G168" i="77"/>
  <c r="G169" i="77"/>
  <c r="G170" i="77"/>
  <c r="G171" i="77"/>
  <c r="G172" i="77"/>
  <c r="G173" i="77"/>
  <c r="G174" i="77"/>
  <c r="G175" i="77"/>
  <c r="G176" i="77"/>
  <c r="G177" i="77"/>
  <c r="G178" i="77"/>
  <c r="G179" i="77"/>
  <c r="G180" i="77"/>
  <c r="G181" i="77"/>
  <c r="G182" i="77"/>
  <c r="G183" i="77"/>
  <c r="G184" i="77"/>
  <c r="G185" i="77"/>
  <c r="G186" i="77"/>
  <c r="G187" i="77"/>
  <c r="G188" i="77"/>
  <c r="G189" i="77"/>
  <c r="G190" i="77"/>
  <c r="G191" i="77"/>
  <c r="G192" i="77"/>
  <c r="G193" i="77"/>
  <c r="G194" i="77"/>
  <c r="G195" i="77"/>
  <c r="G196" i="77"/>
  <c r="G197" i="77"/>
  <c r="G198" i="77"/>
  <c r="G199" i="77"/>
  <c r="G200" i="77"/>
  <c r="G201" i="77"/>
  <c r="G202" i="77"/>
  <c r="G203" i="77"/>
  <c r="G204" i="77"/>
  <c r="G205" i="77"/>
  <c r="G206" i="77"/>
  <c r="G207" i="77"/>
  <c r="G208" i="77"/>
  <c r="G209" i="77"/>
  <c r="G210" i="77"/>
  <c r="G211" i="77"/>
  <c r="G212" i="77"/>
  <c r="G213" i="77"/>
  <c r="G214" i="77"/>
  <c r="G215" i="77"/>
  <c r="G216" i="77"/>
  <c r="G217" i="77"/>
  <c r="G218" i="77"/>
  <c r="G219" i="77"/>
  <c r="G220" i="77"/>
  <c r="G221" i="77"/>
  <c r="G222" i="77"/>
  <c r="G223" i="77"/>
  <c r="G224" i="77"/>
  <c r="G225" i="77"/>
  <c r="G226" i="77"/>
  <c r="G227" i="77"/>
  <c r="G228" i="77"/>
  <c r="G229" i="77"/>
  <c r="G230" i="77"/>
  <c r="G231" i="77"/>
  <c r="G232" i="77"/>
  <c r="G233" i="77"/>
  <c r="G234" i="77"/>
  <c r="G235" i="77"/>
  <c r="G236" i="77"/>
  <c r="G237" i="77"/>
  <c r="G238" i="77"/>
  <c r="G239" i="77"/>
  <c r="G240" i="77"/>
  <c r="G241" i="77"/>
  <c r="G242" i="77"/>
  <c r="G243" i="77"/>
  <c r="G244" i="77"/>
  <c r="G245" i="77"/>
  <c r="G246" i="77"/>
  <c r="G247" i="77"/>
  <c r="G248" i="77"/>
  <c r="G249" i="77"/>
  <c r="G250" i="77"/>
  <c r="G251" i="77"/>
  <c r="G252" i="77"/>
  <c r="G253" i="77"/>
  <c r="G254" i="77"/>
  <c r="G255" i="77"/>
  <c r="G256" i="77"/>
  <c r="G257" i="77"/>
  <c r="G258" i="77"/>
  <c r="G259" i="77"/>
  <c r="G260" i="77"/>
  <c r="G261" i="77"/>
  <c r="G262" i="77"/>
  <c r="G263" i="77"/>
  <c r="G264" i="77"/>
  <c r="G265" i="77"/>
  <c r="G266" i="77"/>
  <c r="G267" i="77"/>
  <c r="G268" i="77"/>
  <c r="G269" i="77"/>
  <c r="G270" i="77"/>
  <c r="G271" i="77"/>
  <c r="G272" i="77"/>
  <c r="G273" i="77"/>
  <c r="G274" i="77"/>
  <c r="G275" i="77"/>
  <c r="G276" i="77"/>
  <c r="G277" i="77"/>
  <c r="G278" i="77"/>
  <c r="G279" i="77"/>
  <c r="G280" i="77"/>
  <c r="G281" i="77"/>
  <c r="G282" i="77"/>
  <c r="G283" i="77"/>
  <c r="G284" i="77"/>
  <c r="G285" i="77"/>
  <c r="G286" i="77"/>
  <c r="G287" i="77"/>
  <c r="G288" i="77"/>
  <c r="G289" i="77"/>
  <c r="G290" i="77"/>
  <c r="G291" i="77"/>
  <c r="G292" i="77"/>
  <c r="G293" i="77"/>
  <c r="G294" i="77"/>
  <c r="G295" i="77"/>
  <c r="G296" i="77"/>
  <c r="G297" i="77"/>
  <c r="G298" i="77"/>
  <c r="G299" i="77"/>
  <c r="G300" i="77"/>
  <c r="G301" i="77"/>
  <c r="G302" i="77"/>
  <c r="G303" i="77"/>
  <c r="G304" i="77"/>
  <c r="G305" i="77"/>
  <c r="G306" i="77"/>
  <c r="G307" i="77"/>
  <c r="G308" i="77"/>
  <c r="G309" i="77"/>
  <c r="G310" i="77"/>
  <c r="G311" i="77"/>
  <c r="G312" i="77"/>
  <c r="G313" i="77"/>
  <c r="G314" i="77"/>
  <c r="G315" i="77"/>
  <c r="G316" i="77"/>
  <c r="G317" i="77"/>
  <c r="G318" i="77"/>
  <c r="G319" i="77"/>
  <c r="G320" i="77"/>
  <c r="G321" i="77"/>
  <c r="G322" i="77"/>
  <c r="G323" i="77"/>
  <c r="G324" i="77"/>
  <c r="G325" i="77"/>
  <c r="G326" i="77"/>
  <c r="G327" i="77"/>
  <c r="G328" i="77"/>
  <c r="G329" i="77"/>
  <c r="G330" i="77"/>
  <c r="G331" i="77"/>
  <c r="G332" i="77"/>
  <c r="G333" i="77"/>
  <c r="G334" i="77"/>
  <c r="G335" i="77"/>
  <c r="G336" i="77"/>
  <c r="G337" i="77"/>
  <c r="G338" i="77"/>
  <c r="G339" i="77"/>
  <c r="G340" i="77"/>
  <c r="G341" i="77"/>
  <c r="G342" i="77"/>
  <c r="G343" i="77"/>
  <c r="G344" i="77"/>
  <c r="G345" i="77"/>
  <c r="G346" i="77"/>
  <c r="G347" i="77"/>
  <c r="G348" i="77"/>
  <c r="G349" i="77"/>
  <c r="G350" i="77"/>
  <c r="G351" i="77"/>
  <c r="G352" i="77"/>
  <c r="G353" i="77"/>
  <c r="G354" i="77"/>
  <c r="G355" i="77"/>
  <c r="G356" i="77"/>
  <c r="G357" i="77"/>
  <c r="G358" i="77"/>
  <c r="G359" i="77"/>
  <c r="G360" i="77"/>
  <c r="G361" i="77"/>
  <c r="G362" i="77"/>
  <c r="G363" i="77"/>
  <c r="G364" i="77"/>
  <c r="G365" i="77"/>
  <c r="G366" i="77"/>
  <c r="G367" i="77"/>
  <c r="G368" i="77"/>
  <c r="G369" i="77"/>
  <c r="G370" i="77"/>
  <c r="G371" i="77"/>
  <c r="G372" i="77"/>
  <c r="G373" i="77"/>
  <c r="G374" i="77"/>
  <c r="G375" i="77"/>
  <c r="G376" i="77"/>
  <c r="G377" i="77"/>
  <c r="G378" i="77"/>
  <c r="G379" i="77"/>
  <c r="G380" i="77"/>
  <c r="G381" i="77"/>
  <c r="G382" i="77"/>
  <c r="G383" i="77"/>
  <c r="G384" i="77"/>
  <c r="G385" i="77"/>
  <c r="G386" i="77"/>
  <c r="G387" i="77"/>
  <c r="G388" i="77"/>
  <c r="G389" i="77"/>
  <c r="G390" i="77"/>
  <c r="G391" i="77"/>
  <c r="G392" i="77"/>
  <c r="G393" i="77"/>
  <c r="G394" i="77"/>
  <c r="G395" i="77"/>
  <c r="G396" i="77"/>
  <c r="G397" i="77"/>
  <c r="G398" i="77"/>
  <c r="G399" i="77"/>
  <c r="G400" i="77"/>
  <c r="G401" i="77"/>
  <c r="G402" i="77"/>
  <c r="G403" i="77"/>
  <c r="G404" i="77"/>
  <c r="G405" i="77"/>
  <c r="G406" i="77"/>
  <c r="G407" i="77"/>
  <c r="G408" i="77"/>
  <c r="G409" i="77"/>
  <c r="G410" i="77"/>
  <c r="G411" i="77"/>
  <c r="G412" i="77"/>
  <c r="G413" i="77"/>
  <c r="G414" i="77"/>
  <c r="G415" i="77"/>
  <c r="G416" i="77"/>
  <c r="G417" i="77"/>
  <c r="G418" i="77"/>
  <c r="G419" i="77"/>
  <c r="G420" i="77"/>
  <c r="G421" i="77"/>
  <c r="G422" i="77"/>
  <c r="G423" i="77"/>
  <c r="G424" i="77"/>
  <c r="G425" i="77"/>
  <c r="G426" i="77"/>
  <c r="G427" i="77"/>
  <c r="G428" i="77"/>
  <c r="G429" i="77"/>
  <c r="G430" i="77"/>
  <c r="G431" i="77"/>
  <c r="G432" i="77"/>
  <c r="G433" i="77"/>
  <c r="G434" i="77"/>
  <c r="G435" i="77"/>
  <c r="G436" i="77"/>
  <c r="G437" i="77"/>
  <c r="G438" i="77"/>
  <c r="G439" i="77"/>
  <c r="G440" i="77"/>
  <c r="G441" i="77"/>
  <c r="G442" i="77"/>
  <c r="G443" i="77"/>
  <c r="G444" i="77"/>
  <c r="G445" i="77"/>
  <c r="G446" i="77"/>
  <c r="G447" i="77"/>
  <c r="G448" i="77"/>
  <c r="G449" i="77"/>
  <c r="G450" i="77"/>
  <c r="G451" i="77"/>
  <c r="G452" i="77"/>
  <c r="G453" i="77"/>
  <c r="G454" i="77"/>
  <c r="G455" i="77"/>
  <c r="G456" i="77"/>
  <c r="G457" i="77"/>
  <c r="G458" i="77"/>
  <c r="G459" i="77"/>
  <c r="G460" i="77"/>
  <c r="G461" i="77"/>
  <c r="G462" i="77"/>
  <c r="G463" i="77"/>
  <c r="G464" i="77"/>
  <c r="G465" i="77"/>
  <c r="G466" i="77"/>
  <c r="G467" i="77"/>
  <c r="G468" i="77"/>
  <c r="G469" i="77"/>
  <c r="G470" i="77"/>
  <c r="G471" i="77"/>
  <c r="G472" i="77"/>
  <c r="G473" i="77"/>
  <c r="G474" i="77"/>
  <c r="G475" i="77"/>
  <c r="G476" i="77"/>
  <c r="G477" i="77"/>
  <c r="G478" i="77"/>
  <c r="G479" i="77"/>
  <c r="G480" i="77"/>
  <c r="G481" i="77"/>
  <c r="G482" i="77"/>
  <c r="G483" i="77"/>
  <c r="G484" i="77"/>
  <c r="G485" i="77"/>
  <c r="G486" i="77"/>
  <c r="G487" i="77"/>
  <c r="G488" i="77"/>
  <c r="G489" i="77"/>
  <c r="G490" i="77"/>
  <c r="G491" i="77"/>
  <c r="G492" i="77"/>
  <c r="G493" i="77"/>
  <c r="G494" i="77"/>
  <c r="G495" i="77"/>
  <c r="G496" i="77"/>
  <c r="G497" i="77"/>
  <c r="G498" i="77"/>
  <c r="G499" i="77"/>
  <c r="G500" i="77"/>
  <c r="G501" i="77"/>
  <c r="G502" i="77"/>
  <c r="G503" i="77"/>
  <c r="G504" i="77"/>
  <c r="G505" i="77"/>
  <c r="G506" i="77"/>
  <c r="G507" i="77"/>
  <c r="G508" i="77"/>
  <c r="G509" i="77"/>
  <c r="G510" i="77"/>
  <c r="G511" i="77"/>
  <c r="G512" i="77"/>
  <c r="G513" i="77"/>
  <c r="G514" i="77"/>
  <c r="G515" i="77"/>
  <c r="G516" i="77"/>
  <c r="G517" i="77"/>
  <c r="G518" i="77"/>
  <c r="G519" i="77"/>
  <c r="G520" i="77"/>
  <c r="G521" i="77"/>
  <c r="G522" i="77"/>
  <c r="G523" i="77"/>
  <c r="G524" i="77"/>
  <c r="G525" i="77"/>
  <c r="G526" i="77"/>
  <c r="G527" i="77"/>
  <c r="G528" i="77"/>
  <c r="G529" i="77"/>
  <c r="G530" i="77"/>
  <c r="G531" i="77"/>
  <c r="G532" i="77"/>
  <c r="G533" i="77"/>
  <c r="G534" i="77"/>
  <c r="G535" i="77"/>
  <c r="G536" i="77"/>
  <c r="G537" i="77"/>
  <c r="G538" i="77"/>
  <c r="G539" i="77"/>
  <c r="G540" i="77"/>
  <c r="G541" i="77"/>
  <c r="G542" i="77"/>
  <c r="G543" i="77"/>
  <c r="G544" i="77"/>
  <c r="G545" i="77"/>
  <c r="G546" i="77"/>
  <c r="G547" i="77"/>
  <c r="G548" i="77"/>
  <c r="G549" i="77"/>
  <c r="G550" i="77"/>
  <c r="G551" i="77"/>
  <c r="G552" i="77"/>
  <c r="G553" i="77"/>
  <c r="G554" i="77"/>
  <c r="G555" i="77"/>
  <c r="G556" i="77"/>
  <c r="G557" i="77"/>
  <c r="G558" i="77"/>
  <c r="G559" i="77"/>
  <c r="G560" i="77"/>
  <c r="G561" i="77"/>
  <c r="G562" i="77"/>
  <c r="G563" i="77"/>
  <c r="G564" i="77"/>
  <c r="G565" i="77"/>
  <c r="G566" i="77"/>
  <c r="G567" i="77"/>
  <c r="G568" i="77"/>
  <c r="G569" i="77"/>
  <c r="G570" i="77"/>
  <c r="G571" i="77"/>
  <c r="G572" i="77"/>
  <c r="G573" i="77"/>
  <c r="G574" i="77"/>
  <c r="G575" i="77"/>
  <c r="G576" i="77"/>
  <c r="G577" i="77"/>
  <c r="G578" i="77"/>
  <c r="G579" i="77"/>
  <c r="G580" i="77"/>
  <c r="G581" i="77"/>
  <c r="G582" i="77"/>
  <c r="G583" i="77"/>
  <c r="G584" i="77"/>
  <c r="G585" i="77"/>
  <c r="G586" i="77"/>
  <c r="G587" i="77"/>
  <c r="G588" i="77"/>
  <c r="G589" i="77"/>
  <c r="G590" i="77"/>
  <c r="G591" i="77"/>
  <c r="G592" i="77"/>
  <c r="G593" i="77"/>
  <c r="G594" i="77"/>
  <c r="G595" i="77"/>
  <c r="G596" i="77"/>
  <c r="G597" i="77"/>
  <c r="G598" i="77"/>
  <c r="G599" i="77"/>
  <c r="G600" i="77"/>
  <c r="G601" i="77"/>
  <c r="G602" i="77"/>
  <c r="G603" i="77"/>
  <c r="G604" i="77"/>
  <c r="G605" i="77"/>
  <c r="G606" i="77"/>
  <c r="G607" i="77"/>
  <c r="G608" i="77"/>
  <c r="G609" i="77"/>
  <c r="G610" i="77"/>
  <c r="G611" i="77"/>
  <c r="G612" i="77"/>
  <c r="G613" i="77"/>
  <c r="G614" i="77"/>
  <c r="G615" i="77"/>
  <c r="G616" i="77"/>
  <c r="G2" i="77"/>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11" i="76"/>
  <c r="B9" i="76"/>
  <c r="B12" i="76"/>
  <c r="B11" i="76"/>
  <c r="E8" i="76"/>
  <c r="B13" i="76"/>
  <c r="E9" i="76"/>
  <c r="E13" i="76"/>
  <c r="E12" i="76"/>
  <c r="B7" i="76"/>
  <c r="B10" i="76"/>
  <c r="E10" i="76"/>
  <c r="B8" i="76"/>
  <c r="E7"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5" i="73"/>
  <c r="F4" i="73"/>
  <c r="F6" i="73"/>
  <c r="D5" i="73"/>
  <c r="D3" i="73"/>
  <c r="D6" i="73"/>
  <c r="F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9"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Z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s="1"/>
  <c r="AA29" i="35"/>
  <c r="AA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5" i="3"/>
  <c r="G531"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39" i="3"/>
  <c r="BA535" i="3"/>
  <c r="BA531"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AZ525" i="3" s="1"/>
  <c r="BQ523" i="3"/>
  <c r="BL523" i="3" s="1"/>
  <c r="AZ523" i="3" s="1"/>
  <c r="BA521" i="3"/>
  <c r="AC521" i="3"/>
  <c r="G521" i="3"/>
  <c r="BQ521" i="3"/>
  <c r="BL521" i="3" s="1"/>
  <c r="BL520" i="3"/>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AZ497" i="3" s="1"/>
  <c r="BQ495" i="3"/>
  <c r="BL495" i="3"/>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s="1"/>
  <c r="BL116" i="3"/>
  <c r="AZ116" i="3" s="1"/>
  <c r="G117" i="3"/>
  <c r="BA119" i="3"/>
  <c r="BL120" i="3"/>
  <c r="G121" i="3"/>
  <c r="BA123" i="3"/>
  <c r="AZ123" i="3" s="1"/>
  <c r="BL124" i="3"/>
  <c r="AZ124" i="3" s="1"/>
  <c r="G125" i="3"/>
  <c r="BA127" i="3"/>
  <c r="AZ127" i="3" s="1"/>
  <c r="BL128" i="3"/>
  <c r="G129" i="3"/>
  <c r="BA131" i="3"/>
  <c r="AZ131" i="3" s="1"/>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AZ176" i="3" s="1"/>
  <c r="G177" i="3"/>
  <c r="BA179" i="3"/>
  <c r="AZ179" i="3" s="1"/>
  <c r="BL180" i="3"/>
  <c r="G181" i="3"/>
  <c r="BA183" i="3"/>
  <c r="AZ183" i="3" s="1"/>
  <c r="BL184" i="3"/>
  <c r="G185" i="3"/>
  <c r="BA187" i="3"/>
  <c r="AZ187" i="3" s="1"/>
  <c r="BL188" i="3"/>
  <c r="G189" i="3"/>
  <c r="BA191" i="3"/>
  <c r="AZ191" i="3"/>
  <c r="BL192" i="3"/>
  <c r="G193" i="3"/>
  <c r="BA195" i="3"/>
  <c r="AZ195" i="3"/>
  <c r="BL196" i="3"/>
  <c r="AZ196" i="3"/>
  <c r="G197" i="3"/>
  <c r="BA199" i="3"/>
  <c r="AZ199" i="3" s="1"/>
  <c r="BL200" i="3"/>
  <c r="G201" i="3"/>
  <c r="BA203" i="3"/>
  <c r="AZ203" i="3" s="1"/>
  <c r="BL204" i="3"/>
  <c r="AZ204" i="3" s="1"/>
  <c r="AZ51" i="3"/>
  <c r="AZ55" i="3"/>
  <c r="AZ67" i="3"/>
  <c r="AZ71" i="3"/>
  <c r="AZ79" i="3"/>
  <c r="AZ83" i="3"/>
  <c r="AZ136" i="3"/>
  <c r="AZ144" i="3"/>
  <c r="AZ152" i="3"/>
  <c r="AZ160" i="3"/>
  <c r="AZ168" i="3"/>
  <c r="AZ184" i="3"/>
  <c r="AZ192" i="3"/>
  <c r="AZ85" i="3"/>
  <c r="AZ89" i="3"/>
  <c r="AZ97" i="3"/>
  <c r="AZ105" i="3"/>
  <c r="AZ120" i="3"/>
  <c r="AZ128"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AZ328" i="3" s="1"/>
  <c r="BA329" i="3"/>
  <c r="BL329" i="3"/>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58" i="3"/>
  <c r="AZ166" i="3"/>
  <c r="AZ174" i="3"/>
  <c r="AZ182" i="3"/>
  <c r="AZ190" i="3"/>
  <c r="AZ194" i="3"/>
  <c r="AZ202" i="3"/>
  <c r="AZ206" i="3"/>
  <c r="AZ500" i="3"/>
  <c r="BA16" i="3"/>
  <c r="AZ16" i="3" s="1"/>
  <c r="BL303" i="3"/>
  <c r="G304" i="3"/>
  <c r="BA306" i="3"/>
  <c r="AZ306" i="3" s="1"/>
  <c r="BL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c r="BL335" i="3"/>
  <c r="G336" i="3"/>
  <c r="BA338" i="3"/>
  <c r="AZ338" i="3"/>
  <c r="BL339" i="3"/>
  <c r="G340" i="3"/>
  <c r="BL343" i="3"/>
  <c r="G344" i="3"/>
  <c r="G348" i="3"/>
  <c r="G355" i="3"/>
  <c r="AZ209" i="3"/>
  <c r="AZ218" i="3"/>
  <c r="G342" i="3"/>
  <c r="BL345" i="3"/>
  <c r="G346" i="3"/>
  <c r="BL349" i="3"/>
  <c r="BL352" i="3"/>
  <c r="G353" i="3"/>
  <c r="BA357" i="3"/>
  <c r="AZ357" i="3" s="1"/>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8" i="3"/>
  <c r="BA15" i="3"/>
  <c r="BB5" i="3"/>
  <c r="BR5" i="3"/>
  <c r="G28" i="6" s="1"/>
  <c r="AZ384" i="3"/>
  <c r="AZ396" i="3"/>
  <c r="AZ394"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56" i="3"/>
  <c r="AZ259" i="3"/>
  <c r="AZ280" i="3"/>
  <c r="AZ296" i="3"/>
  <c r="AZ114" i="3"/>
  <c r="AZ130"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C21" i="39" l="1"/>
  <c r="C30" i="9"/>
  <c r="E8" i="6"/>
  <c r="F27" i="6" s="1"/>
  <c r="AA41" i="34"/>
  <c r="AC36" i="34"/>
  <c r="S28" i="34"/>
  <c r="W9" i="34"/>
  <c r="S9" i="34"/>
  <c r="W8" i="34"/>
  <c r="AZ345" i="3"/>
  <c r="AZ342" i="3"/>
  <c r="AZ329" i="3"/>
  <c r="AZ513" i="3"/>
  <c r="AZ520" i="3"/>
  <c r="AZ529" i="3"/>
  <c r="AZ533" i="3"/>
  <c r="AZ537" i="3"/>
  <c r="AZ541" i="3"/>
  <c r="AZ372" i="3"/>
  <c r="AZ347" i="3"/>
  <c r="AZ344" i="3"/>
  <c r="AZ337" i="3"/>
  <c r="AZ313" i="3"/>
  <c r="AZ305" i="3"/>
  <c r="AZ362" i="3"/>
  <c r="BA398" i="3"/>
  <c r="AZ398" i="3" s="1"/>
  <c r="BL401" i="3"/>
  <c r="BL403" i="3"/>
  <c r="AZ403" i="3" s="1"/>
  <c r="BA404" i="3"/>
  <c r="AZ404" i="3" s="1"/>
  <c r="BL406" i="3"/>
  <c r="AZ406" i="3" s="1"/>
  <c r="BA407" i="3"/>
  <c r="AZ407" i="3" s="1"/>
  <c r="BL412" i="3"/>
  <c r="BA413" i="3"/>
  <c r="AZ413" i="3" s="1"/>
  <c r="BA414" i="3"/>
  <c r="AZ414" i="3" s="1"/>
  <c r="BL417" i="3"/>
  <c r="BL419" i="3"/>
  <c r="AZ419" i="3" s="1"/>
  <c r="BA420" i="3"/>
  <c r="AZ420" i="3" s="1"/>
  <c r="BL422" i="3"/>
  <c r="AZ422" i="3" s="1"/>
  <c r="BA423" i="3"/>
  <c r="AZ423" i="3" s="1"/>
  <c r="BA424" i="3"/>
  <c r="AZ424" i="3" s="1"/>
  <c r="BL428" i="3"/>
  <c r="BA429" i="3"/>
  <c r="AZ429" i="3" s="1"/>
  <c r="BA430" i="3"/>
  <c r="AZ430" i="3" s="1"/>
  <c r="BL433" i="3"/>
  <c r="BL435" i="3"/>
  <c r="AZ435" i="3" s="1"/>
  <c r="BA436" i="3"/>
  <c r="AZ436" i="3" s="1"/>
  <c r="BL438" i="3"/>
  <c r="AZ438" i="3" s="1"/>
  <c r="BA439" i="3"/>
  <c r="AZ439" i="3" s="1"/>
  <c r="BA440" i="3"/>
  <c r="AZ440" i="3" s="1"/>
  <c r="BL442" i="3"/>
  <c r="AZ442" i="3" s="1"/>
  <c r="BL445" i="3"/>
  <c r="AZ451" i="3"/>
  <c r="AZ454" i="3"/>
  <c r="AZ458" i="3"/>
  <c r="AZ469" i="3"/>
  <c r="AZ487" i="3"/>
  <c r="AZ521" i="3"/>
  <c r="AZ518" i="3"/>
  <c r="AZ538" i="3"/>
  <c r="AZ402" i="3"/>
  <c r="AZ418" i="3"/>
  <c r="AZ434" i="3"/>
  <c r="AZ443" i="3"/>
  <c r="AZ445" i="3"/>
  <c r="AZ446" i="3"/>
  <c r="BA447" i="3"/>
  <c r="AZ447" i="3" s="1"/>
  <c r="BA448" i="3"/>
  <c r="AZ448" i="3" s="1"/>
  <c r="BL450" i="3"/>
  <c r="AZ450" i="3" s="1"/>
  <c r="BL453" i="3"/>
  <c r="AZ453" i="3" s="1"/>
  <c r="BL457" i="3"/>
  <c r="BL459" i="3"/>
  <c r="AZ459" i="3" s="1"/>
  <c r="BA460" i="3"/>
  <c r="AZ460" i="3" s="1"/>
  <c r="BL462" i="3"/>
  <c r="AZ462" i="3" s="1"/>
  <c r="BA463" i="3"/>
  <c r="AZ463" i="3" s="1"/>
  <c r="BA464" i="3"/>
  <c r="AZ464" i="3" s="1"/>
  <c r="BL468" i="3"/>
  <c r="AZ468" i="3" s="1"/>
  <c r="BL473" i="3"/>
  <c r="BA474" i="3"/>
  <c r="AZ474" i="3" s="1"/>
  <c r="BA475" i="3"/>
  <c r="AZ475" i="3" s="1"/>
  <c r="BL477" i="3"/>
  <c r="AZ477" i="3" s="1"/>
  <c r="BA478" i="3"/>
  <c r="AZ478" i="3" s="1"/>
  <c r="BA479" i="3"/>
  <c r="AZ479" i="3" s="1"/>
  <c r="BL481" i="3"/>
  <c r="AZ481" i="3" s="1"/>
  <c r="BA482" i="3"/>
  <c r="AZ482" i="3" s="1"/>
  <c r="BA483" i="3"/>
  <c r="AZ483" i="3" s="1"/>
  <c r="BL486" i="3"/>
  <c r="AZ486" i="3" s="1"/>
  <c r="BL490" i="3"/>
  <c r="BA317" i="3"/>
  <c r="AZ317" i="3" s="1"/>
  <c r="BA333" i="3"/>
  <c r="AZ333" i="3" s="1"/>
  <c r="BA348" i="3"/>
  <c r="AZ348" i="3" s="1"/>
  <c r="BA349" i="3"/>
  <c r="AZ349" i="3" s="1"/>
  <c r="BA354" i="3"/>
  <c r="AZ354" i="3" s="1"/>
  <c r="BA366" i="3"/>
  <c r="AZ366" i="3" s="1"/>
  <c r="BL367" i="3"/>
  <c r="BL381" i="3"/>
  <c r="AZ381" i="3" s="1"/>
  <c r="BL383" i="3"/>
  <c r="AZ383" i="3" s="1"/>
  <c r="BA385" i="3"/>
  <c r="AZ385" i="3" s="1"/>
  <c r="BA388" i="3"/>
  <c r="AZ388" i="3" s="1"/>
  <c r="BA392" i="3"/>
  <c r="AZ392" i="3" s="1"/>
  <c r="BL395" i="3"/>
  <c r="AZ395" i="3" s="1"/>
  <c r="BL208" i="3"/>
  <c r="AZ208" i="3" s="1"/>
  <c r="BL211" i="3"/>
  <c r="AZ211" i="3" s="1"/>
  <c r="BA212" i="3"/>
  <c r="AZ212" i="3" s="1"/>
  <c r="BL214" i="3"/>
  <c r="AZ214" i="3" s="1"/>
  <c r="BL217" i="3"/>
  <c r="AZ217" i="3" s="1"/>
  <c r="BL220" i="3"/>
  <c r="BA221" i="3"/>
  <c r="AZ221" i="3" s="1"/>
  <c r="BA222" i="3"/>
  <c r="AZ222" i="3" s="1"/>
  <c r="BA223" i="3"/>
  <c r="AZ223" i="3" s="1"/>
  <c r="BL226" i="3"/>
  <c r="BL230" i="3"/>
  <c r="BA231" i="3"/>
  <c r="AZ231" i="3" s="1"/>
  <c r="BA232" i="3"/>
  <c r="AZ232" i="3" s="1"/>
  <c r="BA233" i="3"/>
  <c r="AZ233" i="3" s="1"/>
  <c r="BL235" i="3"/>
  <c r="AZ235" i="3" s="1"/>
  <c r="BA236" i="3"/>
  <c r="AZ236" i="3" s="1"/>
  <c r="BA237" i="3"/>
  <c r="AZ237" i="3" s="1"/>
  <c r="BL242" i="3"/>
  <c r="BL246" i="3"/>
  <c r="BA247" i="3"/>
  <c r="AZ247" i="3" s="1"/>
  <c r="BA248" i="3"/>
  <c r="AZ248" i="3" s="1"/>
  <c r="BA249" i="3"/>
  <c r="AZ249" i="3" s="1"/>
  <c r="BL251" i="3"/>
  <c r="AZ251" i="3" s="1"/>
  <c r="BA252" i="3"/>
  <c r="AZ252" i="3" s="1"/>
  <c r="BA253" i="3"/>
  <c r="AZ253" i="3" s="1"/>
  <c r="BL258" i="3"/>
  <c r="BL262" i="3"/>
  <c r="BL266" i="3"/>
  <c r="BA267" i="3"/>
  <c r="AZ267" i="3" s="1"/>
  <c r="BA268" i="3"/>
  <c r="AZ268" i="3" s="1"/>
  <c r="BA269" i="3"/>
  <c r="AZ269" i="3" s="1"/>
  <c r="BL271" i="3"/>
  <c r="AZ271" i="3" s="1"/>
  <c r="BA272" i="3"/>
  <c r="AZ272" i="3" s="1"/>
  <c r="BA273" i="3"/>
  <c r="AZ273" i="3" s="1"/>
  <c r="BL275" i="3"/>
  <c r="AZ275" i="3" s="1"/>
  <c r="BA276" i="3"/>
  <c r="AZ276" i="3" s="1"/>
  <c r="BL281" i="3"/>
  <c r="BA282" i="3"/>
  <c r="AZ282" i="3" s="1"/>
  <c r="BA283" i="3"/>
  <c r="AZ283" i="3" s="1"/>
  <c r="BL286" i="3"/>
  <c r="BL288" i="3"/>
  <c r="AZ288" i="3" s="1"/>
  <c r="BA289" i="3"/>
  <c r="AZ289" i="3" s="1"/>
  <c r="BL291" i="3"/>
  <c r="AZ291" i="3" s="1"/>
  <c r="BA292" i="3"/>
  <c r="AZ292" i="3" s="1"/>
  <c r="BL297" i="3"/>
  <c r="BA298" i="3"/>
  <c r="AZ298" i="3" s="1"/>
  <c r="BA299" i="3"/>
  <c r="AZ299" i="3" s="1"/>
  <c r="BL117" i="3"/>
  <c r="AZ117" i="3" s="1"/>
  <c r="BA118" i="3"/>
  <c r="AZ118" i="3" s="1"/>
  <c r="BL119" i="3"/>
  <c r="AZ119" i="3" s="1"/>
  <c r="BA121" i="3"/>
  <c r="AZ121" i="3" s="1"/>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BL154" i="3"/>
  <c r="AZ154" i="3" s="1"/>
  <c r="BA156" i="3"/>
  <c r="AZ156" i="3" s="1"/>
  <c r="BL157" i="3"/>
  <c r="BL162" i="3"/>
  <c r="AZ162" i="3" s="1"/>
  <c r="BA164" i="3"/>
  <c r="AZ164" i="3" s="1"/>
  <c r="BL165" i="3"/>
  <c r="BL170" i="3"/>
  <c r="AZ170" i="3" s="1"/>
  <c r="BA172" i="3"/>
  <c r="AZ172" i="3" s="1"/>
  <c r="BL173" i="3"/>
  <c r="BL178" i="3"/>
  <c r="AZ178" i="3" s="1"/>
  <c r="BA180" i="3"/>
  <c r="AZ180" i="3" s="1"/>
  <c r="BL181" i="3"/>
  <c r="BL186" i="3"/>
  <c r="AZ186" i="3" s="1"/>
  <c r="BA188" i="3"/>
  <c r="AZ188" i="3" s="1"/>
  <c r="BL189" i="3"/>
  <c r="AZ220" i="3"/>
  <c r="AZ226" i="3"/>
  <c r="AZ230" i="3"/>
  <c r="AZ242" i="3"/>
  <c r="AZ246" i="3"/>
  <c r="AZ258" i="3"/>
  <c r="AZ262" i="3"/>
  <c r="BL198" i="3"/>
  <c r="AZ198" i="3" s="1"/>
  <c r="BA200" i="3"/>
  <c r="AZ200" i="3" s="1"/>
  <c r="BL201" i="3"/>
  <c r="AZ201" i="3" s="1"/>
  <c r="BL207" i="3"/>
  <c r="AZ207" i="3" s="1"/>
  <c r="BL43" i="3"/>
  <c r="AZ43" i="3" s="1"/>
  <c r="BA44" i="3"/>
  <c r="AZ44" i="3" s="1"/>
  <c r="BA45" i="3"/>
  <c r="AZ45" i="3" s="1"/>
  <c r="BL47" i="3"/>
  <c r="AZ47" i="3" s="1"/>
  <c r="BA48" i="3"/>
  <c r="AZ48" i="3" s="1"/>
  <c r="BL50" i="3"/>
  <c r="AZ50" i="3" s="1"/>
  <c r="BL54" i="3"/>
  <c r="AZ54" i="3" s="1"/>
  <c r="BL57" i="3"/>
  <c r="AZ57" i="3" s="1"/>
  <c r="BL59" i="3"/>
  <c r="AZ59" i="3" s="1"/>
  <c r="BA60" i="3"/>
  <c r="AZ60" i="3" s="1"/>
  <c r="BA61" i="3"/>
  <c r="AZ61" i="3" s="1"/>
  <c r="BL63" i="3"/>
  <c r="AZ63" i="3" s="1"/>
  <c r="BA64" i="3"/>
  <c r="AZ64" i="3" s="1"/>
  <c r="BL66" i="3"/>
  <c r="AZ66" i="3" s="1"/>
  <c r="BL70" i="3"/>
  <c r="BL72" i="3"/>
  <c r="AZ72" i="3" s="1"/>
  <c r="BA73" i="3"/>
  <c r="AZ73" i="3" s="1"/>
  <c r="BA74" i="3"/>
  <c r="AZ74" i="3" s="1"/>
  <c r="BA75" i="3"/>
  <c r="AZ75" i="3" s="1"/>
  <c r="BL77" i="3"/>
  <c r="AZ77" i="3" s="1"/>
  <c r="BL80" i="3"/>
  <c r="BL84" i="3"/>
  <c r="BL86" i="3"/>
  <c r="AZ86" i="3" s="1"/>
  <c r="BL88" i="3"/>
  <c r="BL91" i="3"/>
  <c r="BA92" i="3"/>
  <c r="AZ92" i="3" s="1"/>
  <c r="BA93" i="3"/>
  <c r="AZ93" i="3" s="1"/>
  <c r="BA94" i="3"/>
  <c r="AZ94" i="3" s="1"/>
  <c r="BL98" i="3"/>
  <c r="AZ98" i="3" s="1"/>
  <c r="BA99" i="3"/>
  <c r="AZ99" i="3" s="1"/>
  <c r="BL101" i="3"/>
  <c r="AZ101" i="3" s="1"/>
  <c r="BL104" i="3"/>
  <c r="BA106" i="3"/>
  <c r="AZ106" i="3" s="1"/>
  <c r="BA108" i="3"/>
  <c r="AZ108" i="3" s="1"/>
  <c r="BA109" i="3"/>
  <c r="AZ109" i="3" s="1"/>
  <c r="BA110" i="3"/>
  <c r="AZ110" i="3" s="1"/>
  <c r="BA112" i="3"/>
  <c r="AZ112" i="3" s="1"/>
  <c r="AZ70" i="3"/>
  <c r="AZ91" i="3"/>
  <c r="AZ104" i="3"/>
  <c r="BL33" i="3"/>
  <c r="AZ33" i="3" s="1"/>
  <c r="BL35" i="3"/>
  <c r="BL38" i="3"/>
  <c r="BL41" i="3"/>
  <c r="AZ38" i="3"/>
  <c r="BA18" i="3"/>
  <c r="AZ18" i="3" s="1"/>
  <c r="BL20" i="3"/>
  <c r="AZ20" i="3" s="1"/>
  <c r="BL23" i="3"/>
  <c r="BL26" i="3"/>
  <c r="BA27" i="3"/>
  <c r="AZ27" i="3" s="1"/>
  <c r="BA28" i="3"/>
  <c r="AZ28" i="3" s="1"/>
  <c r="BA29" i="3"/>
  <c r="AZ29" i="3" s="1"/>
  <c r="BL31" i="3"/>
  <c r="AZ31" i="3" s="1"/>
  <c r="AZ23" i="3"/>
  <c r="AZ15" i="3"/>
  <c r="BL15" i="3"/>
  <c r="F29" i="6"/>
  <c r="D93" i="9"/>
  <c r="E12" i="6"/>
  <c r="E62" i="39" s="1"/>
  <c r="E15" i="6"/>
  <c r="E60" i="40" s="1"/>
  <c r="K6" i="1"/>
  <c r="AH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I4" i="6" s="1"/>
  <c r="G3" i="4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AR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9" i="15"/>
  <c r="M29" i="15"/>
  <c r="J15" i="15"/>
  <c r="F26" i="67"/>
  <c r="M24" i="67"/>
  <c r="F38" i="67"/>
  <c r="G1" i="73"/>
  <c r="F6" i="15"/>
  <c r="M9" i="67"/>
  <c r="L47" i="15"/>
  <c r="M23" i="67"/>
  <c r="F26" i="15"/>
  <c r="F16" i="67"/>
  <c r="F8" i="15"/>
  <c r="F37" i="67"/>
  <c r="M26" i="15"/>
  <c r="M9" i="15"/>
  <c r="M28" i="67"/>
  <c r="F38" i="15"/>
  <c r="M26" i="67"/>
  <c r="M22" i="15"/>
  <c r="F13" i="67"/>
  <c r="F7" i="67"/>
  <c r="F42" i="67"/>
  <c r="M29" i="67"/>
  <c r="F13" i="15"/>
  <c r="C76" i="15"/>
  <c r="M22" i="67"/>
  <c r="C76" i="67"/>
  <c r="F9" i="67"/>
  <c r="J15" i="67"/>
  <c r="M28" i="15"/>
  <c r="F40" i="67"/>
  <c r="F16" i="15"/>
  <c r="L48" i="67"/>
  <c r="F7" i="15"/>
  <c r="F36" i="15"/>
  <c r="M24" i="15"/>
  <c r="F36" i="67"/>
  <c r="M6" i="67"/>
  <c r="F6" i="67"/>
  <c r="F43" i="15"/>
  <c r="M8" i="67"/>
  <c r="F37" i="15"/>
  <c r="M23" i="15"/>
  <c r="F43" i="67"/>
  <c r="L47" i="67"/>
  <c r="F42" i="15"/>
  <c r="F40" i="15"/>
  <c r="M8" i="15"/>
  <c r="M6" i="15"/>
  <c r="F8" i="67"/>
  <c r="L48" i="15"/>
  <c r="B113" i="43" l="1"/>
  <c r="K101" i="43"/>
  <c r="G101" i="43"/>
  <c r="H101" i="43"/>
  <c r="E101" i="43"/>
  <c r="AF11" i="43"/>
  <c r="AF13" i="43" s="1"/>
  <c r="Z7" i="43"/>
  <c r="AE11" i="43"/>
  <c r="AE13" i="43" s="1"/>
  <c r="F22" i="43"/>
  <c r="N101" i="43"/>
  <c r="J101" i="43"/>
  <c r="H22" i="43"/>
  <c r="M101" i="43"/>
  <c r="M109" i="43" s="1"/>
  <c r="AJ11" i="43"/>
  <c r="AJ13" i="43" s="1"/>
  <c r="AB11" i="43"/>
  <c r="AB13" i="43" s="1"/>
  <c r="AI11" i="43"/>
  <c r="AI13" i="43" s="1"/>
  <c r="AA11" i="43"/>
  <c r="AA13" i="43" s="1"/>
  <c r="E56" i="40"/>
  <c r="B115" i="43"/>
  <c r="C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N109" i="43"/>
  <c r="Y11" i="43"/>
  <c r="Y13" i="43" s="1"/>
  <c r="AC11" i="43"/>
  <c r="AC13" i="43" s="1"/>
  <c r="AG11" i="43"/>
  <c r="AG13" i="43" s="1"/>
  <c r="S5" i="43"/>
  <c r="Z11" i="43"/>
  <c r="Z13" i="43" s="1"/>
  <c r="AD11" i="43"/>
  <c r="AD13" i="43" s="1"/>
  <c r="AH11" i="43"/>
  <c r="AH13" i="43" s="1"/>
  <c r="K109" i="43"/>
  <c r="J109" i="43"/>
  <c r="N104" i="43"/>
  <c r="K106" i="43"/>
  <c r="G103" i="43"/>
  <c r="K104" i="43"/>
  <c r="K107" i="43"/>
  <c r="J103" i="43"/>
  <c r="N106" i="43"/>
  <c r="N103" i="43"/>
  <c r="G22" i="43"/>
  <c r="I101" i="43"/>
  <c r="I109" i="43" s="1"/>
  <c r="D101" i="43"/>
  <c r="D109" i="43" s="1"/>
  <c r="L101" i="43"/>
  <c r="L109" i="43" s="1"/>
  <c r="N104" i="46"/>
  <c r="C101" i="43"/>
  <c r="E22" i="43"/>
  <c r="D22" i="43" s="1"/>
  <c r="F101"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4"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31" i="15"/>
  <c r="C16" i="15"/>
  <c r="M17" i="15"/>
  <c r="F59" i="67"/>
  <c r="F59" i="15"/>
  <c r="C16" i="67"/>
  <c r="C17" i="15"/>
  <c r="F31" i="67"/>
  <c r="D106" i="43" l="1"/>
  <c r="M19" i="6"/>
  <c r="AR6" i="1"/>
  <c r="D102" i="43"/>
  <c r="D105" i="43"/>
  <c r="K16" i="1"/>
  <c r="D107" i="43"/>
  <c r="D104" i="43"/>
  <c r="D103" i="43"/>
  <c r="D113" i="43"/>
  <c r="J22" i="43" s="1"/>
  <c r="M20" i="6"/>
  <c r="I20" i="6" s="1"/>
  <c r="N102" i="43"/>
  <c r="N105" i="43"/>
  <c r="N107" i="43"/>
  <c r="K103" i="43"/>
  <c r="K105" i="43"/>
  <c r="K102" i="43"/>
  <c r="J104" i="43"/>
  <c r="J105" i="43"/>
  <c r="J102" i="43"/>
  <c r="J107" i="43"/>
  <c r="J106" i="43"/>
  <c r="G105" i="43"/>
  <c r="G107" i="43"/>
  <c r="G109" i="43"/>
  <c r="G102" i="43"/>
  <c r="G104" i="43"/>
  <c r="G106" i="43"/>
  <c r="F104" i="43"/>
  <c r="F107" i="43"/>
  <c r="F106" i="43"/>
  <c r="F105" i="43"/>
  <c r="F109" i="43"/>
  <c r="F102" i="43"/>
  <c r="F103" i="43"/>
  <c r="C104" i="43"/>
  <c r="C106" i="43"/>
  <c r="C105" i="43"/>
  <c r="C102" i="43"/>
  <c r="S2" i="43" s="1"/>
  <c r="C107" i="43"/>
  <c r="C103" i="43"/>
  <c r="C109" i="43"/>
  <c r="C30" i="69"/>
  <c r="AQ7" i="1"/>
  <c r="E3" i="6"/>
  <c r="D3" i="34"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37" i="1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D14" i="12" l="1"/>
  <c r="D17" i="12" s="1"/>
  <c r="C17" i="12" s="1"/>
  <c r="D19" i="11"/>
  <c r="C19" i="11" s="1"/>
  <c r="C20" i="11" s="1"/>
  <c r="D3" i="21"/>
  <c r="D3" i="37"/>
  <c r="L18" i="9"/>
  <c r="C17" i="4"/>
  <c r="B4" i="52" s="1"/>
  <c r="B43" i="72" s="1"/>
  <c r="E6" i="6"/>
  <c r="D10" i="68" s="1"/>
  <c r="D3" i="33"/>
  <c r="Q61" i="15"/>
  <c r="E37" i="43"/>
  <c r="AA7" i="36"/>
  <c r="R36" i="36" s="1"/>
  <c r="E36" i="36" s="1"/>
  <c r="E40" i="36" s="1"/>
  <c r="F40" i="36" s="1"/>
  <c r="AC11" i="37"/>
  <c r="W11" i="37"/>
  <c r="AB7" i="37"/>
  <c r="T42" i="37" s="1"/>
  <c r="G42" i="37" s="1"/>
  <c r="G46" i="37" s="1"/>
  <c r="H46" i="37" s="1"/>
  <c r="J5" i="67"/>
  <c r="J5" i="15"/>
  <c r="H20" i="6"/>
  <c r="C14" i="74"/>
  <c r="B2" i="74" s="1"/>
  <c r="AB7" i="36"/>
  <c r="T36" i="36" s="1"/>
  <c r="C23" i="68"/>
  <c r="C38" i="15"/>
  <c r="E38" i="43"/>
  <c r="E6" i="3"/>
  <c r="C47" i="68"/>
  <c r="D45" i="68" s="1"/>
  <c r="AA10" i="39"/>
  <c r="D19" i="6"/>
  <c r="M19" i="9" s="1"/>
  <c r="C118" i="9" s="1"/>
  <c r="D25" i="6"/>
  <c r="D26" i="6"/>
  <c r="D15" i="6"/>
  <c r="C18" i="4"/>
  <c r="D22" i="6"/>
  <c r="D8" i="6"/>
  <c r="D21" i="6"/>
  <c r="D23" i="6"/>
  <c r="D24" i="6"/>
  <c r="D14" i="6"/>
  <c r="D20" i="6"/>
  <c r="D5"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D6" i="6" l="1"/>
  <c r="R20" i="6"/>
  <c r="R7" i="1" s="1"/>
  <c r="D10" i="11"/>
  <c r="C10" i="11" s="1"/>
  <c r="AA7" i="34"/>
  <c r="D20" i="12"/>
  <c r="C20" i="12" s="1"/>
  <c r="C18" i="12"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38" i="11"/>
  <c r="C14" i="12"/>
  <c r="C23" i="12"/>
  <c r="E6" i="76"/>
  <c r="D31" i="6" l="1"/>
  <c r="I6" i="6" s="1"/>
  <c r="E2" i="76"/>
  <c r="B2" i="43"/>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15"/>
  <c r="F35" i="15"/>
  <c r="F35" i="67"/>
  <c r="M21" i="67"/>
  <c r="B6" i="76"/>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11" i="34" l="1"/>
  <c r="H11" i="34"/>
  <c r="J11" i="34"/>
  <c r="C25" i="68"/>
  <c r="C22" i="68" s="1"/>
  <c r="C31" i="68" s="1"/>
  <c r="C27" i="12"/>
  <c r="C25" i="12" s="1"/>
  <c r="C32" i="12" s="1"/>
  <c r="B2" i="12" s="1"/>
  <c r="B3" i="12" s="1"/>
  <c r="C39" i="68"/>
  <c r="C43" i="68" s="1"/>
  <c r="C42" i="68"/>
  <c r="J63" i="40"/>
  <c r="I65" i="40"/>
  <c r="C46" i="11"/>
  <c r="C45" i="11" s="1"/>
  <c r="C49" i="11" s="1"/>
  <c r="C51" i="11" s="1"/>
  <c r="C52" i="11" s="1"/>
  <c r="B2" i="11" s="1"/>
  <c r="B3" i="11" s="1"/>
  <c r="J70" i="39"/>
  <c r="AB11" i="34" l="1"/>
  <c r="T49" i="34" s="1"/>
  <c r="G49" i="34" s="1"/>
  <c r="G53" i="34" s="1"/>
  <c r="H53" i="34" s="1"/>
  <c r="U11" i="34"/>
  <c r="W11" i="34"/>
  <c r="AC11" i="34"/>
  <c r="V49" i="34" s="1"/>
  <c r="I49" i="34" s="1"/>
  <c r="S11" i="34"/>
  <c r="AA11" i="34"/>
  <c r="R49" i="34" s="1"/>
  <c r="C41" i="68"/>
  <c r="C46" i="68"/>
  <c r="C45" i="68" s="1"/>
  <c r="K63" i="40"/>
  <c r="J65" i="40"/>
  <c r="K70" i="39"/>
  <c r="C56" i="11"/>
  <c r="C57" i="11" s="1"/>
  <c r="E49" i="34" l="1"/>
  <c r="R50" i="34"/>
  <c r="I53" i="34"/>
  <c r="J53" i="34" s="1"/>
  <c r="G54" i="34"/>
  <c r="H54" i="34" s="1"/>
  <c r="I54" i="34"/>
  <c r="J54" i="34" s="1"/>
  <c r="C49" i="68"/>
  <c r="C51" i="68" s="1"/>
  <c r="C52" i="68" s="1"/>
  <c r="C57" i="68" s="1"/>
  <c r="C56" i="68" s="1"/>
  <c r="L63" i="40"/>
  <c r="K65" i="40"/>
  <c r="L70" i="39"/>
  <c r="E2" i="70"/>
  <c r="C34" i="69"/>
  <c r="C17" i="67"/>
  <c r="C49" i="34" l="1"/>
  <c r="C50" i="34"/>
  <c r="E53" i="34"/>
  <c r="F53" i="34" s="1"/>
  <c r="E54" i="34"/>
  <c r="F54" i="34"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15"/>
  <c r="M27" i="15"/>
  <c r="L51" i="15"/>
  <c r="F41" i="67"/>
  <c r="M27" i="67"/>
  <c r="Q67" i="15" l="1"/>
  <c r="L57" i="15"/>
  <c r="L60" i="15" s="1"/>
  <c r="Q57" i="15" s="1"/>
  <c r="J26" i="15"/>
  <c r="J29" i="15" s="1"/>
  <c r="J26" i="67"/>
  <c r="J29" i="67" s="1"/>
  <c r="C58" i="15"/>
  <c r="C67" i="15" s="1"/>
  <c r="F69" i="15"/>
  <c r="C40" i="15"/>
  <c r="C43" i="15" s="1"/>
  <c r="L46" i="15"/>
  <c r="F69" i="67"/>
  <c r="C68" i="67" s="1"/>
  <c r="C71" i="67" s="1"/>
  <c r="C40" i="67"/>
  <c r="C83" i="67" s="1"/>
  <c r="C82" i="67" s="1"/>
  <c r="Q66" i="15" l="1"/>
  <c r="C68" i="15"/>
  <c r="C71" i="15" s="1"/>
  <c r="C83" i="15"/>
  <c r="C82" i="15" s="1"/>
  <c r="Q65" i="15"/>
  <c r="Q47" i="15"/>
  <c r="Q53" i="15" s="1"/>
  <c r="Q56" i="15"/>
  <c r="Q62" i="15" s="1"/>
  <c r="B2" i="15"/>
  <c r="B3" i="15" s="1"/>
  <c r="C43" i="67"/>
  <c r="C45" i="67"/>
  <c r="C46" i="67" s="1"/>
  <c r="Q65" i="67"/>
  <c r="Q75" i="67" s="1"/>
  <c r="Q56" i="67"/>
  <c r="Q62" i="67" s="1"/>
  <c r="Q47" i="67"/>
  <c r="Q53" i="67" s="1"/>
  <c r="D2" i="67"/>
  <c r="B2" i="67" s="1"/>
  <c r="E2" i="69"/>
  <c r="AO8" i="1"/>
  <c r="AO7" i="1"/>
  <c r="AO6" i="1"/>
  <c r="Q75" i="15" l="1"/>
  <c r="B8" i="70"/>
  <c r="B7" i="70"/>
  <c r="B6" i="70"/>
  <c r="C46" i="15"/>
  <c r="B2" i="69"/>
  <c r="B3" i="69" s="1"/>
  <c r="B2" i="68"/>
  <c r="B3" i="67"/>
  <c r="D2" i="34"/>
  <c r="D2" i="37"/>
  <c r="E2" i="68"/>
  <c r="D2" i="35"/>
  <c r="D2" i="36"/>
  <c r="F20" i="31"/>
  <c r="D2" i="33"/>
  <c r="D2" i="21"/>
  <c r="B2" i="36" l="1"/>
  <c r="B3" i="36" s="1"/>
  <c r="B2" i="35"/>
  <c r="B3" i="35" s="1"/>
  <c r="B2" i="37"/>
  <c r="B3" i="37" s="1"/>
  <c r="B2" i="34"/>
  <c r="B2" i="21"/>
  <c r="B3" i="21" s="1"/>
  <c r="B2" i="70"/>
  <c r="B3" i="70" s="1"/>
  <c r="B3" i="68"/>
  <c r="D20" i="9"/>
  <c r="D19" i="9"/>
  <c r="C19" i="9"/>
  <c r="C21" i="9" l="1"/>
  <c r="C102" i="9"/>
  <c r="B3" i="34"/>
  <c r="G19" i="9"/>
  <c r="D102" i="9"/>
  <c r="D22" i="9"/>
  <c r="D21" i="9"/>
  <c r="D103" i="9"/>
  <c r="C20" i="9"/>
  <c r="C103" i="9" l="1"/>
  <c r="G20" i="9"/>
  <c r="R24" i="31" s="1"/>
  <c r="C32" i="9"/>
  <c r="G21" i="9"/>
  <c r="D34" i="9"/>
  <c r="R526" i="31" l="1"/>
  <c r="S526" i="31" s="1"/>
  <c r="R528" i="31"/>
  <c r="S528" i="31" s="1"/>
  <c r="R530" i="31"/>
  <c r="S530"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25" i="31"/>
  <c r="S525" i="31" s="1"/>
  <c r="R527" i="31"/>
  <c r="S527" i="31" s="1"/>
  <c r="R529" i="31"/>
  <c r="S529"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S24" i="31"/>
  <c r="R524" i="31"/>
  <c r="S524" i="31" s="1"/>
  <c r="R520" i="31"/>
  <c r="S520" i="31" s="1"/>
  <c r="R516" i="31"/>
  <c r="S516" i="31" s="1"/>
  <c r="R512" i="31"/>
  <c r="S512" i="31" s="1"/>
  <c r="R508" i="31"/>
  <c r="S508" i="31" s="1"/>
  <c r="R504" i="31"/>
  <c r="S504" i="31" s="1"/>
  <c r="R500" i="31"/>
  <c r="S500" i="31" s="1"/>
  <c r="R496" i="31"/>
  <c r="S496" i="31" s="1"/>
  <c r="R492" i="31"/>
  <c r="S492" i="31" s="1"/>
  <c r="R488" i="31"/>
  <c r="S488" i="31" s="1"/>
  <c r="R484" i="31"/>
  <c r="S484" i="31" s="1"/>
  <c r="R480" i="31"/>
  <c r="S480" i="31" s="1"/>
  <c r="R476" i="31"/>
  <c r="S476" i="31" s="1"/>
  <c r="R472" i="31"/>
  <c r="S472" i="31" s="1"/>
  <c r="R468" i="31"/>
  <c r="S468" i="31" s="1"/>
  <c r="R464" i="31"/>
  <c r="S464" i="31" s="1"/>
  <c r="R460" i="31"/>
  <c r="S460" i="31" s="1"/>
  <c r="R456" i="31"/>
  <c r="S456" i="31" s="1"/>
  <c r="R452" i="31"/>
  <c r="S452" i="31" s="1"/>
  <c r="R448" i="31"/>
  <c r="S448" i="31" s="1"/>
  <c r="R444" i="31"/>
  <c r="S444" i="31" s="1"/>
  <c r="R440" i="31"/>
  <c r="S440" i="31" s="1"/>
  <c r="R436" i="31"/>
  <c r="S436" i="31" s="1"/>
  <c r="R432" i="31"/>
  <c r="S432" i="31" s="1"/>
  <c r="R428" i="31"/>
  <c r="S428" i="31" s="1"/>
  <c r="R424" i="31"/>
  <c r="S424" i="31" s="1"/>
  <c r="R420" i="31"/>
  <c r="S420" i="31" s="1"/>
  <c r="R416" i="31"/>
  <c r="S416" i="31" s="1"/>
  <c r="R412" i="31"/>
  <c r="S412" i="31" s="1"/>
  <c r="R408" i="31"/>
  <c r="S408" i="31" s="1"/>
  <c r="R404" i="31"/>
  <c r="S404" i="31" s="1"/>
  <c r="R400" i="31"/>
  <c r="S400" i="31" s="1"/>
  <c r="R396" i="31"/>
  <c r="S396" i="31" s="1"/>
  <c r="R392" i="31"/>
  <c r="S392" i="31" s="1"/>
  <c r="R388" i="31"/>
  <c r="S388" i="31" s="1"/>
  <c r="R384" i="31"/>
  <c r="S384" i="31" s="1"/>
  <c r="R380" i="31"/>
  <c r="S380" i="31" s="1"/>
  <c r="R376" i="31"/>
  <c r="S376" i="31" s="1"/>
  <c r="R372" i="31"/>
  <c r="S372" i="31" s="1"/>
  <c r="R368" i="31"/>
  <c r="S368" i="31" s="1"/>
  <c r="R523" i="31"/>
  <c r="S523" i="31" s="1"/>
  <c r="R519" i="31"/>
  <c r="S519" i="31" s="1"/>
  <c r="R515" i="31"/>
  <c r="S515" i="31" s="1"/>
  <c r="R511" i="31"/>
  <c r="S511" i="31" s="1"/>
  <c r="R507" i="31"/>
  <c r="S507" i="31" s="1"/>
  <c r="R503" i="31"/>
  <c r="S503" i="31" s="1"/>
  <c r="R499" i="31"/>
  <c r="S499" i="31" s="1"/>
  <c r="R495" i="31"/>
  <c r="S495" i="31" s="1"/>
  <c r="R491" i="31"/>
  <c r="S491" i="31" s="1"/>
  <c r="R487" i="31"/>
  <c r="S487" i="31" s="1"/>
  <c r="R483" i="31"/>
  <c r="S483" i="31" s="1"/>
  <c r="R479" i="31"/>
  <c r="S479" i="31" s="1"/>
  <c r="R475" i="31"/>
  <c r="S475" i="31" s="1"/>
  <c r="R471" i="31"/>
  <c r="S471" i="31" s="1"/>
  <c r="R467" i="31"/>
  <c r="S467" i="31" s="1"/>
  <c r="R463" i="31"/>
  <c r="S463" i="31" s="1"/>
  <c r="R459" i="31"/>
  <c r="S459" i="31" s="1"/>
  <c r="R455" i="31"/>
  <c r="S455" i="31" s="1"/>
  <c r="R451" i="31"/>
  <c r="S451" i="31" s="1"/>
  <c r="R447" i="31"/>
  <c r="S447" i="31" s="1"/>
  <c r="R443" i="31"/>
  <c r="S443" i="31" s="1"/>
  <c r="R439" i="31"/>
  <c r="S439" i="31" s="1"/>
  <c r="R435" i="31"/>
  <c r="S435" i="31" s="1"/>
  <c r="R431" i="31"/>
  <c r="S431" i="31" s="1"/>
  <c r="R427" i="31"/>
  <c r="S427" i="31" s="1"/>
  <c r="R423" i="31"/>
  <c r="S423" i="31" s="1"/>
  <c r="R522" i="31"/>
  <c r="S522" i="31" s="1"/>
  <c r="R518" i="31"/>
  <c r="S518" i="31" s="1"/>
  <c r="R514" i="31"/>
  <c r="S514" i="31" s="1"/>
  <c r="R510" i="31"/>
  <c r="S510" i="31" s="1"/>
  <c r="R506" i="31"/>
  <c r="S506" i="31" s="1"/>
  <c r="R502" i="31"/>
  <c r="S502" i="31" s="1"/>
  <c r="R498" i="31"/>
  <c r="S498" i="31" s="1"/>
  <c r="R494" i="31"/>
  <c r="S494" i="31" s="1"/>
  <c r="R490" i="31"/>
  <c r="S490" i="31" s="1"/>
  <c r="R486" i="31"/>
  <c r="S486" i="31" s="1"/>
  <c r="R482" i="31"/>
  <c r="S482" i="31" s="1"/>
  <c r="R478" i="31"/>
  <c r="S478" i="31" s="1"/>
  <c r="R474" i="31"/>
  <c r="S474" i="31" s="1"/>
  <c r="R470" i="31"/>
  <c r="S470" i="31" s="1"/>
  <c r="R466" i="31"/>
  <c r="S466" i="31" s="1"/>
  <c r="R462" i="31"/>
  <c r="S462" i="31" s="1"/>
  <c r="R458" i="31"/>
  <c r="S458" i="31" s="1"/>
  <c r="R454" i="31"/>
  <c r="S454" i="31" s="1"/>
  <c r="R450" i="31"/>
  <c r="S450" i="31" s="1"/>
  <c r="R446" i="31"/>
  <c r="S446" i="31" s="1"/>
  <c r="R442" i="31"/>
  <c r="S442" i="31" s="1"/>
  <c r="R438" i="31"/>
  <c r="S438" i="31" s="1"/>
  <c r="R434" i="31"/>
  <c r="S434" i="31" s="1"/>
  <c r="R430" i="31"/>
  <c r="S430" i="31" s="1"/>
  <c r="R426" i="31"/>
  <c r="S426" i="31" s="1"/>
  <c r="R422" i="31"/>
  <c r="S422" i="31" s="1"/>
  <c r="R418" i="31"/>
  <c r="S418" i="31" s="1"/>
  <c r="R414" i="31"/>
  <c r="S414" i="31" s="1"/>
  <c r="R410" i="31"/>
  <c r="S410" i="31" s="1"/>
  <c r="R406" i="31"/>
  <c r="S406" i="31" s="1"/>
  <c r="R402" i="31"/>
  <c r="S402" i="31" s="1"/>
  <c r="R398" i="31"/>
  <c r="S398" i="31" s="1"/>
  <c r="R394" i="31"/>
  <c r="S394" i="31" s="1"/>
  <c r="R390" i="31"/>
  <c r="S390" i="31" s="1"/>
  <c r="R386" i="31"/>
  <c r="S386" i="31" s="1"/>
  <c r="R382" i="31"/>
  <c r="S382" i="31" s="1"/>
  <c r="R378" i="31"/>
  <c r="S378" i="31" s="1"/>
  <c r="R374" i="31"/>
  <c r="S374" i="31" s="1"/>
  <c r="R370" i="31"/>
  <c r="S370" i="31" s="1"/>
  <c r="R366" i="31"/>
  <c r="S366" i="31" s="1"/>
  <c r="R521" i="31"/>
  <c r="S521" i="31" s="1"/>
  <c r="R517" i="31"/>
  <c r="S517" i="31" s="1"/>
  <c r="R513" i="31"/>
  <c r="S513" i="31" s="1"/>
  <c r="R509" i="31"/>
  <c r="S509" i="31" s="1"/>
  <c r="R505" i="31"/>
  <c r="S505" i="31" s="1"/>
  <c r="R501" i="31"/>
  <c r="S501" i="31" s="1"/>
  <c r="R497" i="31"/>
  <c r="S497" i="31" s="1"/>
  <c r="R493" i="31"/>
  <c r="S493" i="31" s="1"/>
  <c r="R489" i="31"/>
  <c r="S489" i="31" s="1"/>
  <c r="R485" i="31"/>
  <c r="S485" i="31" s="1"/>
  <c r="R481" i="31"/>
  <c r="S481" i="31" s="1"/>
  <c r="R477" i="31"/>
  <c r="S477" i="31" s="1"/>
  <c r="R473" i="31"/>
  <c r="S473" i="31" s="1"/>
  <c r="R469" i="31"/>
  <c r="S469" i="31" s="1"/>
  <c r="R465" i="31"/>
  <c r="S465" i="31" s="1"/>
  <c r="R461" i="31"/>
  <c r="S461" i="31" s="1"/>
  <c r="R457" i="31"/>
  <c r="S457" i="31" s="1"/>
  <c r="R453" i="31"/>
  <c r="S453" i="31" s="1"/>
  <c r="R449" i="31"/>
  <c r="S449" i="31" s="1"/>
  <c r="R445" i="31"/>
  <c r="S445" i="31" s="1"/>
  <c r="R441" i="31"/>
  <c r="S441" i="31" s="1"/>
  <c r="R437" i="31"/>
  <c r="S437" i="31" s="1"/>
  <c r="R433" i="31"/>
  <c r="S433" i="31" s="1"/>
  <c r="R429" i="31"/>
  <c r="S429" i="31" s="1"/>
  <c r="R425" i="31"/>
  <c r="S425" i="31" s="1"/>
  <c r="R421" i="31"/>
  <c r="S421" i="31" s="1"/>
  <c r="R417" i="31"/>
  <c r="S417" i="31" s="1"/>
  <c r="R413" i="31"/>
  <c r="S413" i="31" s="1"/>
  <c r="R409" i="31"/>
  <c r="S409" i="31" s="1"/>
  <c r="R405" i="31"/>
  <c r="S405" i="31" s="1"/>
  <c r="R401" i="31"/>
  <c r="S401" i="31" s="1"/>
  <c r="R397" i="31"/>
  <c r="S397" i="31" s="1"/>
  <c r="R393" i="31"/>
  <c r="S393" i="31" s="1"/>
  <c r="R389" i="31"/>
  <c r="S389" i="31" s="1"/>
  <c r="R385" i="31"/>
  <c r="S385" i="31" s="1"/>
  <c r="R381" i="31"/>
  <c r="S381" i="31" s="1"/>
  <c r="R377" i="31"/>
  <c r="S377" i="31" s="1"/>
  <c r="R373" i="31"/>
  <c r="S373" i="31" s="1"/>
  <c r="R369" i="31"/>
  <c r="S369" i="31" s="1"/>
  <c r="R365" i="31"/>
  <c r="S365" i="31" s="1"/>
  <c r="R362" i="31"/>
  <c r="S362" i="31" s="1"/>
  <c r="R358" i="31"/>
  <c r="S358" i="31" s="1"/>
  <c r="R354" i="31"/>
  <c r="S354" i="31" s="1"/>
  <c r="R350" i="31"/>
  <c r="S350" i="31" s="1"/>
  <c r="R346" i="31"/>
  <c r="S346" i="31" s="1"/>
  <c r="R419" i="31"/>
  <c r="S419" i="31" s="1"/>
  <c r="R411" i="31"/>
  <c r="S411" i="31" s="1"/>
  <c r="R403" i="31"/>
  <c r="S403" i="31" s="1"/>
  <c r="R395" i="31"/>
  <c r="S395" i="31" s="1"/>
  <c r="R387" i="31"/>
  <c r="S387" i="31" s="1"/>
  <c r="R379" i="31"/>
  <c r="S379" i="31" s="1"/>
  <c r="R371" i="31"/>
  <c r="S371" i="31" s="1"/>
  <c r="R364" i="31"/>
  <c r="S364" i="31" s="1"/>
  <c r="R356" i="31"/>
  <c r="S356" i="31" s="1"/>
  <c r="R348" i="31"/>
  <c r="S348" i="31" s="1"/>
  <c r="R342" i="31"/>
  <c r="S342" i="31" s="1"/>
  <c r="R338" i="31"/>
  <c r="S338" i="31" s="1"/>
  <c r="R334" i="31"/>
  <c r="S334" i="31" s="1"/>
  <c r="R330" i="31"/>
  <c r="S330" i="31" s="1"/>
  <c r="R326" i="31"/>
  <c r="S326" i="31" s="1"/>
  <c r="R322" i="31"/>
  <c r="S322" i="31" s="1"/>
  <c r="R318" i="31"/>
  <c r="S318" i="31" s="1"/>
  <c r="R314" i="31"/>
  <c r="S314" i="31" s="1"/>
  <c r="R310" i="31"/>
  <c r="S310"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363" i="31"/>
  <c r="S363" i="31" s="1"/>
  <c r="R359" i="31"/>
  <c r="S359" i="31" s="1"/>
  <c r="R355" i="31"/>
  <c r="S355" i="31" s="1"/>
  <c r="R351" i="31"/>
  <c r="S351" i="31" s="1"/>
  <c r="R347" i="31"/>
  <c r="S347" i="31" s="1"/>
  <c r="R343" i="31"/>
  <c r="S343" i="31" s="1"/>
  <c r="R339" i="31"/>
  <c r="S339" i="31" s="1"/>
  <c r="R335" i="31"/>
  <c r="S335" i="31" s="1"/>
  <c r="R331" i="31"/>
  <c r="S331" i="31" s="1"/>
  <c r="R327" i="31"/>
  <c r="S327" i="31" s="1"/>
  <c r="R323" i="31"/>
  <c r="S323" i="31" s="1"/>
  <c r="R319" i="31"/>
  <c r="S319" i="31" s="1"/>
  <c r="R315" i="31"/>
  <c r="S315" i="31" s="1"/>
  <c r="R311" i="31"/>
  <c r="S311" i="31" s="1"/>
  <c r="R307" i="31"/>
  <c r="S307" i="31" s="1"/>
  <c r="R303" i="31"/>
  <c r="S303" i="31" s="1"/>
  <c r="R299" i="31"/>
  <c r="S299" i="31" s="1"/>
  <c r="R295" i="31"/>
  <c r="S295" i="31" s="1"/>
  <c r="R291" i="31"/>
  <c r="S291" i="31" s="1"/>
  <c r="R287" i="31"/>
  <c r="S287" i="31" s="1"/>
  <c r="R283" i="31"/>
  <c r="S283" i="31" s="1"/>
  <c r="R279" i="31"/>
  <c r="S279" i="31" s="1"/>
  <c r="R275" i="31"/>
  <c r="S275" i="31" s="1"/>
  <c r="R271" i="31"/>
  <c r="S271" i="31" s="1"/>
  <c r="R267" i="31"/>
  <c r="S267" i="31" s="1"/>
  <c r="R263" i="31"/>
  <c r="S263" i="31" s="1"/>
  <c r="R259" i="31"/>
  <c r="S259" i="31" s="1"/>
  <c r="R255" i="31"/>
  <c r="S255"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415" i="31"/>
  <c r="S415" i="31" s="1"/>
  <c r="R407" i="31"/>
  <c r="S407" i="31" s="1"/>
  <c r="R399" i="31"/>
  <c r="S399" i="31" s="1"/>
  <c r="R391" i="31"/>
  <c r="S391" i="31" s="1"/>
  <c r="R383" i="31"/>
  <c r="S383" i="31" s="1"/>
  <c r="R375" i="31"/>
  <c r="S375" i="31" s="1"/>
  <c r="R367" i="31"/>
  <c r="S367" i="31" s="1"/>
  <c r="R360" i="31"/>
  <c r="S360" i="31" s="1"/>
  <c r="R352" i="31"/>
  <c r="S352" i="31" s="1"/>
  <c r="R344" i="31"/>
  <c r="S344" i="31" s="1"/>
  <c r="R340" i="31"/>
  <c r="S340" i="31" s="1"/>
  <c r="R336" i="31"/>
  <c r="S336" i="31" s="1"/>
  <c r="R332" i="31"/>
  <c r="S332" i="31" s="1"/>
  <c r="R328" i="31"/>
  <c r="S328" i="31" s="1"/>
  <c r="R324" i="31"/>
  <c r="S324" i="31" s="1"/>
  <c r="R320" i="31"/>
  <c r="S320" i="31" s="1"/>
  <c r="R316" i="31"/>
  <c r="S316" i="31" s="1"/>
  <c r="R312" i="31"/>
  <c r="S312" i="31" s="1"/>
  <c r="R308" i="31"/>
  <c r="S308" i="31" s="1"/>
  <c r="R304" i="31"/>
  <c r="S304" i="31" s="1"/>
  <c r="R300" i="31"/>
  <c r="S300" i="31" s="1"/>
  <c r="R296" i="31"/>
  <c r="S296" i="31" s="1"/>
  <c r="R292" i="31"/>
  <c r="S292" i="31" s="1"/>
  <c r="R288" i="31"/>
  <c r="S288" i="31" s="1"/>
  <c r="R284" i="31"/>
  <c r="S284" i="31" s="1"/>
  <c r="R280" i="31"/>
  <c r="S280" i="31" s="1"/>
  <c r="R276" i="31"/>
  <c r="S276" i="31" s="1"/>
  <c r="R272" i="31"/>
  <c r="S272" i="31" s="1"/>
  <c r="R268" i="31"/>
  <c r="S268" i="31" s="1"/>
  <c r="R264" i="31"/>
  <c r="S264" i="31" s="1"/>
  <c r="R260" i="31"/>
  <c r="S260" i="31" s="1"/>
  <c r="R256" i="31"/>
  <c r="S256"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361" i="31"/>
  <c r="S361" i="31" s="1"/>
  <c r="R357" i="31"/>
  <c r="S357" i="31" s="1"/>
  <c r="R353" i="31"/>
  <c r="S353" i="31" s="1"/>
  <c r="R349" i="31"/>
  <c r="S349" i="31" s="1"/>
  <c r="R345" i="31"/>
  <c r="S345" i="31" s="1"/>
  <c r="R341" i="31"/>
  <c r="S341" i="31" s="1"/>
  <c r="R337" i="31"/>
  <c r="S337" i="31" s="1"/>
  <c r="R333" i="31"/>
  <c r="S333" i="31" s="1"/>
  <c r="R329" i="31"/>
  <c r="S329" i="31" s="1"/>
  <c r="R325" i="31"/>
  <c r="S325" i="31" s="1"/>
  <c r="R321" i="31"/>
  <c r="S321" i="31" s="1"/>
  <c r="R317" i="31"/>
  <c r="S317" i="31" s="1"/>
  <c r="R313" i="31"/>
  <c r="S313" i="31" s="1"/>
  <c r="R309" i="31"/>
  <c r="S309"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1" i="31"/>
  <c r="S201" i="31" s="1"/>
  <c r="R197" i="31"/>
  <c r="S197" i="31" s="1"/>
  <c r="R194" i="31"/>
  <c r="S194" i="31" s="1"/>
  <c r="R190" i="31"/>
  <c r="S190" i="31" s="1"/>
  <c r="R186" i="31"/>
  <c r="S186" i="31" s="1"/>
  <c r="R182" i="31"/>
  <c r="S182" i="31" s="1"/>
  <c r="R178" i="31"/>
  <c r="S178" i="31" s="1"/>
  <c r="R174" i="31"/>
  <c r="S174" i="31" s="1"/>
  <c r="R170" i="31"/>
  <c r="S170" i="31" s="1"/>
  <c r="R166" i="31"/>
  <c r="S166" i="31" s="1"/>
  <c r="R211" i="31"/>
  <c r="S211" i="31" s="1"/>
  <c r="R203" i="31"/>
  <c r="S203" i="31" s="1"/>
  <c r="R195" i="31"/>
  <c r="S195" i="31" s="1"/>
  <c r="R188" i="31"/>
  <c r="S188" i="31" s="1"/>
  <c r="R180" i="31"/>
  <c r="S180" i="31" s="1"/>
  <c r="R172" i="31"/>
  <c r="S172"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207" i="31"/>
  <c r="S207" i="31" s="1"/>
  <c r="R199" i="31"/>
  <c r="S199" i="31" s="1"/>
  <c r="R192" i="31"/>
  <c r="S192" i="31" s="1"/>
  <c r="R184" i="31"/>
  <c r="S184" i="31" s="1"/>
  <c r="R176" i="31"/>
  <c r="S176" i="31" s="1"/>
  <c r="R168" i="31"/>
  <c r="S168"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H109" i="9"/>
  <c r="M49" i="9" s="1"/>
  <c r="L68" i="9" s="1"/>
  <c r="M68" i="9" s="1"/>
  <c r="S22" i="31" l="1"/>
  <c r="L65" i="9"/>
  <c r="M65" i="9" s="1"/>
  <c r="L66" i="9"/>
  <c r="M66" i="9" s="1"/>
  <c r="L64" i="9"/>
  <c r="M64" i="9" s="1"/>
  <c r="L63" i="9"/>
  <c r="M63" i="9" s="1"/>
  <c r="L67" i="9"/>
  <c r="M67" i="9" s="1"/>
  <c r="H110" i="9"/>
  <c r="D18" i="53" s="1"/>
  <c r="B35" i="72" s="1"/>
  <c r="D124" i="9"/>
  <c r="D16" i="53"/>
  <c r="B34" i="72" s="1"/>
  <c r="R22" i="31" l="1"/>
  <c r="B21" i="31" s="1"/>
  <c r="B20" i="31"/>
  <c r="M69" i="9"/>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D15" i="74" s="1"/>
  <c r="H4" i="52"/>
  <c r="D4" i="52"/>
  <c r="B47" i="72" s="1"/>
  <c r="H107" i="9"/>
  <c r="F15" i="74" l="1"/>
  <c r="E15" i="74"/>
  <c r="D45" i="9"/>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<sst xmlns="http://schemas.openxmlformats.org/spreadsheetml/2006/main" count="10192" uniqueCount="3727">
  <si>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</si>
  <si>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</si>
  <si>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</si>
  <si>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</si>
  <si>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</si>
  <si>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</si>
  <si>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</si>
  <si>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</si>
  <si>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</si>
  <si>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</si>
  <si>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</si>
  <si>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</si>
  <si>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</si>
  <si>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</si>
  <si>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</si>
  <si>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</si>
  <si>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</si>
  <si>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</si>
  <si>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</si>
  <si>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</si>
  <si>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</si>
  <si>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</si>
  <si>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</si>
  <si>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</si>
  <si>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</si>
  <si>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</si>
  <si>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</si>
  <si>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</si>
  <si>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</si>
  <si>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</si>
  <si>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</si>
  <si>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</si>
  <si>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</si>
  <si>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</si>
  <si>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</si>
  <si>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</si>
  <si>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</si>
  <si>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</si>
  <si>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</si>
  <si>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</si>
  <si>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</si>
  <si>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</si>
  <si>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</si>
  <si>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</si>
  <si>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</si>
  <si>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</si>
  <si>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</si>
  <si>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</si>
  <si>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</si>
  <si>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</si>
  <si>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</si>
  <si>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</si>
  <si>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</si>
  <si>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</si>
  <si>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</si>
  <si>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</si>
  <si>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</si>
  <si>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</si>
  <si>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</si>
  <si>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</si>
  <si>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</si>
  <si>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</si>
  <si>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</si>
  <si>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</si>
  <si>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</si>
  <si>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</si>
  <si>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</si>
  <si>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</si>
  <si>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</si>
  <si>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</si>
  <si>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</si>
  <si>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</si>
  <si>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</si>
  <si>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</si>
  <si>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</si>
  <si>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</si>
  <si>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</si>
  <si>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</si>
  <si>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</si>
  <si>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</si>
  <si>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</si>
  <si>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</si>
  <si>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</si>
  <si>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</si>
  <si>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</si>
  <si>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</si>
  <si>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</si>
  <si>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</si>
  <si>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</si>
  <si>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</si>
  <si>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</si>
  <si>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</si>
  <si>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</si>
  <si>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</si>
  <si>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</si>
  <si>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</si>
  <si>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</si>
  <si>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</si>
  <si>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</si>
  <si>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</si>
  <si>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</si>
  <si>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</si>
  <si>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</si>
  <si>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</si>
  <si>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</si>
  <si>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</si>
  <si>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</si>
  <si>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</si>
  <si>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</si>
  <si>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</si>
  <si>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</si>
  <si>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</si>
  <si>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</si>
  <si>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</si>
  <si>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</si>
  <si>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</si>
  <si>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</si>
  <si>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</si>
  <si>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</si>
  <si>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</si>
  <si>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</si>
  <si>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</si>
  <si>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</si>
  <si>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</si>
  <si>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</si>
  <si>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</si>
  <si>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</si>
  <si>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</si>
  <si>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</si>
  <si>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</si>
  <si>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</si>
  <si>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</si>
  <si>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</si>
  <si>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</si>
  <si>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</si>
  <si>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</si>
  <si>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</si>
  <si>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</si>
  <si>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</si>
  <si>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</si>
  <si>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</si>
  <si>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</si>
  <si>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</si>
  <si>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</si>
  <si>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</si>
  <si>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</si>
  <si>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</si>
  <si>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</si>
  <si>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</si>
  <si>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</si>
  <si>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</si>
  <si>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</si>
  <si>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</si>
  <si>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</si>
  <si>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</si>
  <si>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</si>
  <si>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</si>
  <si>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</si>
  <si>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</si>
  <si>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</si>
  <si>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</si>
  <si>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</si>
  <si>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</si>
  <si>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</si>
  <si>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</si>
  <si>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</si>
  <si>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</si>
  <si>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</si>
  <si>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</si>
  <si>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</si>
  <si>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</si>
  <si>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</si>
  <si>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</si>
  <si>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</si>
  <si>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</si>
  <si>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</si>
  <si>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</si>
  <si>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</si>
  <si>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</si>
  <si>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</si>
  <si>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</si>
  <si>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</si>
  <si>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</si>
  <si>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</si>
  <si>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</si>
  <si>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</si>
  <si>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</si>
  <si>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</si>
  <si>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</si>
  <si>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</si>
  <si>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</si>
  <si>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</si>
  <si>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</si>
  <si>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</si>
  <si>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</si>
  <si>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</si>
  <si>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</si>
  <si>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</si>
  <si>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</si>
  <si>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</si>
  <si>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</si>
  <si>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</si>
  <si>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</si>
  <si>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</si>
  <si>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</si>
  <si>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</si>
  <si>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</si>
  <si>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</si>
  <si>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</si>
  <si>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</si>
  <si>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</si>
  <si>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</si>
  <si>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</si>
  <si>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</si>
  <si>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</si>
  <si>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</si>
  <si>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</si>
  <si>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</si>
  <si>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</si>
  <si>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</si>
  <si>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</si>
  <si>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</si>
  <si>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</si>
  <si>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</si>
  <si>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</si>
  <si>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</si>
  <si>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</si>
  <si>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</si>
  <si>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</si>
  <si>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</si>
  <si>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</si>
  <si>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</si>
  <si>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</si>
  <si>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</si>
  <si>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</si>
  <si>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</si>
  <si>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</si>
  <si>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</si>
  <si>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</si>
  <si>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</si>
  <si>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</si>
  <si>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</si>
  <si>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</si>
  <si>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</si>
  <si>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</si>
  <si>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</si>
  <si>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</si>
  <si>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</si>
  <si>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</si>
  <si>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</si>
  <si>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</si>
  <si>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</si>
  <si>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</si>
  <si>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</si>
  <si>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</si>
  <si>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</si>
  <si>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</si>
  <si>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</si>
  <si>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</si>
  <si>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</si>
  <si>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</si>
  <si>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</si>
  <si>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</si>
  <si>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</si>
  <si>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</si>
  <si>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</si>
  <si>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</si>
  <si>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</si>
  <si>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</si>
  <si>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</si>
  <si>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</si>
  <si>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</si>
  <si>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</si>
  <si>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</si>
  <si>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</si>
  <si>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</si>
  <si>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</si>
  <si>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</si>
  <si>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</si>
  <si>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</si>
  <si>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</si>
  <si>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</si>
  <si>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</si>
  <si>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</si>
  <si>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</si>
  <si>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</si>
  <si>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</si>
  <si>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</si>
  <si>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</si>
  <si>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</si>
  <si>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</si>
  <si>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</si>
  <si>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</si>
  <si>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</si>
  <si>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</si>
  <si>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</si>
  <si>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</si>
  <si>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</si>
  <si>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</si>
  <si>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</si>
  <si>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</si>
  <si>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</si>
  <si>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</si>
  <si>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</si>
  <si>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</si>
  <si>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</si>
  <si>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</si>
  <si>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</si>
  <si>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</si>
  <si>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</si>
  <si>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</si>
  <si>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</si>
  <si>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</si>
  <si>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</si>
  <si>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</si>
  <si>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</si>
  <si>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</si>
  <si>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</si>
  <si>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</si>
  <si>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</si>
  <si>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</si>
  <si>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</si>
  <si>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</si>
  <si>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</si>
  <si>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</si>
  <si>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</si>
  <si>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</si>
  <si>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</si>
  <si>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</si>
  <si>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</si>
  <si>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</si>
  <si>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</si>
  <si>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</si>
  <si>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</si>
  <si>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</si>
  <si>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</si>
  <si>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</si>
  <si>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</si>
  <si>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</si>
  <si>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</si>
  <si>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</si>
  <si>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</si>
  <si>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</si>
  <si>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</si>
  <si>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</si>
  <si>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</si>
  <si>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</si>
  <si>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</si>
  <si>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</si>
  <si>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</si>
  <si>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</si>
  <si>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</si>
  <si>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</si>
  <si>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</si>
  <si>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</si>
  <si>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</si>
  <si>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</si>
  <si>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</si>
  <si>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</si>
  <si>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</si>
  <si>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</si>
  <si>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</si>
  <si>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</si>
  <si>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</si>
  <si>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</si>
  <si>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</si>
  <si>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</si>
  <si>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</si>
  <si>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</si>
  <si>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</si>
  <si>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</si>
  <si>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</si>
  <si>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</si>
  <si>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</si>
  <si>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</si>
  <si>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</si>
  <si>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</si>
  <si>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</si>
  <si>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</si>
  <si>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</si>
  <si>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</si>
  <si>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</si>
  <si>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</si>
  <si>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</si>
  <si>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</si>
  <si>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</si>
  <si>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</si>
  <si>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</si>
  <si>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</si>
  <si>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</si>
  <si>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</si>
  <si>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</si>
  <si>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</si>
  <si>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</si>
  <si>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</si>
  <si>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</si>
  <si>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</si>
  <si>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</si>
  <si>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</si>
  <si>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</si>
  <si>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</si>
  <si>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</si>
  <si>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</si>
  <si>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</si>
  <si>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</si>
  <si>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</si>
  <si>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</si>
  <si>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</si>
  <si>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</si>
  <si>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</si>
  <si>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</si>
  <si>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</si>
  <si>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</si>
  <si>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</si>
  <si>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</si>
  <si>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</si>
  <si>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</si>
  <si>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</si>
  <si>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</si>
  <si>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</si>
  <si>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</si>
  <si>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</si>
  <si>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</si>
  <si>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</si>
  <si>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</si>
  <si>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</si>
  <si>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</si>
  <si>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</si>
  <si>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</si>
  <si>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</si>
  <si>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</si>
  <si>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</si>
  <si>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</si>
  <si>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</si>
  <si>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</si>
  <si>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</si>
  <si>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</si>
  <si>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</si>
  <si>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</si>
  <si>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</si>
  <si>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</si>
  <si>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</si>
  <si>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</si>
  <si>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</si>
  <si>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</si>
  <si>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</si>
  <si>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</si>
  <si>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</si>
  <si>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</si>
  <si>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</si>
  <si>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</si>
  <si>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</si>
  <si>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</si>
  <si>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</si>
  <si>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</si>
  <si>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</si>
  <si>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</si>
  <si>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</si>
  <si>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</si>
  <si>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</si>
  <si>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</si>
  <si>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</si>
  <si>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</si>
  <si>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</si>
  <si>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</si>
  <si>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</si>
  <si>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</si>
  <si>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</si>
  <si>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</si>
  <si>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</si>
  <si>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</si>
  <si>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</si>
  <si>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</si>
  <si>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</si>
  <si>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</si>
  <si>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</si>
  <si>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</si>
  <si>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</si>
  <si>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</si>
  <si>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</si>
  <si>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</si>
  <si>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</si>
  <si>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</si>
  <si>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</si>
  <si>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</si>
  <si>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</si>
  <si>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</si>
  <si>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</si>
  <si>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</si>
  <si>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</si>
  <si>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</si>
  <si>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</si>
  <si>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</si>
  <si>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</si>
  <si>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</si>
  <si>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</si>
  <si>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</si>
  <si>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</si>
  <si>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</si>
  <si>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</si>
  <si>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</si>
  <si>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</si>
  <si>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</si>
  <si>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</si>
  <si>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</si>
  <si>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</si>
  <si>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</si>
  <si>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</si>
  <si>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</si>
  <si>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</si>
  <si>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</si>
  <si>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</si>
  <si>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</si>
  <si>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</si>
  <si>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</si>
  <si>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</si>
  <si>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</si>
  <si>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</si>
  <si>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</si>
  <si>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</si>
  <si>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</si>
  <si>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</si>
  <si>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</si>
  <si>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</si>
  <si>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</si>
  <si>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</si>
  <si>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</si>
  <si>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</si>
  <si>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</si>
  <si>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</si>
  <si>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</si>
  <si>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</si>
  <si>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</si>
  <si>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</si>
  <si>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</si>
  <si>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</si>
  <si>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</si>
  <si>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</si>
  <si>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</si>
  <si>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</si>
  <si>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</si>
  <si>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</si>
  <si>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</si>
  <si>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</si>
  <si>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</si>
  <si>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</si>
  <si>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</si>
  <si>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</si>
  <si>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</si>
  <si>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</si>
  <si>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</si>
  <si>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</si>
  <si>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</si>
  <si>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</si>
  <si>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</si>
  <si>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</si>
  <si>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</si>
  <si>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</si>
  <si>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</si>
  <si>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</si>
  <si>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</si>
  <si>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</si>
  <si>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</si>
  <si>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</si>
  <si>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</si>
  <si>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</si>
  <si>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</si>
  <si>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</si>
  <si>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</si>
  <si>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</si>
  <si>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</si>
  <si>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</si>
  <si>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</si>
  <si>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</si>
  <si>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</si>
  <si>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</si>
  <si>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</si>
  <si>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</si>
  <si>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</si>
  <si>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</si>
  <si>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</si>
  <si>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</si>
  <si>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</si>
  <si>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</si>
  <si>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</si>
  <si>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</si>
  <si>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</si>
  <si>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</si>
  <si>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</si>
  <si>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</si>
  <si>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</si>
  <si>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</si>
  <si>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</si>
  <si>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</si>
  <si>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</si>
  <si>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</si>
  <si>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</si>
  <si>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</si>
  <si>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</si>
  <si>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</si>
  <si>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</si>
  <si>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</si>
  <si>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</si>
  <si>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</si>
  <si>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</si>
  <si>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</si>
  <si>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</si>
  <si>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</si>
  <si>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</si>
  <si>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</si>
  <si>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</si>
  <si>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</si>
  <si>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</si>
  <si>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</si>
  <si>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</si>
  <si>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</si>
  <si>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</si>
  <si>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</si>
  <si>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</si>
  <si>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</si>
  <si>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</si>
  <si>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</si>
  <si>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</si>
  <si>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</si>
  <si>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</si>
  <si>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</si>
  <si>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</si>
  <si>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</si>
  <si>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</si>
  <si>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</si>
  <si>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</si>
  <si>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</si>
  <si>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</si>
  <si>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</si>
  <si>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</si>
  <si>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</si>
  <si>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</si>
  <si>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</si>
  <si>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</si>
  <si>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</si>
  <si>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</si>
  <si>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</si>
  <si>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</si>
  <si>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</si>
  <si>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</si>
  <si>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</si>
  <si>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</si>
  <si>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</si>
  <si>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</si>
  <si>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</si>
  <si>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</si>
  <si>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</si>
  <si>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</si>
  <si>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</si>
  <si>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</si>
  <si>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</si>
  <si>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</si>
  <si>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</si>
  <si>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</si>
  <si>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</si>
  <si>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</si>
  <si>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</si>
  <si>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</si>
  <si>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</si>
  <si>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</si>
  <si>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</si>
  <si>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</si>
  <si>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</si>
  <si>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</si>
  <si>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</si>
  <si>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</si>
  <si>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</si>
  <si>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</si>
  <si>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</si>
  <si>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</si>
  <si>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</si>
  <si>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</si>
  <si>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</si>
  <si>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</si>
  <si>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</si>
  <si>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</si>
  <si>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</si>
  <si>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</si>
  <si>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</si>
  <si>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</si>
  <si>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</si>
  <si>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</si>
  <si>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</si>
  <si>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</si>
  <si>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</si>
  <si>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</si>
  <si>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</si>
  <si>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</si>
  <si>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</si>
  <si>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</si>
  <si>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</si>
  <si>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</si>
  <si>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</si>
  <si>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</si>
  <si>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</si>
  <si>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</si>
  <si>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</si>
  <si>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</si>
  <si>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</si>
  <si>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</si>
  <si>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</si>
  <si>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</si>
  <si>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</si>
  <si>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</si>
  <si>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</si>
  <si>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</si>
  <si>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</si>
  <si>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</si>
  <si>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</si>
  <si>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</si>
  <si>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</si>
  <si>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</si>
  <si>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</si>
  <si>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</si>
  <si>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</si>
  <si>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</si>
  <si>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</si>
  <si>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</si>
  <si>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</si>
  <si>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</si>
  <si>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</si>
  <si>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</si>
  <si>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</si>
  <si>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</si>
  <si>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</si>
  <si>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</si>
  <si>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</si>
  <si>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</si>
  <si>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</si>
  <si>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</si>
  <si>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</si>
  <si>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</si>
  <si>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</si>
  <si>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</si>
  <si>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</si>
  <si>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</si>
  <si>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</si>
  <si>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</si>
  <si>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</si>
  <si>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</si>
  <si>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</si>
  <si>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</si>
  <si>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</si>
  <si>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</si>
  <si>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</si>
  <si>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</si>
  <si>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</si>
  <si>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</si>
  <si>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</si>
  <si>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</si>
  <si>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</si>
  <si>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</si>
  <si>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</si>
  <si>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</si>
  <si>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</si>
  <si>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</si>
  <si>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</si>
  <si>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</si>
  <si>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</si>
  <si>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</si>
  <si>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</si>
  <si>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</si>
  <si>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</si>
  <si>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</si>
  <si>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</si>
  <si>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</si>
  <si>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</si>
  <si>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</si>
  <si>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</si>
  <si>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</si>
  <si>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</si>
  <si>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</si>
  <si>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</si>
  <si>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</si>
  <si>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</si>
  <si>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</si>
  <si>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</si>
  <si>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</si>
  <si>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</si>
  <si>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</si>
  <si>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</si>
  <si>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</si>
  <si>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</si>
  <si>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</si>
  <si>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</si>
  <si>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</si>
  <si>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</si>
  <si>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</si>
  <si>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</si>
  <si>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</si>
  <si>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</si>
  <si>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</si>
  <si>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</si>
  <si>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</si>
  <si>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</si>
  <si>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</si>
  <si>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</si>
  <si>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</si>
  <si>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</si>
  <si>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</si>
  <si>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</si>
  <si>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</si>
  <si>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</si>
  <si>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</si>
  <si>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</si>
  <si>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</si>
  <si>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</si>
  <si>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</si>
  <si>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</si>
  <si>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</si>
  <si>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</si>
  <si>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</si>
  <si>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</si>
  <si>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</si>
  <si>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</si>
  <si>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</si>
  <si>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</si>
  <si>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</si>
  <si>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</si>
  <si>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</si>
  <si>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</si>
  <si>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</si>
  <si>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</si>
  <si>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</si>
  <si>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</si>
  <si>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</si>
  <si>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</si>
  <si>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</si>
  <si>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</si>
  <si>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</si>
  <si>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</si>
  <si>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</si>
  <si>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</si>
  <si>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</si>
  <si>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</si>
  <si>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</si>
  <si>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</si>
  <si>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</si>
  <si>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</si>
  <si>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</si>
  <si>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</si>
  <si>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</si>
  <si>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</si>
  <si>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</si>
  <si>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</si>
  <si>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</si>
  <si>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</si>
  <si>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</si>
  <si>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</si>
  <si>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</si>
  <si>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</si>
  <si>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</si>
  <si>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</si>
  <si>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</si>
  <si>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</si>
  <si>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</si>
  <si>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</si>
  <si>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</si>
  <si>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</si>
  <si>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</si>
  <si>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</si>
  <si>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</si>
  <si>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</si>
  <si>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</si>
  <si>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</si>
  <si>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</si>
  <si>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</si>
  <si>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</si>
  <si>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</si>
  <si>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</si>
  <si>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</si>
  <si>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</si>
  <si>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</si>
  <si>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</si>
  <si>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</si>
  <si>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</si>
  <si>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</si>
  <si>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</si>
  <si>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</si>
  <si>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</si>
  <si>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</si>
  <si>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</si>
  <si>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</si>
  <si>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</si>
  <si>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</si>
  <si>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</si>
  <si>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</si>
  <si>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</si>
  <si>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</si>
  <si>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</si>
  <si>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</si>
  <si>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</si>
  <si>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</si>
  <si>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</si>
  <si>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</si>
  <si>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</si>
  <si>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</si>
  <si>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</si>
  <si>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</si>
  <si>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</si>
  <si>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</si>
  <si>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</si>
  <si>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</si>
  <si>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</si>
  <si>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</si>
  <si>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</si>
  <si>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</si>
  <si>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</si>
  <si>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</si>
  <si>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</si>
  <si>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</si>
  <si>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</si>
  <si>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</si>
  <si>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</si>
  <si>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</si>
  <si>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</si>
  <si>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</si>
  <si>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</si>
  <si>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</si>
  <si>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</si>
  <si>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</si>
  <si>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</si>
  <si>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</si>
  <si>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</si>
  <si>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</si>
  <si>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</si>
  <si>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</si>
  <si>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</si>
  <si>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</si>
  <si>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</si>
  <si>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</si>
  <si>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</si>
  <si>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</si>
  <si>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</si>
  <si>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</si>
  <si>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</si>
  <si>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</si>
  <si>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</si>
  <si>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</si>
  <si>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</si>
  <si>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</si>
  <si>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</si>
  <si>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</si>
  <si>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</si>
  <si>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</si>
  <si>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</si>
  <si>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</si>
  <si>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</si>
  <si>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</si>
  <si>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</si>
  <si>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</si>
  <si>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</si>
  <si>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</si>
  <si>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</si>
  <si>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</si>
  <si>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</si>
  <si>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</si>
  <si>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</si>
  <si>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</si>
  <si>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</si>
  <si>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</si>
  <si>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</si>
  <si>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</si>
  <si>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</si>
  <si>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</si>
  <si>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</si>
  <si>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</si>
  <si>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</si>
  <si>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</si>
  <si>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</si>
  <si>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</si>
  <si>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</si>
  <si>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</si>
  <si>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</si>
  <si>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</si>
  <si>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</si>
  <si>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</si>
  <si>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</si>
  <si>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</si>
  <si>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</si>
  <si>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</si>
  <si>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</si>
  <si>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</si>
  <si>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</si>
  <si>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</si>
  <si>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</si>
  <si>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</si>
  <si>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</si>
  <si>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</si>
  <si>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</si>
  <si>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</si>
  <si>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</si>
  <si>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</si>
  <si>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</si>
  <si>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</si>
  <si>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</si>
  <si>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</si>
  <si>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</si>
  <si>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</si>
  <si>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</si>
  <si>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</si>
  <si>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</si>
  <si>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</si>
  <si>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</si>
  <si>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</si>
  <si>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</si>
  <si>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</si>
  <si>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</si>
  <si>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</si>
  <si>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</si>
  <si>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</si>
  <si>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</si>
  <si>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</si>
  <si>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</si>
  <si>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</si>
  <si>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</si>
  <si>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</si>
  <si>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</si>
  <si>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</si>
  <si>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</si>
  <si>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</si>
  <si>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</si>
  <si>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</si>
  <si>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</si>
  <si>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</si>
  <si>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</si>
  <si>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</si>
  <si>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</si>
  <si>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</si>
  <si>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</si>
  <si>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</si>
  <si>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</si>
  <si>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</si>
  <si>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</si>
  <si>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</si>
  <si>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</si>
  <si>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</si>
  <si>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</si>
  <si>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</si>
  <si>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</si>
  <si>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</si>
  <si>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</si>
  <si>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</si>
  <si>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</si>
  <si>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</si>
  <si>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</si>
  <si>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</si>
  <si>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</si>
  <si>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</si>
  <si>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</si>
  <si>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</si>
  <si>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</si>
  <si>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</si>
  <si>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</si>
  <si>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</si>
  <si>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</si>
  <si>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</si>
  <si>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</si>
  <si>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</si>
  <si>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</si>
  <si>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</si>
  <si>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</si>
  <si>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</si>
  <si>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</si>
  <si>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</si>
  <si>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</si>
  <si>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</si>
  <si>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</si>
  <si>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</si>
  <si>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</si>
  <si>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</si>
  <si>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</si>
  <si>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</si>
  <si>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</si>
  <si>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</si>
  <si>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</si>
  <si>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</si>
  <si>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</si>
  <si>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</si>
  <si>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</si>
  <si>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</si>
  <si>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</si>
  <si>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</si>
  <si>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</si>
  <si>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</si>
  <si>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</si>
  <si>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</si>
  <si>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</si>
  <si>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</si>
  <si>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</si>
  <si>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</si>
  <si>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</si>
  <si>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</si>
  <si>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</si>
  <si>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</si>
  <si>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</si>
  <si>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</si>
  <si>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</si>
  <si>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</si>
  <si>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</si>
  <si>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</si>
  <si>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</si>
  <si>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</si>
  <si>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</si>
  <si>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</si>
  <si>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</si>
  <si>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</si>
  <si>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</si>
  <si>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</si>
  <si>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</si>
  <si>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</si>
  <si>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</si>
  <si>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</si>
  <si>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</si>
  <si>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</si>
  <si>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</si>
  <si>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</si>
  <si>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</si>
  <si>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</si>
  <si>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</si>
  <si>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</si>
  <si>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</si>
  <si>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</si>
  <si>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</si>
  <si>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</si>
  <si>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</si>
  <si>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</si>
  <si>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</si>
  <si>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</si>
  <si>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</si>
  <si>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</si>
  <si>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</si>
  <si>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</si>
  <si>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</si>
  <si>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</si>
  <si>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</si>
  <si>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</si>
  <si>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</si>
  <si>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</si>
  <si>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</si>
  <si>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</si>
  <si>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</si>
  <si>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</si>
  <si>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</si>
  <si>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</si>
  <si>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</si>
  <si>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</si>
  <si>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</si>
  <si>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</si>
  <si>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</si>
  <si>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</si>
  <si>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</si>
  <si>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</si>
  <si>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</si>
  <si>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</si>
  <si>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</si>
  <si>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</si>
  <si>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</si>
  <si>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</si>
  <si>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</si>
  <si>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</si>
  <si>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</si>
  <si>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</si>
  <si>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</si>
  <si>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</si>
  <si>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</si>
  <si>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</si>
  <si>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</si>
  <si>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</si>
  <si>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</si>
  <si>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</si>
  <si>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</si>
  <si>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</si>
  <si>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</si>
  <si>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</si>
  <si>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</si>
  <si>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</si>
  <si>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</si>
  <si>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</si>
  <si>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</si>
  <si>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</si>
  <si>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</si>
  <si>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</si>
  <si>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</si>
  <si>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</si>
  <si>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</si>
  <si>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</si>
  <si>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</si>
  <si>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</si>
  <si>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</si>
  <si>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</si>
  <si>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</si>
  <si>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</si>
  <si>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</si>
  <si>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</si>
  <si>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</si>
  <si>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</si>
  <si>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</si>
  <si>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</si>
  <si>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</si>
  <si>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</si>
  <si>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</si>
  <si>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</si>
  <si>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</si>
  <si>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</si>
  <si>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</si>
  <si>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</si>
  <si>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</si>
  <si>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</si>
  <si>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</si>
  <si>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</si>
  <si>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</si>
  <si>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</si>
  <si>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</si>
  <si>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</si>
  <si>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</si>
  <si>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</si>
  <si>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</si>
  <si>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</si>
  <si>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</si>
  <si>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</si>
  <si>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</si>
  <si>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</si>
  <si>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</si>
  <si>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</si>
  <si>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</si>
  <si>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</si>
  <si>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</si>
  <si>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</si>
  <si>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</si>
  <si>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</si>
  <si>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</si>
  <si>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</si>
  <si>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</si>
  <si>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</si>
  <si>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</si>
  <si>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</si>
  <si>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</si>
  <si>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</si>
  <si>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</si>
  <si>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</si>
  <si>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</si>
  <si>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</si>
  <si>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</si>
  <si>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</si>
  <si>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</si>
  <si>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</si>
  <si>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</si>
  <si>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</si>
  <si>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</si>
  <si>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</si>
  <si>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</si>
  <si>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</si>
  <si>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</si>
  <si>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</si>
  <si>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</si>
  <si>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</si>
  <si>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</si>
  <si>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</si>
  <si>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</si>
  <si>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</si>
  <si>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</si>
  <si>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</si>
  <si>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</si>
  <si>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</si>
  <si>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</si>
  <si>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</si>
  <si>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</si>
  <si>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</si>
  <si>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</si>
  <si>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</si>
  <si>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</si>
  <si>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</si>
  <si>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</si>
  <si>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</si>
  <si>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</si>
  <si>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</si>
  <si>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</si>
  <si>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</si>
  <si>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</si>
  <si>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</si>
  <si>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</si>
  <si>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</si>
  <si>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</si>
  <si>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</si>
  <si>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</si>
  <si>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</si>
  <si>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</si>
  <si>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</si>
  <si>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</si>
  <si>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</si>
  <si>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</si>
  <si>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</si>
  <si>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</si>
  <si>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</si>
  <si>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</si>
  <si>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</si>
  <si>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</si>
  <si>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</si>
  <si>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</si>
  <si>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</si>
  <si>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</si>
  <si>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</si>
  <si>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</si>
  <si>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</si>
  <si>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</si>
  <si>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</si>
  <si>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</si>
  <si>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</si>
  <si>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</si>
  <si>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</si>
  <si>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</si>
  <si>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</si>
  <si>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</si>
  <si>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</si>
  <si>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</si>
  <si>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</si>
  <si>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</si>
  <si>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</si>
  <si>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</si>
  <si>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</si>
  <si>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</si>
  <si>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</si>
  <si>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</si>
  <si>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</si>
  <si>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</si>
  <si>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</si>
  <si>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</si>
  <si>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</si>
  <si>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</si>
  <si>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</si>
  <si>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</si>
  <si>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</si>
  <si>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</si>
  <si>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</si>
  <si>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</si>
  <si>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</si>
  <si>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</si>
  <si>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</si>
  <si>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</si>
  <si>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</si>
  <si>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</si>
  <si>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</si>
  <si>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</si>
  <si>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</si>
  <si>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</si>
  <si>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</si>
  <si>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</si>
  <si>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</si>
  <si>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</si>
  <si>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</si>
  <si>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</si>
  <si>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</si>
  <si>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</si>
  <si>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</si>
  <si>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</si>
  <si>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</si>
  <si>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</si>
  <si>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</si>
  <si>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</si>
  <si>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</si>
  <si>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</si>
  <si>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</si>
  <si>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</si>
  <si>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</si>
  <si>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</si>
  <si>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</si>
  <si>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</si>
  <si>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</si>
  <si>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</si>
  <si>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</si>
  <si>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</si>
  <si>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</si>
  <si>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</si>
  <si>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</si>
  <si>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</si>
  <si>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</si>
  <si>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</si>
  <si>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</si>
  <si>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</si>
  <si>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</si>
  <si>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</si>
  <si>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</si>
  <si>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</si>
  <si>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</si>
  <si>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</si>
  <si>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</si>
  <si>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</si>
  <si>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</si>
  <si>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</si>
  <si>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</si>
  <si>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</si>
  <si>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</si>
  <si>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</si>
  <si>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</si>
  <si>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</si>
  <si>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</si>
  <si>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</si>
  <si>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</si>
  <si>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</si>
  <si>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</si>
  <si>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</si>
  <si>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</si>
  <si>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</si>
  <si>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</si>
  <si>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</si>
  <si>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</si>
  <si>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</si>
  <si>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</si>
  <si>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</si>
  <si>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</si>
  <si>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</si>
  <si>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</si>
  <si>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</si>
  <si>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</si>
  <si>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</si>
  <si>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</si>
  <si>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</si>
  <si>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</si>
  <si>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</si>
  <si>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</si>
  <si>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</si>
  <si>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</si>
  <si>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</si>
  <si>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</si>
  <si>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</si>
  <si>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</si>
  <si>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</si>
  <si>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</si>
  <si>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</si>
  <si>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</si>
  <si>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</si>
  <si>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</si>
  <si>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</si>
  <si>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</si>
  <si>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</si>
  <si>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</si>
  <si>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</si>
  <si>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</si>
  <si>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</si>
  <si>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</si>
  <si>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</si>
  <si>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</si>
  <si>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</si>
  <si>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</si>
  <si>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</si>
  <si>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</si>
  <si>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</si>
  <si>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</si>
  <si>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</si>
  <si>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</si>
  <si>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</si>
  <si>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</si>
  <si>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</si>
  <si>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</si>
  <si>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</si>
  <si>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</si>
  <si>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</si>
  <si>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</si>
  <si>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</si>
  <si>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</si>
  <si>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</si>
  <si>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</si>
  <si>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</si>
  <si>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</si>
  <si>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</si>
  <si>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</si>
  <si>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</si>
  <si>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</si>
  <si>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</si>
  <si>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</si>
  <si>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</si>
  <si>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</si>
  <si>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</si>
  <si>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</si>
  <si>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</si>
  <si>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</si>
  <si>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</si>
  <si>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</si>
  <si>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</si>
  <si>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</si>
  <si>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</si>
  <si>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</si>
  <si>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</si>
  <si>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</si>
  <si>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</si>
  <si>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</si>
  <si>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</si>
  <si>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</si>
  <si>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</si>
  <si>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</si>
  <si>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</si>
  <si>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</si>
  <si>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</si>
  <si>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</si>
  <si>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</si>
  <si>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</si>
  <si>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</si>
  <si>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</si>
  <si>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</si>
  <si>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</si>
  <si>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</si>
  <si>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</si>
  <si>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</si>
  <si>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</si>
  <si>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</si>
  <si>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</si>
  <si>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</si>
  <si>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</si>
  <si>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</si>
  <si>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</si>
  <si>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</si>
  <si>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</si>
  <si>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</si>
  <si>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</si>
  <si>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</si>
  <si>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</si>
  <si>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</si>
  <si>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</si>
  <si>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</si>
  <si>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</si>
  <si>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</si>
  <si>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</si>
  <si>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</si>
  <si>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</si>
  <si>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</si>
  <si>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</si>
  <si>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</si>
  <si>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</si>
  <si>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</si>
  <si>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</si>
  <si>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</si>
  <si>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</si>
  <si>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</si>
  <si>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</si>
  <si>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</si>
  <si>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</si>
  <si>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</si>
  <si>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</si>
  <si>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</si>
  <si>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</si>
  <si>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</si>
  <si>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</si>
  <si>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</si>
  <si>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</si>
  <si>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</si>
  <si>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</si>
  <si>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</si>
  <si>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</si>
  <si>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</si>
  <si>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</si>
  <si>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</si>
  <si>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</si>
  <si>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</si>
  <si>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</si>
  <si>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</si>
  <si>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</si>
  <si>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</si>
  <si>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</si>
  <si>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</si>
  <si>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</si>
  <si>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</si>
  <si>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</si>
  <si>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</si>
  <si>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</si>
  <si>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</si>
  <si>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</si>
  <si>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</si>
  <si>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</si>
  <si>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</si>
  <si>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</si>
  <si>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</si>
  <si>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</si>
  <si>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</si>
  <si>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</si>
  <si>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</si>
  <si>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</si>
  <si>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</si>
  <si>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</si>
  <si>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</si>
  <si>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</si>
  <si>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</si>
  <si>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</si>
  <si>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</si>
  <si>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</si>
  <si>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</si>
  <si>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</si>
  <si>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</si>
  <si>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</si>
  <si>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</si>
  <si>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</si>
  <si>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</si>
  <si>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</si>
  <si>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</si>
  <si>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</si>
  <si>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</si>
  <si>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</si>
  <si>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</si>
  <si>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</si>
  <si>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</si>
  <si>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</si>
  <si>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</si>
  <si>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</si>
  <si>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</si>
  <si>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</si>
  <si>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</si>
  <si>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</si>
  <si>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</si>
  <si>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</si>
  <si>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</si>
  <si>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</si>
  <si>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</si>
  <si>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</si>
  <si>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</si>
  <si>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</si>
  <si>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</si>
  <si>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</si>
  <si>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</si>
  <si>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</si>
  <si>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</si>
  <si>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</si>
  <si>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</si>
  <si>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</si>
  <si>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</si>
  <si>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</si>
  <si>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</si>
  <si>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</si>
  <si>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</si>
  <si>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</si>
  <si>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</si>
  <si>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</si>
  <si>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</si>
  <si>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</si>
  <si>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</si>
  <si>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</si>
  <si>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</si>
  <si>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</si>
  <si>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</si>
  <si>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</si>
  <si>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</si>
  <si>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</si>
  <si>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</si>
  <si>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</si>
  <si>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</si>
  <si>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</si>
  <si>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</si>
  <si>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</si>
  <si>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</si>
  <si>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</si>
  <si>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</si>
  <si>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</si>
  <si>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</si>
  <si>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</si>
  <si>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</si>
  <si>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</si>
  <si>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</si>
  <si>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</si>
  <si>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</si>
  <si>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</si>
  <si>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</si>
  <si>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</si>
  <si>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</si>
  <si>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</si>
  <si>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</si>
  <si>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</si>
  <si>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</si>
  <si>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</si>
  <si>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</si>
  <si>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</si>
  <si>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</si>
  <si>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</si>
  <si>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</si>
  <si>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</si>
  <si>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</si>
  <si>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</si>
  <si>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</si>
  <si>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</si>
  <si>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</si>
  <si>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</si>
  <si>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</si>
  <si>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</si>
  <si>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</si>
  <si>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</si>
  <si>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</si>
  <si>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</si>
  <si>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</si>
  <si>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</si>
  <si>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</si>
  <si>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</si>
  <si>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</si>
  <si>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</si>
  <si>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</si>
  <si>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</si>
  <si>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</si>
  <si>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</si>
  <si>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</si>
  <si>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</si>
  <si>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</si>
  <si>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</si>
  <si>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</si>
  <si>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</si>
  <si>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</si>
  <si>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</si>
  <si>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</si>
  <si>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</si>
  <si>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</si>
  <si>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</si>
  <si>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</si>
  <si>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</si>
  <si>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</si>
  <si>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</si>
  <si>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</si>
  <si>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</si>
  <si>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</si>
  <si>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</si>
  <si>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</si>
  <si>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</si>
  <si>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</si>
  <si>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</si>
  <si>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</si>
  <si>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</si>
  <si>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</si>
  <si>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</si>
  <si>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</si>
  <si>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</si>
  <si>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</si>
  <si>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</si>
  <si>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</si>
  <si>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</si>
  <si>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</si>
  <si>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</si>
  <si>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</si>
  <si>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</si>
  <si>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</si>
  <si>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</si>
  <si>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</si>
  <si>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</si>
  <si>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</si>
  <si>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</si>
  <si>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</si>
  <si>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</si>
  <si>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</si>
  <si>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</si>
  <si>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</si>
  <si>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</si>
  <si>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</si>
  <si>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</si>
  <si>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</si>
  <si>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</si>
  <si>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</si>
  <si>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</si>
  <si>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</si>
  <si>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</si>
  <si>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</si>
  <si>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</si>
  <si>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</si>
  <si>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</si>
  <si>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</si>
  <si>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</si>
  <si>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</si>
  <si>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</si>
  <si>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</si>
  <si>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</si>
  <si>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</si>
  <si>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</si>
  <si>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</si>
  <si>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</si>
  <si>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</si>
  <si>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</si>
  <si>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</si>
  <si>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</si>
  <si>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</si>
  <si>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</si>
  <si>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</si>
  <si>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</si>
  <si>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</si>
  <si>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</si>
  <si>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</si>
  <si>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</si>
  <si>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</si>
  <si>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</si>
  <si>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</si>
  <si>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</si>
  <si>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</si>
  <si>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</si>
  <si>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</si>
  <si>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</si>
  <si>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</si>
  <si>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</si>
  <si>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</si>
  <si>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</si>
  <si>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</si>
  <si>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</si>
  <si>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</si>
  <si>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</si>
  <si>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</si>
  <si>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</si>
  <si>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</si>
  <si>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</si>
  <si>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</si>
  <si>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</si>
  <si>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</si>
  <si>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</si>
  <si>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</si>
  <si>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</si>
  <si>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</si>
  <si>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</si>
  <si>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</si>
  <si>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</si>
  <si>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</si>
  <si>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</si>
  <si>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</si>
  <si>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</si>
  <si>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</si>
  <si>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</si>
  <si>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</si>
  <si>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</si>
  <si>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</si>
  <si>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</si>
  <si>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</si>
  <si>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</si>
  <si>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</si>
  <si>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</si>
  <si>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</si>
  <si>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</si>
  <si>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</si>
  <si>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</si>
  <si>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</si>
  <si>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</si>
  <si>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</si>
  <si>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</si>
  <si>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</si>
  <si>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</si>
  <si>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</si>
  <si>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</si>
  <si>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</si>
  <si>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</si>
  <si>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</si>
  <si>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</si>
  <si>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</si>
  <si>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</si>
  <si>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</si>
  <si>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</si>
  <si>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</si>
  <si>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</si>
  <si>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</si>
  <si>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</si>
  <si>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</si>
  <si>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</si>
  <si>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</si>
  <si>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</si>
  <si>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</si>
  <si>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</si>
  <si>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</si>
  <si>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</si>
  <si>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</si>
  <si>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</si>
  <si>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</si>
  <si>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</si>
  <si>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</si>
  <si>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</si>
  <si>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</si>
  <si>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</si>
  <si>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</si>
  <si>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</si>
  <si>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</si>
  <si>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</si>
  <si>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</si>
  <si>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</si>
  <si>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</si>
  <si>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</si>
  <si>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</si>
  <si>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</si>
  <si>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</si>
  <si>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</si>
  <si>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</si>
  <si>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</si>
  <si>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</si>
  <si>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</si>
  <si>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</si>
  <si>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</si>
  <si>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</si>
  <si>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</si>
  <si>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</si>
  <si>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</si>
  <si>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</si>
  <si>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</si>
  <si>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</si>
  <si>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</si>
  <si>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</si>
  <si>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</si>
  <si>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</si>
  <si>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</si>
  <si>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</si>
  <si>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</si>
  <si>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</si>
  <si>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</si>
  <si>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</si>
  <si>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</si>
  <si>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</si>
  <si>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</si>
  <si>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</si>
  <si>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</si>
  <si>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</si>
  <si>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</si>
  <si>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</si>
  <si>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</si>
  <si>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</si>
  <si>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</si>
  <si>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</si>
  <si>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</si>
  <si>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</si>
  <si>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</si>
  <si>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</si>
  <si>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</si>
  <si>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</si>
  <si>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</si>
  <si>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</si>
  <si>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</si>
  <si>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</si>
  <si>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</si>
  <si>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</si>
  <si>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</si>
  <si>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</si>
  <si>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</si>
  <si>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</si>
  <si>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</si>
  <si>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</si>
  <si>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</si>
  <si>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</si>
  <si>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</si>
  <si>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</si>
  <si>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</si>
  <si>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</si>
  <si>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</si>
  <si>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</si>
  <si>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</si>
  <si>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</si>
  <si>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</si>
  <si>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</si>
  <si>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</si>
  <si>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</si>
  <si>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</si>
  <si>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</si>
  <si>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</si>
  <si>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</si>
  <si>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</si>
  <si>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</si>
  <si>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</si>
  <si>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</si>
  <si>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</si>
  <si>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</si>
  <si>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</si>
  <si>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</si>
  <si>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</si>
  <si>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</si>
  <si>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</si>
  <si>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</si>
  <si>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</si>
  <si>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</si>
  <si>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</si>
  <si>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</si>
  <si>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</si>
  <si>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</si>
  <si>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</si>
  <si>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</si>
  <si>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</si>
  <si>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</si>
  <si>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</si>
  <si>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</si>
  <si>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</si>
  <si>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</si>
  <si>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</si>
  <si>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</si>
  <si>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</si>
  <si>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</si>
  <si>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</si>
  <si>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</si>
  <si>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</si>
  <si>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</si>
  <si>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</si>
  <si>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</si>
  <si>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</si>
  <si>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</si>
  <si>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</si>
  <si>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</si>
  <si>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</si>
  <si>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</si>
  <si>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</si>
  <si>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</si>
  <si>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</si>
  <si>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</si>
  <si>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</si>
  <si>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</si>
  <si>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</si>
  <si>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</si>
  <si>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</si>
  <si>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</si>
  <si>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</si>
  <si>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</si>
  <si>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</si>
  <si>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</si>
  <si>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</si>
  <si>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</si>
  <si>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</si>
  <si>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</si>
  <si>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</si>
  <si>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</si>
  <si>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</si>
  <si>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</si>
  <si>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</si>
  <si>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</si>
  <si>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</si>
  <si>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</si>
  <si>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</si>
  <si>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</si>
  <si>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</si>
  <si>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</si>
  <si>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</si>
  <si>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</si>
  <si>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</si>
  <si>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</si>
  <si>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</si>
  <si>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</si>
  <si>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</si>
  <si>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</si>
  <si>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</si>
  <si>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</si>
  <si>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</si>
  <si>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</si>
  <si>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</si>
  <si>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</si>
  <si>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</si>
  <si>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</si>
  <si>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</si>
  <si>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</si>
  <si>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</si>
  <si>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</si>
  <si>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</si>
  <si>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</si>
  <si>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</si>
  <si>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</si>
  <si>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</si>
  <si>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</si>
  <si>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</si>
  <si>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</si>
  <si>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</si>
  <si>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</si>
  <si>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</si>
  <si>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</si>
  <si>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</si>
  <si>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</si>
  <si>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</si>
  <si>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</si>
  <si>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</si>
  <si>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</si>
  <si>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</si>
  <si>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</si>
  <si>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</si>
  <si>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</si>
  <si>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</si>
  <si>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</si>
  <si>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</si>
  <si>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</si>
  <si>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</si>
  <si>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</si>
  <si>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</si>
  <si>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</si>
  <si>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</si>
  <si>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</si>
  <si>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</si>
  <si>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</si>
  <si>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</si>
  <si>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</si>
  <si>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</si>
  <si>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</si>
  <si>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</si>
  <si>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</si>
  <si>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</si>
  <si>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</si>
  <si>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</si>
  <si>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</si>
  <si>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</si>
  <si>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</si>
  <si>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</si>
  <si>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</si>
  <si>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</si>
  <si>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</si>
  <si>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</si>
  <si>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</si>
  <si>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</si>
  <si>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</si>
  <si>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</si>
  <si>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</si>
  <si>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</si>
  <si>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</si>
  <si>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</si>
  <si>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</si>
  <si>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</si>
  <si>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</si>
  <si>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</si>
  <si>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</si>
  <si>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</si>
  <si>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</si>
  <si>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</si>
  <si>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</si>
  <si>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</si>
  <si>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</si>
  <si>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</si>
  <si>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</si>
  <si>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</si>
  <si>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</si>
  <si>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</si>
  <si>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</si>
  <si>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</si>
  <si>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</si>
  <si>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</si>
  <si>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</si>
  <si>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</si>
  <si>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</si>
  <si>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</si>
  <si>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</si>
  <si>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</si>
  <si>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</si>
  <si>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</si>
  <si>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</si>
  <si>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</si>
  <si>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</si>
  <si>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</si>
  <si>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</si>
  <si>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</si>
  <si>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</si>
  <si>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</si>
  <si>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</si>
  <si>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</si>
  <si>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</si>
  <si>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</si>
  <si>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</si>
  <si>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</si>
  <si>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</si>
  <si>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</si>
  <si>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</si>
  <si>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</si>
  <si>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</si>
  <si>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</si>
  <si>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</si>
  <si>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</si>
  <si>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</si>
  <si>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</si>
  <si>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</si>
  <si>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</si>
  <si>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</si>
  <si>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</si>
  <si>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</si>
  <si>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</si>
  <si>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</si>
  <si>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</si>
  <si>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</si>
  <si>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</si>
  <si>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</si>
  <si>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</si>
  <si>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</si>
  <si>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</si>
  <si>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</si>
  <si>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</si>
  <si>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</si>
  <si>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</si>
  <si>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</si>
  <si>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</si>
  <si>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</si>
  <si>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</si>
  <si>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</si>
  <si>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</si>
  <si>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</si>
  <si>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</si>
  <si>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</si>
  <si>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</si>
  <si>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</si>
  <si>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</si>
  <si>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</si>
  <si>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</si>
  <si>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</si>
  <si>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</si>
  <si>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</si>
  <si>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</si>
  <si>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</si>
  <si>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</si>
  <si>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</si>
  <si>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</si>
  <si>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</si>
  <si>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</si>
  <si>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</si>
  <si>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</si>
  <si>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</si>
  <si>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</si>
  <si>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</si>
  <si>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</si>
  <si>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</si>
  <si>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</si>
  <si>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</si>
  <si>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</si>
  <si>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</si>
  <si>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</si>
  <si>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</si>
  <si>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</si>
  <si>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</si>
  <si>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</si>
  <si>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</si>
  <si>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</si>
  <si>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</si>
  <si>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</si>
  <si>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</si>
  <si>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</si>
  <si>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</si>
  <si>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</si>
  <si>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</si>
  <si>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</si>
  <si>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</si>
  <si>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</si>
  <si>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</si>
  <si>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</si>
  <si>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</si>
  <si>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</si>
  <si>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</si>
  <si>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</si>
  <si>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</si>
  <si>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</si>
  <si>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</si>
  <si>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</si>
  <si>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</si>
  <si>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</si>
  <si>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</si>
  <si>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</si>
  <si>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</si>
  <si>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</si>
  <si>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</si>
  <si>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</si>
  <si>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</si>
  <si>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</si>
  <si>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</si>
  <si>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</si>
  <si>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</si>
  <si>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</si>
  <si>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</si>
  <si>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</si>
  <si>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</si>
  <si>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</si>
  <si>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</si>
  <si>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</si>
  <si>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</si>
  <si>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</si>
  <si>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</si>
  <si>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</si>
  <si>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</si>
  <si>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</si>
  <si>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</si>
  <si>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</si>
  <si>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</si>
  <si>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</si>
  <si>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</si>
  <si>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</si>
  <si>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</si>
  <si>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</si>
  <si>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</si>
  <si>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</si>
  <si>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</si>
  <si>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</si>
  <si>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</si>
  <si>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</si>
  <si>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</si>
  <si>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</si>
  <si>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</si>
  <si>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</si>
  <si>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</si>
  <si>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</si>
  <si>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</si>
  <si>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</si>
  <si>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</si>
  <si>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</si>
  <si>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</si>
  <si>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</si>
  <si>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</si>
  <si>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</si>
  <si>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</si>
  <si>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</si>
  <si>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</si>
  <si>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</si>
  <si>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</si>
  <si>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</si>
  <si>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</si>
  <si>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</si>
  <si>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</si>
  <si>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</si>
  <si>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</si>
  <si>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</si>
  <si>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</si>
  <si>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</si>
  <si>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</si>
  <si>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</si>
  <si>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</si>
  <si>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</si>
  <si>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</si>
  <si>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</si>
  <si>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</si>
  <si>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</si>
  <si>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</si>
  <si>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</si>
  <si>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</si>
  <si>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</si>
  <si>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</si>
  <si>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</si>
  <si>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</si>
  <si>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</si>
  <si>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</si>
  <si>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</si>
  <si>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</si>
  <si>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</si>
  <si>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</si>
  <si>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</si>
  <si>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</si>
  <si>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</si>
  <si>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</si>
  <si>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</si>
  <si>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</si>
  <si>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</si>
  <si>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</si>
  <si>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</si>
  <si>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</si>
  <si>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</si>
  <si>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</si>
  <si>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</si>
  <si>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</si>
  <si>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</si>
  <si>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</si>
  <si>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</si>
  <si>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</si>
  <si>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</si>
  <si>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</si>
  <si>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</si>
  <si>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</si>
  <si>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</si>
  <si>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</si>
  <si>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</si>
  <si>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</si>
  <si>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</si>
  <si>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</si>
  <si>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</si>
  <si>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</si>
  <si>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</si>
  <si>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</si>
  <si>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</si>
  <si>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</si>
  <si>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</si>
  <si>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</si>
  <si>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</si>
  <si>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</si>
  <si>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</si>
  <si>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</si>
  <si>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</si>
  <si>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</si>
  <si>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</si>
  <si>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</si>
  <si>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</si>
  <si>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</si>
  <si>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</si>
  <si>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</si>
  <si>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</si>
  <si>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</si>
  <si>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</si>
  <si>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</si>
  <si>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</si>
  <si>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</si>
  <si>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</si>
  <si>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</si>
  <si>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</si>
  <si>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</si>
  <si>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</si>
  <si>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</si>
  <si>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</si>
  <si>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</si>
  <si>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</si>
  <si>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</si>
  <si>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</si>
  <si>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</si>
  <si>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</si>
  <si>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</si>
  <si>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</si>
  <si>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</si>
  <si>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</si>
  <si>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</si>
  <si>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</si>
  <si>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</si>
  <si>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</si>
  <si>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</si>
  <si>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</si>
  <si>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</si>
  <si>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</si>
  <si>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</si>
  <si>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</si>
  <si>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</si>
  <si>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</si>
  <si>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</si>
  <si>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</si>
  <si>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</si>
  <si>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</si>
  <si>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</si>
  <si>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</si>
  <si>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</si>
  <si>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</si>
  <si>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</si>
  <si>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</si>
  <si>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</si>
  <si>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</si>
  <si>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</si>
  <si>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</si>
  <si>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</si>
  <si>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</si>
  <si>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</si>
  <si>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</si>
  <si>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</si>
  <si>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</si>
  <si>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</si>
  <si>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</si>
  <si>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</si>
  <si>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</si>
  <si>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</si>
  <si>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</si>
  <si>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</si>
  <si>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</si>
  <si>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</si>
  <si>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</si>
  <si>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</si>
  <si>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</si>
  <si>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</si>
  <si>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</si>
  <si>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</si>
  <si>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</si>
  <si>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</si>
  <si>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</si>
  <si>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</si>
  <si>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</si>
  <si>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</si>
  <si>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</si>
  <si>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</si>
  <si>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</si>
  <si>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</si>
  <si>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</si>
  <si>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</si>
  <si>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</si>
  <si>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</si>
  <si>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</si>
  <si>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</si>
  <si>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</si>
  <si>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</si>
  <si>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</si>
  <si>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</si>
  <si>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</si>
  <si>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</si>
  <si>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</si>
  <si>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</si>
  <si>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</si>
  <si>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</si>
  <si>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</si>
  <si>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</si>
  <si>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</si>
  <si>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</si>
  <si>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</si>
  <si>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</si>
  <si>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</si>
  <si>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</si>
  <si>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</si>
  <si>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</si>
  <si>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</si>
  <si>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</si>
  <si>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</si>
  <si>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</si>
  <si>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</si>
  <si>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</si>
  <si>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</si>
  <si>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</si>
  <si>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</si>
  <si>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</si>
  <si>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</si>
  <si>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</si>
  <si>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</si>
  <si>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</si>
  <si>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</si>
  <si>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</si>
  <si>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</si>
  <si>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</si>
  <si>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</si>
  <si>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</si>
  <si>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</si>
  <si>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</si>
  <si>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</si>
  <si>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</si>
  <si>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</si>
  <si>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</si>
  <si>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</si>
  <si>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</si>
  <si>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</si>
  <si>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</si>
  <si>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</si>
  <si>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</si>
  <si>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</si>
  <si>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</si>
  <si>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</si>
  <si>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</si>
  <si>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</si>
  <si>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</si>
  <si>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</si>
  <si>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</si>
  <si>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</si>
  <si>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</si>
  <si>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</si>
  <si>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</si>
  <si>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</si>
  <si>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</si>
  <si>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</si>
  <si>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</si>
  <si>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</si>
  <si>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</si>
  <si>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</si>
  <si>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</si>
  <si>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</si>
  <si>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</si>
  <si>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</si>
  <si>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</si>
  <si>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</si>
  <si>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</si>
  <si>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</si>
  <si>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</si>
  <si>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</si>
  <si>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</si>
  <si>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</si>
  <si>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</si>
  <si>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</si>
  <si>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</si>
  <si>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</si>
  <si>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</si>
  <si>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</si>
  <si>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</si>
  <si>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</si>
  <si>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</si>
  <si>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</si>
  <si>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</si>
  <si>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</si>
  <si>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</si>
  <si>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</si>
  <si>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</si>
  <si>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</si>
  <si>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</si>
  <si>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</si>
  <si>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</si>
  <si>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</si>
  <si>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</si>
  <si>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</si>
  <si>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</si>
  <si>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</si>
  <si>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</si>
  <si>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</si>
  <si>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</si>
  <si>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</si>
  <si>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</si>
  <si>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</si>
  <si>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</si>
  <si>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</si>
  <si>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</si>
  <si>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</si>
  <si>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</si>
  <si>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</si>
  <si>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</si>
  <si>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</si>
  <si>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</si>
  <si>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</si>
  <si>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</si>
  <si>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</si>
  <si>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</si>
  <si>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</si>
  <si>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</si>
  <si>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</si>
  <si>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</si>
  <si>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</si>
  <si>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</si>
  <si>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</si>
  <si>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</si>
  <si>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</si>
  <si>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</si>
  <si>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</si>
  <si>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</si>
  <si>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</si>
  <si>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</si>
  <si>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</si>
  <si>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</si>
  <si>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</si>
  <si>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</si>
  <si>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</si>
  <si>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</si>
  <si>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</si>
  <si>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</si>
  <si>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</si>
  <si>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</si>
  <si>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</si>
  <si>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</si>
  <si>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</si>
  <si>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</si>
  <si>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</si>
  <si>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</si>
  <si>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</si>
  <si>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</si>
  <si>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</si>
  <si>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</si>
  <si>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</si>
  <si>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</si>
  <si>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</si>
  <si>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</si>
  <si>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</si>
  <si>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</si>
  <si>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</si>
  <si>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</si>
  <si>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</si>
  <si>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</si>
  <si>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</si>
  <si>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</si>
  <si>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</si>
  <si>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</si>
  <si>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</si>
  <si>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</si>
  <si>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</si>
  <si>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</si>
  <si>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</si>
  <si>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</si>
  <si>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</si>
  <si>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</si>
  <si>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</si>
  <si>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</si>
  <si>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</si>
  <si>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</si>
  <si>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</si>
  <si>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</si>
  <si>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</si>
  <si>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</si>
  <si>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</si>
  <si>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</si>
  <si>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</si>
  <si>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</si>
  <si>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</si>
  <si>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</si>
  <si>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</si>
  <si>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</si>
  <si>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</si>
  <si>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</si>
  <si>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</si>
  <si>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</si>
  <si>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</si>
  <si>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</si>
  <si>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</si>
  <si>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</si>
  <si>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</si>
  <si>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</si>
  <si>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</si>
  <si>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</si>
  <si>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</si>
  <si>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</si>
  <si>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</si>
  <si>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</si>
  <si>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</si>
  <si>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</si>
  <si>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</si>
  <si>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</si>
  <si>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</si>
  <si>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</si>
  <si>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</si>
  <si>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</si>
  <si>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</si>
  <si>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</si>
  <si>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</si>
  <si>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</si>
  <si>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</si>
  <si>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</si>
  <si>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</si>
  <si>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</si>
  <si>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</si>
  <si>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</si>
  <si>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</si>
  <si>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</si>
  <si>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</si>
  <si>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</si>
  <si>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</si>
  <si>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</si>
  <si>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</si>
  <si>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</si>
  <si>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</si>
  <si>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</si>
  <si>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</si>
  <si>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</si>
  <si>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</si>
  <si>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</si>
  <si>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</si>
  <si>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</si>
  <si>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</si>
  <si>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</si>
  <si>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</si>
  <si>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</si>
  <si>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</si>
  <si>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</si>
  <si>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</si>
  <si>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</si>
  <si>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</si>
  <si>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</si>
  <si>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</si>
  <si>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</si>
  <si>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</si>
  <si>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</si>
  <si>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</si>
  <si>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</si>
  <si>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</si>
  <si>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</si>
  <si>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</si>
  <si>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</si>
  <si>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</si>
  <si>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</si>
  <si>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</si>
  <si>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</si>
  <si>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</si>
  <si>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</si>
  <si>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</si>
  <si>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</si>
  <si>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</si>
  <si>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</si>
  <si>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</si>
  <si>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</si>
  <si>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</si>
  <si>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</si>
  <si>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</si>
  <si>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</si>
  <si>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</si>
  <si>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</si>
  <si>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</si>
  <si>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</si>
  <si>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</si>
  <si>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</si>
  <si>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</si>
  <si>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</si>
  <si>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</si>
  <si>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</si>
  <si>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</si>
  <si>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</si>
  <si>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</si>
  <si>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</si>
  <si>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</si>
  <si>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</si>
  <si>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</si>
  <si>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</si>
  <si>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</si>
  <si>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</si>
  <si>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</si>
  <si>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</si>
  <si>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</si>
  <si>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</si>
  <si>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</si>
  <si>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</si>
  <si>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</si>
  <si>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</si>
  <si>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</si>
  <si>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</si>
  <si>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</si>
  <si>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</si>
  <si>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</si>
  <si>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</si>
  <si>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</si>
  <si>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</si>
  <si>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</si>
  <si>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</si>
  <si>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</si>
  <si>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</si>
  <si>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</si>
  <si>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</si>
  <si>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</si>
  <si>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</si>
  <si>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</si>
  <si>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</si>
  <si>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</si>
  <si>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</si>
  <si>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</si>
  <si>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</si>
  <si>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</si>
  <si>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</si>
  <si>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</si>
  <si>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</si>
  <si>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</si>
  <si>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</si>
  <si>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</si>
  <si>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</si>
  <si>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</si>
  <si>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</si>
  <si>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</si>
  <si>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</si>
  <si>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</si>
  <si>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</si>
  <si>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</si>
  <si>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</si>
  <si>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</si>
  <si>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</si>
  <si>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</si>
  <si>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</si>
  <si>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</si>
  <si>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</si>
  <si>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</si>
  <si>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</si>
  <si>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</si>
  <si>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</si>
  <si>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</si>
  <si>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</si>
  <si>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</si>
  <si>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</si>
  <si>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</si>
  <si>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</si>
  <si>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</si>
  <si>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</si>
  <si>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</si>
  <si>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</si>
  <si>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</si>
  <si>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</si>
  <si>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</si>
  <si>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</si>
  <si>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</si>
  <si>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</si>
  <si>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</si>
  <si>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</si>
  <si>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</si>
  <si>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</si>
  <si>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</si>
  <si>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</si>
  <si>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</si>
  <si>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</si>
  <si>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</si>
  <si>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</si>
  <si>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</si>
  <si>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</si>
  <si>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</si>
  <si>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</si>
  <si>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</si>
  <si>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</si>
  <si>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</si>
  <si>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</si>
  <si>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</si>
  <si>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</si>
  <si>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</si>
  <si>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</si>
  <si>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</si>
  <si>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</si>
  <si>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</si>
  <si>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</si>
  <si>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</si>
  <si>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</si>
  <si>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</si>
  <si>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</si>
  <si>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</si>
  <si>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</si>
  <si>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</si>
  <si>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</si>
  <si>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</si>
  <si>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</si>
  <si>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</si>
  <si>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</si>
  <si>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</si>
  <si>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</si>
  <si>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</si>
  <si>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</si>
  <si>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</si>
  <si>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</si>
  <si>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</si>
  <si>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</si>
  <si>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</si>
  <si>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</si>
  <si>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</si>
  <si>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</si>
  <si>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</si>
  <si>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</si>
  <si>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</si>
  <si>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</si>
  <si>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</si>
  <si>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</si>
  <si>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</si>
  <si>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</si>
  <si>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</si>
  <si>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</si>
  <si>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</si>
  <si>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</si>
  <si>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</si>
  <si>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</si>
  <si>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</si>
  <si>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</si>
  <si>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</si>
  <si>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</si>
  <si>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</si>
  <si>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</si>
  <si>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</si>
  <si>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</si>
  <si>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</si>
  <si>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</si>
  <si>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</si>
  <si>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</si>
  <si>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</si>
  <si>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</si>
  <si>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</si>
  <si>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</si>
  <si>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</si>
  <si>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</si>
  <si>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</si>
  <si>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</si>
  <si>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</si>
  <si>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</si>
  <si>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</si>
  <si>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</si>
  <si>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</si>
  <si>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</si>
  <si>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</si>
  <si>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</si>
  <si>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</si>
  <si>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</si>
  <si>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</si>
  <si>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</si>
  <si>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</si>
  <si>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</si>
  <si>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</si>
  <si>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</si>
  <si>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</si>
  <si>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</si>
  <si>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</si>
  <si>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</si>
  <si>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</si>
  <si>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</si>
  <si>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</si>
  <si>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</si>
  <si>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</si>
  <si>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</si>
  <si>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</si>
  <si>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</si>
  <si>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</si>
  <si>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</si>
  <si>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</si>
  <si>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</si>
  <si>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</si>
  <si>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</si>
  <si>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</si>
  <si>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</si>
  <si>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</si>
  <si>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</si>
  <si>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</si>
  <si>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</si>
  <si>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</si>
  <si>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</si>
  <si>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</si>
  <si>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</si>
  <si>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</si>
  <si>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</si>
  <si>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</si>
  <si>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</si>
  <si>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</si>
  <si>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</si>
  <si>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</si>
  <si>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</si>
  <si>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</si>
  <si>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</si>
  <si>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</si>
  <si>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</si>
  <si>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</si>
  <si>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</si>
  <si>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</si>
  <si>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</si>
  <si>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</si>
  <si>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</si>
  <si>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</si>
  <si>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</si>
  <si>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</si>
  <si>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</si>
  <si>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</si>
  <si>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</si>
  <si>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</si>
  <si>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</si>
  <si>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</si>
  <si>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</si>
  <si>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</si>
  <si>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</si>
  <si>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</si>
  <si>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</si>
  <si>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</si>
  <si>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</si>
  <si>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</si>
  <si>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</si>
  <si>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</si>
  <si>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</si>
  <si>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</si>
  <si>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</si>
  <si>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</si>
  <si>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</si>
  <si>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</si>
  <si>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</si>
  <si>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</si>
  <si>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</si>
  <si>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</si>
  <si>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</si>
  <si>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</si>
  <si>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</si>
  <si>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</si>
  <si>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</si>
  <si>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</si>
  <si>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</si>
  <si>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</si>
  <si>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</si>
  <si>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</si>
  <si>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</si>
  <si>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</si>
  <si>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</si>
  <si>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</si>
  <si>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</si>
  <si>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</si>
  <si>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</si>
  <si>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</si>
  <si>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</si>
  <si>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</si>
  <si>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</si>
  <si>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</si>
  <si>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</si>
  <si>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</si>
  <si>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</si>
  <si>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</si>
  <si>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</si>
  <si>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</si>
  <si>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序号</t>
  </si>
  <si>
    <t>房号</t>
  </si>
  <si>
    <t>三级产品类型</t>
  </si>
  <si>
    <t>建筑面积</t>
  </si>
  <si>
    <t>报价总价</t>
  </si>
  <si>
    <t>7-1003</t>
  </si>
  <si>
    <t>7-1004</t>
  </si>
  <si>
    <t>7-1005</t>
  </si>
  <si>
    <t>7-1006</t>
  </si>
  <si>
    <t>7-1007</t>
  </si>
  <si>
    <t>7-1008</t>
  </si>
  <si>
    <t>7-1009</t>
  </si>
  <si>
    <t>7-1010</t>
  </si>
  <si>
    <t>7-1011</t>
  </si>
  <si>
    <t>7-1012</t>
  </si>
  <si>
    <t>7-1013</t>
  </si>
  <si>
    <t>7-1101</t>
  </si>
  <si>
    <t>7-1102</t>
  </si>
  <si>
    <t>7-1103</t>
  </si>
  <si>
    <t>7-1104</t>
  </si>
  <si>
    <t>7-1105</t>
  </si>
  <si>
    <t>7-1106</t>
  </si>
  <si>
    <t>7-1107</t>
  </si>
  <si>
    <t>7-1108</t>
  </si>
  <si>
    <t>7-1109</t>
  </si>
  <si>
    <t>7-1110</t>
  </si>
  <si>
    <t>7-1111</t>
  </si>
  <si>
    <t>7-1112</t>
  </si>
  <si>
    <t>7-1113</t>
  </si>
  <si>
    <t>7-1114</t>
  </si>
  <si>
    <t>7-1115</t>
  </si>
  <si>
    <t>7-1116</t>
  </si>
  <si>
    <t>7-1201</t>
  </si>
  <si>
    <t>7-1202</t>
  </si>
  <si>
    <t>7-1203</t>
  </si>
  <si>
    <t>7-1204</t>
  </si>
  <si>
    <t>7-1205</t>
  </si>
  <si>
    <t>7-1206</t>
  </si>
  <si>
    <t>7-1207</t>
  </si>
  <si>
    <t>7-1208</t>
  </si>
  <si>
    <t>7-1209</t>
  </si>
  <si>
    <t>7-1210</t>
  </si>
  <si>
    <t>7-1211</t>
  </si>
  <si>
    <t>7-1212</t>
  </si>
  <si>
    <t>7-1213</t>
  </si>
  <si>
    <t>7-1214</t>
  </si>
  <si>
    <t>7-1215</t>
  </si>
  <si>
    <t>7-1216</t>
  </si>
  <si>
    <t>7-1301</t>
  </si>
  <si>
    <t>7-1302</t>
  </si>
  <si>
    <t>7-1303</t>
  </si>
  <si>
    <t>7-1304</t>
  </si>
  <si>
    <t>7-1305</t>
  </si>
  <si>
    <t>7-1306</t>
  </si>
  <si>
    <t>7-1307</t>
  </si>
  <si>
    <t>7-1308</t>
  </si>
  <si>
    <t>7-1309</t>
  </si>
  <si>
    <t>7-1310</t>
  </si>
  <si>
    <t>7-1311</t>
  </si>
  <si>
    <t>7-1312</t>
  </si>
  <si>
    <t>7-1313</t>
  </si>
  <si>
    <t>7-1314</t>
  </si>
  <si>
    <t>7-1315</t>
  </si>
  <si>
    <t>7-1316</t>
  </si>
  <si>
    <t>7-1317</t>
  </si>
  <si>
    <t>7-1318</t>
  </si>
  <si>
    <t>7-1319</t>
  </si>
  <si>
    <t>7-1320</t>
  </si>
  <si>
    <t>7-1321</t>
  </si>
  <si>
    <t>7-1322</t>
  </si>
  <si>
    <t>7-1323</t>
  </si>
  <si>
    <t>7-1324</t>
  </si>
  <si>
    <t>7-1325</t>
  </si>
  <si>
    <t>7-1326</t>
  </si>
  <si>
    <t>7-1327</t>
  </si>
  <si>
    <t>7-1328</t>
  </si>
  <si>
    <t>7-1401</t>
  </si>
  <si>
    <t>7-1402</t>
  </si>
  <si>
    <t>7-1403</t>
  </si>
  <si>
    <t>7-1404</t>
  </si>
  <si>
    <t>7-1405</t>
  </si>
  <si>
    <t>7-1406</t>
  </si>
  <si>
    <t>7-1407</t>
  </si>
  <si>
    <t>7-1408</t>
  </si>
  <si>
    <t>7-1409</t>
  </si>
  <si>
    <t>7-1410</t>
  </si>
  <si>
    <t>7-1411</t>
  </si>
  <si>
    <t>7-1412</t>
  </si>
  <si>
    <t>7-1413</t>
  </si>
  <si>
    <t>7-1414</t>
  </si>
  <si>
    <t>7-1415</t>
  </si>
  <si>
    <t>7-1416</t>
  </si>
  <si>
    <t>7-1417</t>
  </si>
  <si>
    <t>7-1418</t>
  </si>
  <si>
    <t>7-1419</t>
  </si>
  <si>
    <t>7-1420</t>
  </si>
  <si>
    <t>7-1421</t>
  </si>
  <si>
    <t>7-1422</t>
  </si>
  <si>
    <t>7-1423</t>
  </si>
  <si>
    <t>7-1424</t>
  </si>
  <si>
    <t>7-1425</t>
  </si>
  <si>
    <t>7-1426</t>
  </si>
  <si>
    <t>7-1427</t>
  </si>
  <si>
    <t>7-1428</t>
  </si>
  <si>
    <t>7-1501</t>
  </si>
  <si>
    <t>7-1502</t>
  </si>
  <si>
    <t>7-1503</t>
  </si>
  <si>
    <t>7-1504</t>
  </si>
  <si>
    <t>7-1505</t>
  </si>
  <si>
    <t>7-1506</t>
  </si>
  <si>
    <t>7-1507</t>
  </si>
  <si>
    <t>7-1508</t>
  </si>
  <si>
    <t>7-1517</t>
  </si>
  <si>
    <t>7-1518</t>
  </si>
  <si>
    <t>7-1519</t>
  </si>
  <si>
    <t>7-1520</t>
  </si>
  <si>
    <t>7-1521</t>
  </si>
  <si>
    <t>7-1522</t>
  </si>
  <si>
    <t>7-1527</t>
  </si>
  <si>
    <t>7-1528</t>
  </si>
  <si>
    <t>7-1601</t>
  </si>
  <si>
    <t>7-1602</t>
  </si>
  <si>
    <t>7-1603</t>
  </si>
  <si>
    <t>7-1604</t>
  </si>
  <si>
    <t>7-1605</t>
  </si>
  <si>
    <t>7-1606</t>
  </si>
  <si>
    <t>7-1607</t>
  </si>
  <si>
    <t>7-1608</t>
  </si>
  <si>
    <t>7-1619</t>
  </si>
  <si>
    <t>7-1620</t>
  </si>
  <si>
    <t>7-1621</t>
  </si>
  <si>
    <t>7-1622</t>
  </si>
  <si>
    <t>7-1623</t>
  </si>
  <si>
    <t>7-1624</t>
  </si>
  <si>
    <t>7-1625</t>
  </si>
  <si>
    <t>7-1626</t>
  </si>
  <si>
    <t>7-1627</t>
  </si>
  <si>
    <t>7-1628</t>
  </si>
  <si>
    <t>7-1713</t>
  </si>
  <si>
    <t>7-1714</t>
  </si>
  <si>
    <t>7-1715</t>
  </si>
  <si>
    <t>7-1716</t>
  </si>
  <si>
    <t>7-1717</t>
  </si>
  <si>
    <t>7-1718</t>
  </si>
  <si>
    <t>7-1719</t>
  </si>
  <si>
    <t>7-1720</t>
  </si>
  <si>
    <t>7-1721</t>
  </si>
  <si>
    <t>7-1722</t>
  </si>
  <si>
    <t>7-1723</t>
  </si>
  <si>
    <t>7-1724</t>
  </si>
  <si>
    <t>7-1725</t>
  </si>
  <si>
    <t>7-1726</t>
  </si>
  <si>
    <t>7-1801</t>
  </si>
  <si>
    <t>7-1802</t>
  </si>
  <si>
    <t>7-1803</t>
  </si>
  <si>
    <t>7-1804</t>
  </si>
  <si>
    <t>7-1805</t>
  </si>
  <si>
    <t>7-1806</t>
  </si>
  <si>
    <t>7-1807</t>
  </si>
  <si>
    <t>7-1808</t>
  </si>
  <si>
    <t>7-1809</t>
  </si>
  <si>
    <t>7-1810</t>
  </si>
  <si>
    <t>7-1811</t>
  </si>
  <si>
    <t>7-1812</t>
  </si>
  <si>
    <t>7-1813</t>
  </si>
  <si>
    <t>7-1814</t>
  </si>
  <si>
    <t>7-1815</t>
  </si>
  <si>
    <t>7-1816</t>
  </si>
  <si>
    <t>7-1817</t>
  </si>
  <si>
    <t>7-1818</t>
  </si>
  <si>
    <t>7-1819</t>
  </si>
  <si>
    <t>7-1820</t>
  </si>
  <si>
    <t>7-1821</t>
  </si>
  <si>
    <t>7-1822</t>
  </si>
  <si>
    <t>7-1823</t>
  </si>
  <si>
    <t>7-1824</t>
  </si>
  <si>
    <t>7-1825</t>
  </si>
  <si>
    <t>7-1826</t>
  </si>
  <si>
    <t>7-1827</t>
  </si>
  <si>
    <t>7-1828</t>
  </si>
  <si>
    <t>7-1901</t>
  </si>
  <si>
    <t>7-1902</t>
  </si>
  <si>
    <t>7-1903</t>
  </si>
  <si>
    <t>7-1904</t>
  </si>
  <si>
    <t>7-1905</t>
  </si>
  <si>
    <t>7-1906</t>
  </si>
  <si>
    <t>7-1907</t>
  </si>
  <si>
    <t>7-1908</t>
  </si>
  <si>
    <t>7-1909</t>
  </si>
  <si>
    <t>7-1910</t>
  </si>
  <si>
    <t>7-1911</t>
  </si>
  <si>
    <t>7-1912</t>
  </si>
  <si>
    <t>7-1913</t>
  </si>
  <si>
    <t>7-1914</t>
  </si>
  <si>
    <t>7-1915</t>
  </si>
  <si>
    <t>7-1916</t>
  </si>
  <si>
    <t>7-1917</t>
  </si>
  <si>
    <t>7-1918</t>
  </si>
  <si>
    <t>7-1919</t>
  </si>
  <si>
    <t>7-1920</t>
  </si>
  <si>
    <t>7-1921</t>
  </si>
  <si>
    <t>7-1922</t>
  </si>
  <si>
    <t>7-1923</t>
  </si>
  <si>
    <t>7-1924</t>
  </si>
  <si>
    <t>7-1925</t>
  </si>
  <si>
    <t>7-1926</t>
  </si>
  <si>
    <t>7-1927</t>
  </si>
  <si>
    <t>7-1928</t>
  </si>
  <si>
    <t>7-2001</t>
  </si>
  <si>
    <t>7-2002</t>
  </si>
  <si>
    <t>7-2003</t>
  </si>
  <si>
    <t>7-2004</t>
  </si>
  <si>
    <t>7-2005</t>
  </si>
  <si>
    <t>7-2006</t>
  </si>
  <si>
    <t>7-2007</t>
  </si>
  <si>
    <t>7-2008</t>
  </si>
  <si>
    <t>7-2009</t>
  </si>
  <si>
    <t>7-2010</t>
  </si>
  <si>
    <t>7-2011</t>
  </si>
  <si>
    <t>7-2012</t>
  </si>
  <si>
    <t>7-2013</t>
  </si>
  <si>
    <t>7-2014</t>
  </si>
  <si>
    <t>7-2015</t>
  </si>
  <si>
    <t>7-2016</t>
  </si>
  <si>
    <t>7-2017</t>
  </si>
  <si>
    <t>7-2018</t>
  </si>
  <si>
    <t>7-2019</t>
  </si>
  <si>
    <t>7-2020</t>
  </si>
  <si>
    <t>7-2021</t>
  </si>
  <si>
    <t>7-2022</t>
  </si>
  <si>
    <t>7-2023</t>
  </si>
  <si>
    <t>7-2024</t>
  </si>
  <si>
    <t>7-2025</t>
  </si>
  <si>
    <t>7-2026</t>
  </si>
  <si>
    <t>7-2027</t>
  </si>
  <si>
    <t>7-2028</t>
  </si>
  <si>
    <t>7-2101</t>
  </si>
  <si>
    <t>7-2102</t>
  </si>
  <si>
    <t>7-2103</t>
  </si>
  <si>
    <t>7-2104</t>
  </si>
  <si>
    <t>7-2105</t>
  </si>
  <si>
    <t>7-2106</t>
  </si>
  <si>
    <t>7-2107</t>
  </si>
  <si>
    <t>7-2108</t>
  </si>
  <si>
    <t>7-2109</t>
  </si>
  <si>
    <t>7-2110</t>
  </si>
  <si>
    <t>7-2111</t>
  </si>
  <si>
    <t>7-2112</t>
  </si>
  <si>
    <t>7-2113</t>
  </si>
  <si>
    <t>7-2114</t>
  </si>
  <si>
    <t>7-2115</t>
  </si>
  <si>
    <t>7-2116</t>
  </si>
  <si>
    <t>7-2117</t>
  </si>
  <si>
    <t>7-2118</t>
  </si>
  <si>
    <t>7-2119</t>
  </si>
  <si>
    <t>7-2120</t>
  </si>
  <si>
    <t>7-2121</t>
  </si>
  <si>
    <t>7-2122</t>
  </si>
  <si>
    <t>7-2123</t>
  </si>
  <si>
    <t>7-2124</t>
  </si>
  <si>
    <t>7-2125</t>
  </si>
  <si>
    <t>7-2126</t>
  </si>
  <si>
    <t>7-2127</t>
  </si>
  <si>
    <t>7-2128</t>
  </si>
  <si>
    <t>7-2201</t>
  </si>
  <si>
    <t>7-2202</t>
  </si>
  <si>
    <t>7-2203</t>
  </si>
  <si>
    <t>7-2204</t>
  </si>
  <si>
    <t>7-2205</t>
  </si>
  <si>
    <t>7-2206</t>
  </si>
  <si>
    <t>7-2207</t>
  </si>
  <si>
    <t>7-2208</t>
  </si>
  <si>
    <t>7-2209</t>
  </si>
  <si>
    <t>7-2210</t>
  </si>
  <si>
    <t>7-2211</t>
  </si>
  <si>
    <t>7-2212</t>
  </si>
  <si>
    <t>7-2213</t>
  </si>
  <si>
    <t>7-2214</t>
  </si>
  <si>
    <t>7-2215</t>
  </si>
  <si>
    <t>7-2216</t>
  </si>
  <si>
    <t>7-2217</t>
  </si>
  <si>
    <t>7-2218</t>
  </si>
  <si>
    <t>7-2219</t>
  </si>
  <si>
    <t>7-2220</t>
  </si>
  <si>
    <t>7-2221</t>
  </si>
  <si>
    <t>7-2222</t>
  </si>
  <si>
    <t>7-2223</t>
  </si>
  <si>
    <t>7-2224</t>
  </si>
  <si>
    <t>7-2225</t>
  </si>
  <si>
    <t>7-2226</t>
  </si>
  <si>
    <t>7-2227</t>
  </si>
  <si>
    <t>7-2228</t>
  </si>
  <si>
    <t>7-2301</t>
  </si>
  <si>
    <t>7-2302</t>
  </si>
  <si>
    <t>7-2303</t>
  </si>
  <si>
    <t>7-2304</t>
  </si>
  <si>
    <t>7-2305</t>
  </si>
  <si>
    <t>7-2306</t>
  </si>
  <si>
    <t>7-2307</t>
  </si>
  <si>
    <t>7-2308</t>
  </si>
  <si>
    <t>7-2309</t>
  </si>
  <si>
    <t>7-2310</t>
  </si>
  <si>
    <t>7-2311</t>
  </si>
  <si>
    <t>7-2312</t>
  </si>
  <si>
    <t>7-2313</t>
  </si>
  <si>
    <t>7-2314</t>
  </si>
  <si>
    <t>7-2315</t>
  </si>
  <si>
    <t>7-2316</t>
  </si>
  <si>
    <t>7-2317</t>
  </si>
  <si>
    <t>7-2318</t>
  </si>
  <si>
    <t>7-2319</t>
  </si>
  <si>
    <t>7-2320</t>
  </si>
  <si>
    <t>7-2321</t>
  </si>
  <si>
    <t>7-2322</t>
  </si>
  <si>
    <t>7-2323</t>
  </si>
  <si>
    <t>7-2324</t>
  </si>
  <si>
    <t>7-2325</t>
  </si>
  <si>
    <t>7-2326</t>
  </si>
  <si>
    <t>7-2327</t>
  </si>
  <si>
    <t>7-2328</t>
  </si>
  <si>
    <t>7-2401</t>
  </si>
  <si>
    <t>7-2402</t>
  </si>
  <si>
    <t>7-2403</t>
  </si>
  <si>
    <t>7-2404</t>
  </si>
  <si>
    <t>7-2405</t>
  </si>
  <si>
    <t>7-2406</t>
  </si>
  <si>
    <t>7-2407</t>
  </si>
  <si>
    <t>7-2408</t>
  </si>
  <si>
    <t>7-2409</t>
  </si>
  <si>
    <t>7-2410</t>
  </si>
  <si>
    <t>7-2411</t>
  </si>
  <si>
    <t>7-2412</t>
  </si>
  <si>
    <t>7-2413</t>
  </si>
  <si>
    <t>7-2414</t>
  </si>
  <si>
    <t>7-2415</t>
  </si>
  <si>
    <t>7-2416</t>
  </si>
  <si>
    <t>7-2417</t>
  </si>
  <si>
    <t>7-2418</t>
  </si>
  <si>
    <t>7-2419</t>
  </si>
  <si>
    <t>7-2420</t>
  </si>
  <si>
    <t>7-2421</t>
  </si>
  <si>
    <t>7-2422</t>
  </si>
  <si>
    <t>7-2423</t>
  </si>
  <si>
    <t>7-2424</t>
  </si>
  <si>
    <t>7-2425</t>
  </si>
  <si>
    <t>7-2426</t>
  </si>
  <si>
    <t>7-2427</t>
  </si>
  <si>
    <t>7-2428</t>
  </si>
  <si>
    <t>7-2501</t>
  </si>
  <si>
    <t>7-2502</t>
  </si>
  <si>
    <t>7-2503</t>
  </si>
  <si>
    <t>7-2504</t>
  </si>
  <si>
    <t>7-2505</t>
  </si>
  <si>
    <t>7-2506</t>
  </si>
  <si>
    <t>7-2507</t>
  </si>
  <si>
    <t>7-2508</t>
  </si>
  <si>
    <t>7-2509</t>
  </si>
  <si>
    <t>7-2510</t>
  </si>
  <si>
    <t>7-2511</t>
  </si>
  <si>
    <t>7-2512</t>
  </si>
  <si>
    <t>7-2513</t>
  </si>
  <si>
    <t>7-2514</t>
  </si>
  <si>
    <t>7-2515</t>
  </si>
  <si>
    <t>7-2516</t>
  </si>
  <si>
    <t>7-2517</t>
  </si>
  <si>
    <t>7-2518</t>
  </si>
  <si>
    <t>7-2519</t>
  </si>
  <si>
    <t>7-2520</t>
  </si>
  <si>
    <t>7-2521</t>
  </si>
  <si>
    <t>7-2522</t>
  </si>
  <si>
    <t>7-2523</t>
  </si>
  <si>
    <t>7-2524</t>
  </si>
  <si>
    <t>7-2525</t>
  </si>
  <si>
    <t>7-2526</t>
  </si>
  <si>
    <t>7-2527</t>
  </si>
  <si>
    <t>7-2528</t>
  </si>
  <si>
    <t>7-2601</t>
  </si>
  <si>
    <t>7-2602</t>
  </si>
  <si>
    <t>7-2603</t>
  </si>
  <si>
    <t>7-2604</t>
  </si>
  <si>
    <t>7-2605</t>
  </si>
  <si>
    <t>7-2606</t>
  </si>
  <si>
    <t>7-2607</t>
  </si>
  <si>
    <t>7-2608</t>
  </si>
  <si>
    <t>7-2609</t>
  </si>
  <si>
    <t>7-2610</t>
  </si>
  <si>
    <t>7-2611</t>
  </si>
  <si>
    <t>7-2612</t>
  </si>
  <si>
    <t>7-2613</t>
  </si>
  <si>
    <t>7-2614</t>
  </si>
  <si>
    <t>7-2615</t>
  </si>
  <si>
    <t>7-2616</t>
  </si>
  <si>
    <t>7-2617</t>
  </si>
  <si>
    <t>7-2618</t>
  </si>
  <si>
    <t>7-2619</t>
  </si>
  <si>
    <t>7-2620</t>
  </si>
  <si>
    <t>7-2621</t>
  </si>
  <si>
    <t>7-2622</t>
  </si>
  <si>
    <t>7-2623</t>
  </si>
  <si>
    <t>7-2624</t>
  </si>
  <si>
    <t>7-2625</t>
  </si>
  <si>
    <t>7-2626</t>
  </si>
  <si>
    <t>7-2627</t>
  </si>
  <si>
    <t>7-2628</t>
  </si>
  <si>
    <t>7-2701</t>
  </si>
  <si>
    <t>7-2702</t>
  </si>
  <si>
    <t>7-2703</t>
  </si>
  <si>
    <t>7-2704</t>
  </si>
  <si>
    <t>7-2705</t>
  </si>
  <si>
    <t>7-2706</t>
  </si>
  <si>
    <t>7-2707</t>
  </si>
  <si>
    <t>7-2708</t>
  </si>
  <si>
    <t>7-2709</t>
  </si>
  <si>
    <t>7-2710</t>
  </si>
  <si>
    <t>7-2711</t>
  </si>
  <si>
    <t>7-2712</t>
  </si>
  <si>
    <t>7-2713</t>
  </si>
  <si>
    <t>7-2714</t>
  </si>
  <si>
    <t>7-2715</t>
  </si>
  <si>
    <t>7-2716</t>
  </si>
  <si>
    <t>7-2717</t>
  </si>
  <si>
    <t>7-2718</t>
  </si>
  <si>
    <t>7-2719</t>
  </si>
  <si>
    <t>7-2720</t>
  </si>
  <si>
    <t>7-2721</t>
  </si>
  <si>
    <t>7-2722</t>
  </si>
  <si>
    <t>7-2723</t>
  </si>
  <si>
    <t>7-2724</t>
  </si>
  <si>
    <t>7-2725</t>
  </si>
  <si>
    <t>7-2726</t>
  </si>
  <si>
    <t>7-2727</t>
  </si>
  <si>
    <t>7-2728</t>
  </si>
  <si>
    <t>7-301</t>
  </si>
  <si>
    <t>7-302</t>
  </si>
  <si>
    <t>7-303</t>
  </si>
  <si>
    <t>7-304</t>
  </si>
  <si>
    <t>7-305</t>
  </si>
  <si>
    <t>7-306</t>
  </si>
  <si>
    <t>7-307</t>
  </si>
  <si>
    <t>7-308</t>
  </si>
  <si>
    <t>7-309</t>
  </si>
  <si>
    <t>7-310</t>
  </si>
  <si>
    <t>7-311</t>
  </si>
  <si>
    <t>7-312</t>
  </si>
  <si>
    <t>7-313</t>
  </si>
  <si>
    <t>7-401</t>
  </si>
  <si>
    <t>7-402</t>
  </si>
  <si>
    <t>7-403</t>
  </si>
  <si>
    <t>7-404</t>
  </si>
  <si>
    <t>7-405</t>
  </si>
  <si>
    <t>7-406</t>
  </si>
  <si>
    <t>7-407</t>
  </si>
  <si>
    <t>7-408</t>
  </si>
  <si>
    <t>7-409</t>
  </si>
  <si>
    <t>7-410</t>
  </si>
  <si>
    <t>7-411</t>
  </si>
  <si>
    <t>7-412</t>
  </si>
  <si>
    <t>7-413</t>
  </si>
  <si>
    <t>7-501</t>
  </si>
  <si>
    <t>7-502</t>
  </si>
  <si>
    <t>7-503</t>
  </si>
  <si>
    <t>7-504</t>
  </si>
  <si>
    <t>7-505</t>
  </si>
  <si>
    <t>7-506</t>
  </si>
  <si>
    <t>7-507</t>
  </si>
  <si>
    <t>7-508</t>
  </si>
  <si>
    <t>7-509</t>
  </si>
  <si>
    <t>7-510</t>
  </si>
  <si>
    <t>7-511</t>
  </si>
  <si>
    <t>7-512</t>
  </si>
  <si>
    <t>7-513</t>
  </si>
  <si>
    <t>7-601</t>
  </si>
  <si>
    <t>7-602</t>
  </si>
  <si>
    <t>7-603</t>
  </si>
  <si>
    <t>7-604</t>
  </si>
  <si>
    <t>7-605</t>
  </si>
  <si>
    <t>7-606</t>
  </si>
  <si>
    <t>7-607</t>
  </si>
  <si>
    <t>7-608</t>
  </si>
  <si>
    <t>7-609</t>
  </si>
  <si>
    <t>7-610</t>
  </si>
  <si>
    <t>7-611</t>
  </si>
  <si>
    <t>7-612</t>
  </si>
  <si>
    <t>7-613</t>
  </si>
  <si>
    <t>7-614</t>
  </si>
  <si>
    <t>7-615</t>
  </si>
  <si>
    <t>7-616</t>
  </si>
  <si>
    <t>7-701</t>
  </si>
  <si>
    <t>7-702</t>
  </si>
  <si>
    <t>7-703</t>
  </si>
  <si>
    <t>7-704</t>
  </si>
  <si>
    <t>7-705</t>
  </si>
  <si>
    <t>7-706</t>
  </si>
  <si>
    <t>7-707</t>
  </si>
  <si>
    <t>7-708</t>
  </si>
  <si>
    <t>7-709</t>
  </si>
  <si>
    <t>7-710</t>
  </si>
  <si>
    <t>7-711</t>
  </si>
  <si>
    <t>7-712</t>
  </si>
  <si>
    <t>7-713</t>
  </si>
  <si>
    <t>7-714</t>
  </si>
  <si>
    <t>7-715</t>
  </si>
  <si>
    <t>7-716</t>
  </si>
  <si>
    <t>7-801</t>
  </si>
  <si>
    <t>7-802</t>
  </si>
  <si>
    <t>7-803</t>
  </si>
  <si>
    <t>7-804</t>
  </si>
  <si>
    <t>7-805</t>
  </si>
  <si>
    <t>7-806</t>
  </si>
  <si>
    <t>7-807</t>
  </si>
  <si>
    <t>7-808</t>
  </si>
  <si>
    <t>7-809</t>
  </si>
  <si>
    <t>7-810</t>
  </si>
  <si>
    <t>7-811</t>
  </si>
  <si>
    <t>7-812</t>
  </si>
  <si>
    <t>7-813</t>
  </si>
  <si>
    <t>7-814</t>
  </si>
  <si>
    <t>7-815</t>
  </si>
  <si>
    <t>7-816</t>
  </si>
  <si>
    <t>7-901</t>
  </si>
  <si>
    <t>7-902</t>
  </si>
  <si>
    <t>7-903</t>
  </si>
  <si>
    <t>7-904</t>
  </si>
  <si>
    <t>7-905</t>
  </si>
  <si>
    <t>7-906</t>
  </si>
  <si>
    <t>7-907</t>
  </si>
  <si>
    <t>7-908</t>
  </si>
  <si>
    <t>7-909</t>
  </si>
  <si>
    <t>7-910</t>
  </si>
  <si>
    <t>7-911</t>
  </si>
  <si>
    <t>7-912</t>
  </si>
  <si>
    <t>7-913</t>
  </si>
  <si>
    <t>7-914</t>
  </si>
  <si>
    <t>7-915</t>
  </si>
  <si>
    <t>7-916</t>
  </si>
  <si>
    <t>S1-101</t>
  </si>
  <si>
    <t>S1-102</t>
  </si>
  <si>
    <t>S1-201</t>
  </si>
  <si>
    <t>S1-202</t>
  </si>
  <si>
    <t>S1-301</t>
  </si>
  <si>
    <t>S1-302</t>
  </si>
  <si>
    <t>S1-401</t>
  </si>
  <si>
    <t>S1-402</t>
  </si>
  <si>
    <t>S1-501</t>
  </si>
  <si>
    <t>S1-502</t>
  </si>
  <si>
    <t>S2-102</t>
  </si>
  <si>
    <t>S2-103</t>
  </si>
  <si>
    <t>S2-104</t>
  </si>
  <si>
    <t>S2-105</t>
  </si>
  <si>
    <t>S3-102</t>
  </si>
  <si>
    <t>S3-103</t>
  </si>
  <si>
    <t>S3-104</t>
  </si>
  <si>
    <t>S4-101</t>
  </si>
  <si>
    <t>S4-102</t>
  </si>
  <si>
    <t>S4-103</t>
  </si>
  <si>
    <t>S4-104</t>
  </si>
  <si>
    <t>S5-101</t>
  </si>
  <si>
    <t>S5-102</t>
  </si>
  <si>
    <t>S5-103</t>
  </si>
  <si>
    <t>S5-104</t>
  </si>
  <si>
    <t>S5-105</t>
  </si>
  <si>
    <t>S5-106</t>
  </si>
  <si>
    <t>S7-1-01</t>
  </si>
  <si>
    <t>S7-1-A1</t>
  </si>
  <si>
    <t>S7-1-A2</t>
  </si>
  <si>
    <t>S7-1-A3</t>
  </si>
  <si>
    <t>S7-1-A4</t>
  </si>
  <si>
    <t>S7-1-A5</t>
  </si>
  <si>
    <t>S7-1-A6</t>
  </si>
  <si>
    <t>S7-1-A7</t>
  </si>
  <si>
    <t>S7-102</t>
  </si>
  <si>
    <t>S7-103</t>
  </si>
  <si>
    <t>S7-104</t>
  </si>
  <si>
    <t>S7-105</t>
  </si>
  <si>
    <t>S7-108</t>
  </si>
  <si>
    <t>S7-2-01</t>
  </si>
  <si>
    <t>S7-2-A1</t>
  </si>
  <si>
    <t>S7-2-A10</t>
  </si>
  <si>
    <t>S7-2-A11</t>
  </si>
  <si>
    <t>S7-2-A2</t>
  </si>
  <si>
    <t>S7-2-A3</t>
  </si>
  <si>
    <t>S7-2-A4</t>
  </si>
  <si>
    <t>S7-2-A5</t>
  </si>
  <si>
    <t>S7-2-A6</t>
  </si>
  <si>
    <t>S7-2-A7</t>
  </si>
  <si>
    <t>S7-2-A8</t>
  </si>
  <si>
    <t>S7-2-A9</t>
  </si>
  <si>
    <t>S7-3-A1</t>
  </si>
  <si>
    <t>S7-3-A10</t>
  </si>
  <si>
    <t>S7-3-A11</t>
  </si>
  <si>
    <t>S7-3-A2</t>
  </si>
  <si>
    <t>S7-3-A3</t>
  </si>
  <si>
    <t>S7-3-A4</t>
  </si>
  <si>
    <t>S7-3-A5</t>
  </si>
  <si>
    <t>S7-3-A6</t>
  </si>
  <si>
    <t>S7-3-A7</t>
  </si>
  <si>
    <t>S7-3-A8</t>
  </si>
  <si>
    <t>S7-3-A9</t>
  </si>
  <si>
    <t>S7-4-A1</t>
  </si>
  <si>
    <t>S7-4-A10</t>
  </si>
  <si>
    <t>S7-4-A11</t>
  </si>
  <si>
    <t>S7-4-A2</t>
  </si>
  <si>
    <t>S7-4-A3</t>
  </si>
  <si>
    <t>S7-4-A4</t>
  </si>
  <si>
    <t>S7-4-A5</t>
  </si>
  <si>
    <t>S7-4-A6</t>
  </si>
  <si>
    <t>S7-4-A7</t>
  </si>
  <si>
    <t>S7-4-A8</t>
  </si>
  <si>
    <t>S7-4-A9</t>
  </si>
  <si>
    <t>S7-5-A1</t>
  </si>
  <si>
    <t>S7-5-A10</t>
  </si>
  <si>
    <t>S7-5-A11</t>
  </si>
  <si>
    <t>S7-5-A2</t>
  </si>
  <si>
    <t>S7-5-A3</t>
  </si>
  <si>
    <t>S7-5-A4</t>
  </si>
  <si>
    <t>S7-5-A5</t>
  </si>
  <si>
    <t>S7-5-A6</t>
  </si>
  <si>
    <t>S7-5-A7</t>
  </si>
  <si>
    <t>S7-5-A8</t>
  </si>
  <si>
    <t>S7-5-A9</t>
  </si>
  <si>
    <t>楼层</t>
    <phoneticPr fontId="143" type="noConversion"/>
  </si>
  <si>
    <t>出让</t>
  </si>
  <si>
    <t>是</t>
  </si>
  <si>
    <t>地上</t>
  </si>
  <si>
    <t>办公楼</t>
  </si>
  <si>
    <t>其余办公用房</t>
    <phoneticPr fontId="7" type="noConversion"/>
  </si>
  <si>
    <t>成新度</t>
  </si>
  <si>
    <t>现房</t>
  </si>
  <si>
    <t>比较法-办公</t>
  </si>
  <si>
    <t>收益法</t>
  </si>
  <si>
    <t>售价</t>
  </si>
  <si>
    <t>固地尚城</t>
    <phoneticPr fontId="3" type="noConversion"/>
  </si>
  <si>
    <t>中铁云时代</t>
    <phoneticPr fontId="3" type="noConversion"/>
  </si>
  <si>
    <t>绿地云都会</t>
    <phoneticPr fontId="3" type="noConversion"/>
  </si>
  <si>
    <t>西山区昆明市西坝路与西华北路交叉口</t>
    <phoneticPr fontId="3" type="noConversion"/>
  </si>
  <si>
    <t>五华区昌源中路与科光路交叉口</t>
    <phoneticPr fontId="3" type="noConversion"/>
  </si>
  <si>
    <t>五华区海屯路与科普路口向北200米</t>
    <phoneticPr fontId="3" type="noConversion"/>
  </si>
  <si>
    <t>正常</t>
    <phoneticPr fontId="32" type="noConversion"/>
  </si>
  <si>
    <t>办公</t>
    <phoneticPr fontId="32" type="noConversion"/>
  </si>
  <si>
    <t>30-40（含）</t>
  </si>
  <si>
    <t>较好</t>
  </si>
  <si>
    <t>六通</t>
  </si>
  <si>
    <t>较好</t>
    <phoneticPr fontId="32" type="noConversion"/>
  </si>
  <si>
    <t>科普路</t>
    <phoneticPr fontId="32" type="noConversion"/>
  </si>
  <si>
    <t>城市支路</t>
    <phoneticPr fontId="32" type="noConversion"/>
  </si>
  <si>
    <t>沙河路</t>
    <phoneticPr fontId="32" type="noConversion"/>
  </si>
  <si>
    <t>科普路</t>
    <phoneticPr fontId="32" type="noConversion"/>
  </si>
  <si>
    <t>写字楼</t>
    <phoneticPr fontId="32" type="noConversion"/>
  </si>
  <si>
    <t>钢混</t>
  </si>
  <si>
    <t>钢混</t>
    <phoneticPr fontId="32" type="noConversion"/>
  </si>
  <si>
    <t>精装</t>
    <phoneticPr fontId="32" type="noConversion"/>
  </si>
  <si>
    <t>甲级</t>
    <phoneticPr fontId="32" type="noConversion"/>
  </si>
  <si>
    <t>专业物业管理</t>
    <phoneticPr fontId="32" type="noConversion"/>
  </si>
  <si>
    <t>五通</t>
    <phoneticPr fontId="32" type="noConversion"/>
  </si>
  <si>
    <t>标准</t>
    <phoneticPr fontId="32" type="noConversion"/>
  </si>
  <si>
    <t>毛坯</t>
  </si>
  <si>
    <t>毛坯</t>
    <phoneticPr fontId="32" type="noConversion"/>
  </si>
  <si>
    <t>城市快速路</t>
    <phoneticPr fontId="3" type="noConversion"/>
  </si>
  <si>
    <t>城市主干道</t>
    <phoneticPr fontId="3" type="noConversion"/>
  </si>
  <si>
    <t>城市次干道</t>
    <phoneticPr fontId="3" type="noConversion"/>
  </si>
  <si>
    <t>城市支路</t>
    <phoneticPr fontId="3" type="noConversion"/>
  </si>
  <si>
    <t>押一</t>
  </si>
  <si>
    <t>非生产用房</t>
  </si>
  <si>
    <t>否</t>
  </si>
  <si>
    <t>项目局部</t>
  </si>
  <si>
    <t>中间楼层</t>
  </si>
  <si>
    <t>中间楼层</t>
    <phoneticPr fontId="32" type="noConversion"/>
  </si>
  <si>
    <t>楼层</t>
    <phoneticPr fontId="3" type="noConversion"/>
  </si>
  <si>
    <t>装修</t>
    <phoneticPr fontId="3" type="noConversion"/>
  </si>
  <si>
    <t>精装修</t>
    <phoneticPr fontId="25" type="noConversion"/>
  </si>
  <si>
    <t>普通装修</t>
  </si>
  <si>
    <t>普通装修</t>
    <phoneticPr fontId="25" type="noConversion"/>
  </si>
  <si>
    <t>毛坯</t>
    <phoneticPr fontId="25" type="noConversion"/>
  </si>
  <si>
    <t>高楼层</t>
  </si>
  <si>
    <t>高楼层</t>
    <phoneticPr fontId="25" type="noConversion"/>
  </si>
  <si>
    <t>中间楼层</t>
    <phoneticPr fontId="25" type="noConversion"/>
  </si>
  <si>
    <t>低楼层</t>
  </si>
  <si>
    <t>低楼层</t>
    <phoneticPr fontId="25" type="noConversion"/>
  </si>
  <si>
    <t>商业街</t>
  </si>
  <si>
    <r>
      <t>A2</t>
    </r>
    <r>
      <rPr>
        <sz val="10"/>
        <color indexed="8"/>
        <rFont val="宋体"/>
        <family val="3"/>
        <charset val="134"/>
      </rPr>
      <t>地块其余</t>
    </r>
    <phoneticPr fontId="3" type="noConversion"/>
  </si>
  <si>
    <t>省会市名称</t>
  </si>
  <si>
    <t>建筑型式</t>
  </si>
  <si>
    <t>多层</t>
  </si>
  <si>
    <t>小高层</t>
  </si>
  <si>
    <t>高层</t>
  </si>
  <si>
    <t>昆明市</t>
  </si>
  <si>
    <t>修正幅度有支持么？</t>
    <phoneticPr fontId="32" type="noConversion"/>
  </si>
  <si>
    <t>60-120</t>
    <phoneticPr fontId="32" type="noConversion"/>
  </si>
  <si>
    <t>收益法 (元)</t>
  </si>
  <si>
    <t>收益还原</t>
  </si>
  <si>
    <r>
      <rPr>
        <sz val="11"/>
        <rFont val="宋体"/>
        <family val="3"/>
        <charset val="134"/>
      </rPr>
      <t>单套建筑面积</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</si>
</sst>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rgb="FF000000"/>
      <name val="宋体  "/>
      <charset val="134"/>
    </font>
    <font>
      <b/>
      <sz val="9"/>
      <color rgb="FF000000"/>
      <name val="宋体"/>
      <family val="3"/>
      <charset val="134"/>
    </font>
    <font>
      <sz val="9"/>
      <color rgb="FF000000"/>
      <name val="宋体"/>
      <family val="3"/>
      <charset val="134"/>
    </font>
    <font>
      <b/>
      <sz val="10"/>
      <color indexed="8"/>
      <name val="宋体"/>
      <family val="3"/>
      <charset val="134"/>
      <scheme val="minor"/>
    </font>
    <font>
      <sz val="10"/>
      <color indexed="8"/>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FFFF"/>
        <bgColor rgb="FF000000"/>
      </patternFill>
    </fill>
    <fill>
      <patternFill patternType="solid">
        <fgColor rgb="FFC0C0C0"/>
        <bgColor rgb="FF000000"/>
      </patternFill>
    </fill>
    <fill>
      <patternFill patternType="solid">
        <fgColor rgb="FFFFC00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255" fillId="16" borderId="156" xfId="0" applyFont="1" applyFill="1" applyBorder="1" applyAlignment="1" applyProtection="1">
      <alignment horizontal="center" vertical="center"/>
      <protection locked="0"/>
    </xf>
    <xf numFmtId="0" fontId="256" fillId="16" borderId="157" xfId="0" applyFont="1" applyFill="1" applyBorder="1" applyAlignment="1" applyProtection="1">
      <alignment horizontal="center" vertical="center"/>
      <protection locked="0"/>
    </xf>
    <xf numFmtId="0" fontId="256" fillId="0" borderId="157" xfId="0" applyFont="1" applyFill="1" applyBorder="1" applyAlignment="1" applyProtection="1">
      <alignment horizontal="center" vertical="center"/>
      <protection locked="0"/>
    </xf>
    <xf numFmtId="0" fontId="255" fillId="16" borderId="157" xfId="0" applyFont="1" applyFill="1" applyBorder="1" applyAlignment="1" applyProtection="1">
      <alignment horizontal="center" vertical="center"/>
      <protection locked="0"/>
    </xf>
    <xf numFmtId="0" fontId="257" fillId="17" borderId="160" xfId="0" applyFont="1" applyFill="1" applyBorder="1" applyAlignment="1" applyProtection="1">
      <alignment horizontal="justify" vertical="center"/>
      <protection locked="0"/>
    </xf>
    <xf numFmtId="0" fontId="257" fillId="17" borderId="161" xfId="0" applyFont="1" applyFill="1" applyBorder="1" applyAlignment="1" applyProtection="1">
      <alignment horizontal="justify" vertical="center"/>
      <protection locked="0"/>
    </xf>
    <xf numFmtId="0" fontId="257" fillId="17" borderId="161" xfId="0" applyNumberFormat="1" applyFont="1" applyFill="1" applyBorder="1" applyAlignment="1" applyProtection="1">
      <alignment horizontal="right" vertical="center"/>
      <protection locked="0"/>
    </xf>
    <xf numFmtId="0" fontId="257" fillId="18" borderId="158" xfId="0" applyFont="1" applyFill="1" applyBorder="1" applyAlignment="1" applyProtection="1">
      <alignment horizontal="center" vertical="center"/>
      <protection locked="0"/>
    </xf>
    <xf numFmtId="0" fontId="257" fillId="18" borderId="159" xfId="0" applyFont="1" applyFill="1" applyBorder="1" applyAlignment="1" applyProtection="1">
      <alignment horizontal="left" vertical="center"/>
      <protection locked="0"/>
    </xf>
    <xf numFmtId="0" fontId="257" fillId="18" borderId="159" xfId="0" applyFont="1" applyFill="1" applyBorder="1" applyAlignment="1" applyProtection="1">
      <alignment horizontal="right" vertical="center"/>
      <protection locked="0"/>
    </xf>
    <xf numFmtId="0" fontId="257" fillId="9" borderId="158" xfId="0" applyFont="1" applyFill="1" applyBorder="1" applyAlignment="1" applyProtection="1">
      <alignment horizontal="center" vertical="center"/>
      <protection locked="0"/>
    </xf>
    <xf numFmtId="0" fontId="257" fillId="9" borderId="159" xfId="0" applyFont="1" applyFill="1" applyBorder="1" applyAlignment="1" applyProtection="1">
      <alignment horizontal="left" vertical="center"/>
      <protection locked="0"/>
    </xf>
    <xf numFmtId="0" fontId="257" fillId="9" borderId="159" xfId="0" applyFont="1" applyFill="1" applyBorder="1" applyAlignment="1" applyProtection="1">
      <alignment horizontal="right" vertical="center"/>
      <protection locked="0"/>
    </xf>
    <xf numFmtId="177" fontId="80"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0" fontId="50" fillId="6" borderId="1" xfId="0" applyFont="1" applyFill="1" applyBorder="1" applyAlignment="1" applyProtection="1">
      <alignment horizontal="center"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protection locked="0"/>
    </xf>
    <xf numFmtId="0" fontId="56" fillId="7" borderId="1" xfId="0" applyFont="1" applyFill="1" applyBorder="1" applyAlignment="1" applyProtection="1">
      <alignment horizontal="center" vertical="center"/>
      <protection locked="0"/>
    </xf>
    <xf numFmtId="0" fontId="50" fillId="9" borderId="5" xfId="0" applyFont="1" applyFill="1" applyBorder="1" applyAlignment="1" applyProtection="1">
      <alignment horizontal="center" vertical="center" wrapText="1"/>
      <protection locked="0"/>
    </xf>
    <xf numFmtId="0" fontId="50" fillId="9" borderId="1" xfId="0"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59" fillId="0" borderId="162"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3" xfId="0" applyFont="1" applyFill="1" applyBorder="1" applyAlignment="1" applyProtection="1">
      <alignment horizontal="center" vertical="top" wrapText="1"/>
      <protection locked="0"/>
    </xf>
    <xf numFmtId="0" fontId="258" fillId="0" borderId="5" xfId="0" applyFont="1" applyFill="1" applyBorder="1" applyAlignment="1" applyProtection="1">
      <alignment vertical="top" wrapText="1"/>
      <protection locked="0"/>
    </xf>
    <xf numFmtId="0" fontId="259" fillId="0" borderId="162" xfId="0" applyNumberFormat="1" applyFont="1" applyFill="1" applyBorder="1" applyAlignment="1" applyProtection="1">
      <alignment vertical="top" wrapText="1"/>
      <protection locked="0"/>
    </xf>
    <xf numFmtId="0" fontId="259" fillId="0" borderId="1" xfId="0" applyNumberFormat="1" applyFont="1" applyFill="1" applyBorder="1" applyAlignment="1" applyProtection="1">
      <alignment vertical="top" wrapText="1"/>
      <protection locked="0"/>
    </xf>
    <xf numFmtId="0" fontId="259" fillId="0" borderId="163" xfId="0" applyNumberFormat="1" applyFont="1" applyFill="1" applyBorder="1" applyAlignment="1" applyProtection="1">
      <alignment vertical="top" wrapText="1"/>
      <protection locked="0"/>
    </xf>
    <xf numFmtId="0" fontId="50" fillId="8" borderId="1" xfId="0" applyFont="1" applyFill="1" applyBorder="1" applyAlignment="1" applyProtection="1">
      <alignment horizontal="center" vertical="center"/>
    </xf>
    <xf numFmtId="181" fontId="137" fillId="6" borderId="0" xfId="0" applyNumberFormat="1"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184" fontId="47" fillId="6" borderId="26"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8" fillId="0" borderId="5" xfId="0" applyFont="1" applyFill="1" applyBorder="1" applyAlignment="1" applyProtection="1">
      <alignment horizontal="center" vertical="top" wrapText="1"/>
      <protection locked="0"/>
    </xf>
    <xf numFmtId="0" fontId="259" fillId="0" borderId="162"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3"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02" fillId="0" borderId="23" xfId="0" applyFont="1" applyFill="1" applyBorder="1" applyAlignment="1" applyProtection="1">
      <alignment horizontal="center" vertical="center" wrapText="1"/>
      <protection locked="0"/>
    </xf>
    <xf numFmtId="0" fontId="102" fillId="0" borderId="24" xfId="0" applyFont="1" applyFill="1" applyBorder="1" applyAlignment="1" applyProtection="1">
      <alignment horizontal="center" vertical="center" wrapText="1"/>
      <protection locked="0"/>
    </xf>
    <xf numFmtId="0" fontId="102" fillId="0" borderId="11" xfId="0" applyFont="1" applyFill="1" applyBorder="1" applyAlignment="1" applyProtection="1">
      <alignment horizontal="center" vertical="center" wrapText="1"/>
      <protection locked="0"/>
    </xf>
    <xf numFmtId="0" fontId="102"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53',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预评估</v>
      </c>
    </row>
    <row r="3" spans="1:2" s="1596" customFormat="1">
      <c r="A3" s="1594" t="s">
        <v>1222</v>
      </c>
      <c r="B3" s="1595">
        <f>'预评函-封皮'!B40</f>
        <v>0</v>
      </c>
    </row>
    <row r="4" spans="1:2" s="1596" customFormat="1">
      <c r="A4" s="1594" t="s">
        <v>1223</v>
      </c>
      <c r="B4" s="1595" t="str">
        <f>'预评函-封皮'!B46</f>
        <v>（注册号：0)、（注册号：0)</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受贵公司委托，我公司对进行了预评估。</v>
      </c>
    </row>
    <row r="7" spans="1:2" s="1596" customFormat="1">
      <c r="A7" s="1594" t="s">
        <v>1265</v>
      </c>
      <c r="B7" s="1595" t="str">
        <f>'预评函-1'!A7</f>
        <v>估价对象为房地产，为所有。根据《国有土地使用证》[]，估价对象（分摊）出让国有建设用地使用权面积为13150.41平方米，建筑面积为38306.6499999999平方米。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估价对象为房地产,属开发建设的，该项目尚在开发建设中。根据《国有土地使用证》[]，估价对象（分摊）出让国有建设用地使用权面积为13150.41平方米，规划建筑面积为38306.6499999999平方米。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为估价委托人了解估价对象房地产市场价值提供参考依据。</v>
      </c>
    </row>
    <row r="12" spans="1:2" s="1596" customFormat="1">
      <c r="A12" s="1594" t="s">
        <v>1227</v>
      </c>
      <c r="B12" s="1595" t="str">
        <f>'预评函-1'!A15</f>
        <v>2017年10月25日（评估专业人员实地查勘之日）</v>
      </c>
    </row>
    <row r="13" spans="1:2" s="1596" customFormat="1">
      <c r="A13" s="1594" t="s">
        <v>1228</v>
      </c>
      <c r="B13" s="1595" t="str">
        <f>'预评函-1'!A18</f>
        <v>本次估价的“房地产价值”是指在正常市场情况下，在价值时点2017年10月25日，估价对象规划用途为，土地取得方式为出让，出让国有建设用地使用权剩余土地使用年限为，假定未设立法定优先受偿款下的房地产市场价值。</v>
      </c>
    </row>
    <row r="14" spans="1:2" s="1596" customFormat="1">
      <c r="A14" s="1594" t="s">
        <v>1229</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1233</v>
      </c>
      <c r="B18" s="1598" t="str">
        <f>'预评函-1'!A24</f>
        <v>本次评估采用的主估价方法为比较法和收益法。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78</v>
      </c>
    </row>
    <row r="21" spans="1:2" s="1596" customFormat="1">
      <c r="A21" s="1594" t="s">
        <v>1236</v>
      </c>
      <c r="B21" s="1595">
        <f ca="1">'预评函-2'!D7</f>
        <v>7886</v>
      </c>
    </row>
    <row r="22" spans="1:2" s="1596" customFormat="1">
      <c r="A22" s="1594" t="s">
        <v>1237</v>
      </c>
      <c r="B22" s="1595" t="str">
        <f ca="1">'预评函-2'!D6</f>
        <v>柒拾捌万元整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78</v>
      </c>
    </row>
    <row r="31" spans="1:2" s="1596" customFormat="1">
      <c r="A31" s="1594" t="s">
        <v>1275</v>
      </c>
      <c r="B31" s="1595">
        <f ca="1">'预评函-2'!D15</f>
        <v>20</v>
      </c>
    </row>
    <row r="32" spans="1:2" s="1596" customFormat="1">
      <c r="A32" s="1594" t="s">
        <v>1242</v>
      </c>
      <c r="B32" s="1595" t="str">
        <f ca="1">'预评函-2'!D14</f>
        <v>柒拾捌万元整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房地产</v>
      </c>
    </row>
    <row r="42" spans="1:2" s="1596" customFormat="1">
      <c r="A42" s="1594" t="s">
        <v>1289</v>
      </c>
      <c r="B42" s="1595" t="str">
        <f>'预评函-3'!B2</f>
        <v>建筑面积</v>
      </c>
    </row>
    <row r="43" spans="1:2" s="1596" customFormat="1">
      <c r="A43" s="1594" t="s">
        <v>1290</v>
      </c>
      <c r="B43" s="1595">
        <f>'预评函-3'!B4</f>
        <v>38306.649999999907</v>
      </c>
    </row>
    <row r="44" spans="1:2" s="1596" customFormat="1">
      <c r="A44" s="1594" t="s">
        <v>1274</v>
      </c>
      <c r="B44" s="1595" t="str">
        <f>'预评函-3'!C2</f>
        <v>(分摊)土地面积</v>
      </c>
    </row>
    <row r="45" spans="1:2" s="1596" customFormat="1">
      <c r="A45" s="1594" t="s">
        <v>1246</v>
      </c>
      <c r="B45" s="1595">
        <f>'预评函-3'!C4</f>
        <v>13150.41</v>
      </c>
    </row>
    <row r="46" spans="1:2" s="1596" customFormat="1">
      <c r="A46" s="1594" t="s">
        <v>1272</v>
      </c>
      <c r="B46" s="1595" t="str">
        <f>'预评函-3'!D2</f>
        <v>出让国有建设用地使用权价值</v>
      </c>
    </row>
    <row r="47" spans="1:2" s="1596" customFormat="1">
      <c r="A47" s="1594" t="s">
        <v>1247</v>
      </c>
      <c r="B47" s="1595" t="e">
        <f ca="1">'预评函-3'!D4</f>
        <v>#REF!</v>
      </c>
    </row>
    <row r="48" spans="1:2" s="1596" customFormat="1">
      <c r="A48" s="1594" t="s">
        <v>1248</v>
      </c>
      <c r="B48" s="1595" t="e">
        <f ca="1">'预评函-3'!E4</f>
        <v>#REF!</v>
      </c>
    </row>
    <row r="49" spans="1:2" s="1596" customFormat="1">
      <c r="A49" s="1594" t="s">
        <v>1249</v>
      </c>
      <c r="B49" s="1595" t="e">
        <f ca="1">'预评函-3'!D5</f>
        <v>#REF!</v>
      </c>
    </row>
    <row r="50" spans="1:2" s="1596" customFormat="1">
      <c r="A50" s="1594" t="s">
        <v>1273</v>
      </c>
      <c r="B50" s="1595" t="str">
        <f>'预评函-3'!F2</f>
        <v>在建建筑物价值</v>
      </c>
    </row>
    <row r="51" spans="1:2" s="1596" customFormat="1">
      <c r="A51" s="1594" t="s">
        <v>1250</v>
      </c>
      <c r="B51" s="1595" t="e">
        <f ca="1">'预评函-3'!F4</f>
        <v>#REF!</v>
      </c>
    </row>
    <row r="52" spans="1:2" s="1596" customFormat="1">
      <c r="A52" s="1594" t="s">
        <v>1251</v>
      </c>
      <c r="B52" s="1595" t="e">
        <f ca="1">'预评函-3'!G4</f>
        <v>#REF!</v>
      </c>
    </row>
    <row r="53" spans="1:2" s="1596" customFormat="1">
      <c r="A53" s="1594" t="s">
        <v>1279</v>
      </c>
      <c r="B53" s="1595" t="e">
        <f ca="1">'预评函-3'!F5</f>
        <v>#REF!</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2.本次评估设定估价对象房地产权属无争议，未被查封或者以其他形式限制其房地产权利，未设定抵押权等他项权利，不涉及第三方权利义务。</v>
      </c>
    </row>
    <row r="59" spans="1:2" s="1596" customFormat="1">
      <c r="A59" s="1594" t="s">
        <v>1253</v>
      </c>
      <c r="B59" s="1595" t="str">
        <f>'预评函-4'!A13</f>
        <v>——</v>
      </c>
    </row>
    <row r="60" spans="1:2" s="1596" customFormat="1">
      <c r="A60" s="1594" t="s">
        <v>1254</v>
      </c>
      <c r="B60" s="1595" t="str">
        <f>'预评函-4'!A14</f>
        <v>——</v>
      </c>
    </row>
    <row r="61" spans="1:2" s="1596" customFormat="1">
      <c r="A61" s="1594" t="s">
        <v>1255</v>
      </c>
      <c r="B61" s="1595" t="str">
        <f>'预评函-4'!A15</f>
        <v>——</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v>
      </c>
    </row>
    <row r="65" spans="1:2" s="1596" customFormat="1">
      <c r="A65" s="1594" t="s">
        <v>1258</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f>'预评函-4'!A4</f>
        <v>0</v>
      </c>
    </row>
    <row r="71" spans="1:2">
      <c r="A71" s="1594" t="s">
        <v>1262</v>
      </c>
      <c r="B71" s="1595">
        <f>'预评函-4'!B4</f>
        <v>0</v>
      </c>
    </row>
    <row r="72" spans="1:2">
      <c r="A72" s="1594" t="s">
        <v>1263</v>
      </c>
      <c r="B72" s="1603">
        <f>'预评函-4'!A5</f>
        <v>0</v>
      </c>
    </row>
    <row r="73" spans="1:2" s="1590" customFormat="1" ht="15" thickBot="1">
      <c r="A73" s="1597" t="s">
        <v>1264</v>
      </c>
      <c r="B73" s="1598">
        <f>'预评函-4'!B5</f>
        <v>0</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9" sqref="AB9:AB11"/>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2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25" t="s">
        <v>864</v>
      </c>
      <c r="C54" s="2022" t="s">
        <v>1282</v>
      </c>
    </row>
    <row r="55" spans="1:4">
      <c r="A55" s="3024"/>
      <c r="B55" s="2025" t="s">
        <v>865</v>
      </c>
      <c r="C55" s="2022" t="s">
        <v>1283</v>
      </c>
    </row>
    <row r="56" spans="1:4">
      <c r="A56" s="3024"/>
      <c r="B56" s="2025" t="s">
        <v>866</v>
      </c>
      <c r="C56" s="2022" t="s">
        <v>1287</v>
      </c>
    </row>
    <row r="57" spans="1:4">
      <c r="A57" s="3024"/>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5" customWidth="1"/>
    <col min="2" max="2" width="13.75" style="2035" customWidth="1"/>
    <col min="3" max="3" width="11.5" style="2035" customWidth="1"/>
    <col min="4" max="4" width="1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1778</v>
      </c>
      <c r="B1" s="3025" t="str">
        <f>IF(B10="北京市","北京市",C10)&amp;F10&amp;IF(结果表!G1="在建","出让国有建设用地使用权及在建建筑物",IF(结果表!G1="土地","出让国有建设用地使用权",))&amp;B9&amp;"预评估"</f>
        <v>预评估</v>
      </c>
      <c r="C1" s="3026"/>
      <c r="D1" s="3026"/>
      <c r="E1" s="3026"/>
      <c r="F1" s="3026"/>
      <c r="G1" s="3026"/>
      <c r="H1" s="3026"/>
      <c r="I1" s="302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1779</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1780</v>
      </c>
      <c r="B3" s="2039">
        <v>43033</v>
      </c>
      <c r="C3" s="2040" t="s">
        <v>1781</v>
      </c>
      <c r="D3" s="2039">
        <v>43033</v>
      </c>
      <c r="E3" s="2029"/>
      <c r="F3" s="2029"/>
      <c r="G3" s="2029"/>
      <c r="H3" s="2029"/>
      <c r="I3" s="2029"/>
      <c r="J3" s="2029"/>
      <c r="K3" s="2030"/>
      <c r="L3" s="2031"/>
      <c r="M3" s="2031"/>
      <c r="N3" s="2032"/>
      <c r="O3" s="2033"/>
      <c r="P3" s="2032"/>
      <c r="Q3" s="2032"/>
      <c r="R3" s="2032"/>
      <c r="S3" s="2034"/>
    </row>
    <row r="4" spans="1:19" ht="18" customHeight="1" thickBot="1">
      <c r="A4" s="2041" t="s">
        <v>1782</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1783</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1784</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1785</v>
      </c>
      <c r="B7" s="2056"/>
      <c r="C7" s="2053"/>
      <c r="D7" s="2054"/>
      <c r="E7" s="2037"/>
      <c r="F7" s="2045"/>
      <c r="G7" s="2045"/>
      <c r="H7" s="2045"/>
      <c r="I7" s="2045"/>
      <c r="J7" s="2045"/>
      <c r="K7" s="2057"/>
      <c r="L7" s="2031"/>
      <c r="M7" s="2031"/>
      <c r="N7" s="2032"/>
      <c r="O7" s="2033"/>
      <c r="P7" s="2032"/>
      <c r="Q7" s="2032"/>
      <c r="R7" s="2032"/>
    </row>
    <row r="8" spans="1:19" ht="18" customHeight="1">
      <c r="A8" s="2051" t="s">
        <v>1786</v>
      </c>
      <c r="B8" s="2058"/>
      <c r="C8" s="2059"/>
      <c r="D8" s="3028" t="s">
        <v>1787</v>
      </c>
      <c r="E8" s="2060"/>
      <c r="F8" s="2061"/>
      <c r="G8" s="2029"/>
      <c r="H8" s="2029"/>
      <c r="I8" s="2029"/>
      <c r="J8" s="2045"/>
      <c r="K8" s="2046"/>
      <c r="L8" s="2031"/>
      <c r="M8" s="2031"/>
      <c r="N8" s="2032"/>
      <c r="O8" s="2033"/>
      <c r="P8" s="2032"/>
      <c r="Q8" s="2032"/>
      <c r="R8" s="2032"/>
    </row>
    <row r="9" spans="1:19" ht="18" customHeight="1" thickBot="1">
      <c r="A9" s="2043" t="s">
        <v>1788</v>
      </c>
      <c r="B9" s="2062"/>
      <c r="C9" s="2063"/>
      <c r="D9" s="3029"/>
      <c r="E9" s="2062"/>
      <c r="F9" s="2064"/>
      <c r="G9" s="2065"/>
      <c r="H9" s="2065"/>
      <c r="I9" s="2065"/>
      <c r="J9" s="2045"/>
      <c r="K9" s="2057"/>
      <c r="L9" s="2031"/>
      <c r="M9" s="2031"/>
      <c r="N9" s="2032"/>
      <c r="O9" s="2033"/>
      <c r="P9" s="2032"/>
      <c r="Q9" s="2032"/>
      <c r="R9" s="2032"/>
    </row>
    <row r="10" spans="1:19" ht="18" customHeight="1" thickTop="1">
      <c r="A10" s="2066" t="s">
        <v>1789</v>
      </c>
      <c r="B10" s="2067"/>
      <c r="C10" s="2068"/>
      <c r="D10" s="2050"/>
      <c r="E10" s="2069" t="s">
        <v>1790</v>
      </c>
      <c r="F10" s="2070"/>
      <c r="G10" s="2071"/>
      <c r="H10" s="2072"/>
      <c r="I10" s="2050"/>
      <c r="J10" s="2045"/>
      <c r="K10" s="2057"/>
      <c r="L10" s="2031"/>
      <c r="M10" s="2031"/>
      <c r="N10" s="2032"/>
      <c r="O10" s="2033"/>
      <c r="P10" s="2032"/>
      <c r="Q10" s="2032"/>
      <c r="R10" s="2032"/>
    </row>
    <row r="11" spans="1:19" ht="18" customHeight="1">
      <c r="A11" s="2073" t="s">
        <v>1791</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1792</v>
      </c>
      <c r="B12" s="2074" t="s">
        <v>3657</v>
      </c>
      <c r="C12" s="2078" t="s">
        <v>1793</v>
      </c>
      <c r="D12" s="2079" t="s">
        <v>1794</v>
      </c>
      <c r="E12" s="2079" t="s">
        <v>1795</v>
      </c>
      <c r="F12" s="2079" t="s">
        <v>1796</v>
      </c>
      <c r="G12" s="2079" t="s">
        <v>1797</v>
      </c>
      <c r="H12" s="2079" t="s">
        <v>1798</v>
      </c>
      <c r="I12" s="2079" t="s">
        <v>1799</v>
      </c>
      <c r="J12" s="2045"/>
      <c r="K12" s="2057"/>
      <c r="L12" s="2031"/>
      <c r="M12" s="2031"/>
      <c r="N12" s="2032"/>
      <c r="O12" s="2033"/>
      <c r="P12" s="2032"/>
      <c r="Q12" s="2032"/>
      <c r="R12" s="2032"/>
    </row>
    <row r="13" spans="1:19" ht="18" customHeight="1">
      <c r="A13" s="2080"/>
      <c r="B13" s="2081"/>
      <c r="C13" s="2082" t="s">
        <v>1800</v>
      </c>
      <c r="D13" s="2083"/>
      <c r="E13" s="2083">
        <v>55683</v>
      </c>
      <c r="F13" s="2083"/>
      <c r="G13" s="2083"/>
      <c r="H13" s="2083"/>
      <c r="I13" s="1050"/>
      <c r="J13" s="2045"/>
      <c r="K13" s="2057"/>
      <c r="L13" s="2031"/>
      <c r="M13" s="2031"/>
      <c r="N13" s="2032"/>
      <c r="O13" s="2033"/>
      <c r="P13" s="2032"/>
      <c r="Q13" s="2032"/>
      <c r="R13" s="2032"/>
    </row>
    <row r="14" spans="1:19" ht="18" customHeight="1">
      <c r="A14" s="2080"/>
      <c r="B14" s="2081"/>
      <c r="C14" s="2082" t="s">
        <v>1801</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1802</v>
      </c>
      <c r="D15" s="1052" t="str">
        <f>IF(B12="出让",IF(D13="","",ROUNDDOWN(MIN((D13-$D$3)/365,D14),2)),D14)</f>
        <v/>
      </c>
      <c r="E15" s="1052">
        <f>IF(B12="出让",IF(E13="","",ROUNDDOWN(MIN((E13-$D$3)/365,E14),2)),E14)</f>
        <v>34.65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1803</v>
      </c>
      <c r="B16" s="3035"/>
      <c r="C16" s="3036"/>
      <c r="D16" s="3037"/>
      <c r="E16" s="2089" t="s">
        <v>1804</v>
      </c>
      <c r="F16" s="3038"/>
      <c r="G16" s="3039"/>
      <c r="H16" s="3039"/>
      <c r="I16" s="3040"/>
      <c r="J16" s="2032"/>
      <c r="K16" s="2086"/>
      <c r="L16" s="2087"/>
      <c r="M16" s="2087"/>
      <c r="N16" s="2088"/>
      <c r="O16" s="2087"/>
      <c r="P16" s="2088"/>
      <c r="Q16" s="2032"/>
      <c r="R16" s="2032"/>
    </row>
    <row r="17" spans="1:22" ht="18" customHeight="1">
      <c r="A17" s="2090" t="s">
        <v>1805</v>
      </c>
      <c r="B17" s="2038" t="s">
        <v>1806</v>
      </c>
      <c r="C17" s="1057">
        <f>'数据-汇总表'!E3</f>
        <v>38306.649999999907</v>
      </c>
      <c r="D17" s="2091" t="s">
        <v>1807</v>
      </c>
      <c r="E17" s="3041" t="s">
        <v>1808</v>
      </c>
      <c r="F17" s="3042"/>
      <c r="G17" s="3042"/>
      <c r="H17" s="3042"/>
      <c r="I17" s="3043"/>
      <c r="J17" s="2032"/>
      <c r="K17" s="2092"/>
      <c r="L17" s="2087"/>
      <c r="M17" s="2087"/>
      <c r="N17" s="2088"/>
      <c r="O17" s="2087"/>
      <c r="P17" s="2088"/>
      <c r="Q17" s="2032"/>
      <c r="R17" s="2032"/>
      <c r="S17" s="2032"/>
      <c r="T17" s="2032"/>
      <c r="U17" s="2032"/>
      <c r="V17" s="2032"/>
    </row>
    <row r="18" spans="1:22" ht="36" customHeight="1" thickBot="1">
      <c r="A18" s="2093" t="s">
        <v>1809</v>
      </c>
      <c r="B18" s="2041" t="s">
        <v>1810</v>
      </c>
      <c r="C18" s="1446">
        <f>'数据-汇总表'!D3</f>
        <v>13150.41</v>
      </c>
      <c r="D18" s="2094" t="s">
        <v>1807</v>
      </c>
      <c r="E18" s="3044" t="s">
        <v>1811</v>
      </c>
      <c r="F18" s="3045"/>
      <c r="G18" s="3045"/>
      <c r="H18" s="3045"/>
      <c r="I18" s="3046"/>
      <c r="J18" s="2032"/>
      <c r="K18" s="2092"/>
      <c r="L18" s="2087"/>
      <c r="M18" s="2087"/>
      <c r="N18" s="2088"/>
      <c r="O18" s="2087"/>
      <c r="P18" s="2088"/>
      <c r="Q18" s="2032"/>
      <c r="R18" s="2032"/>
      <c r="S18" s="2032"/>
      <c r="T18" s="2032"/>
      <c r="U18" s="2032"/>
      <c r="V18" s="2032"/>
    </row>
    <row r="19" spans="1:22" ht="37.5" customHeight="1" thickTop="1" thickBot="1">
      <c r="A19" s="373" t="s">
        <v>1812</v>
      </c>
      <c r="B19" s="352" t="s">
        <v>1813</v>
      </c>
      <c r="C19" s="2095"/>
      <c r="D19" s="2096" t="s">
        <v>1814</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1815</v>
      </c>
      <c r="B20" s="3031" t="s">
        <v>1816</v>
      </c>
      <c r="C20" s="3032"/>
      <c r="D20" s="3033" t="s">
        <v>1817</v>
      </c>
      <c r="E20" s="3034"/>
      <c r="F20" s="2101" t="s">
        <v>1818</v>
      </c>
      <c r="G20" s="2045"/>
      <c r="H20" s="2045"/>
      <c r="I20" s="2045"/>
      <c r="J20" s="2045"/>
      <c r="K20" s="3030"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1820</v>
      </c>
      <c r="C21" s="2103" t="s">
        <v>1821</v>
      </c>
      <c r="D21" s="2104" t="s">
        <v>1822</v>
      </c>
      <c r="E21" s="2105" t="s">
        <v>1821</v>
      </c>
      <c r="F21" s="2106"/>
      <c r="G21" s="2045"/>
      <c r="H21" s="2045"/>
      <c r="I21" s="2045"/>
      <c r="J21" s="2045"/>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1823</v>
      </c>
      <c r="C22" s="2103" t="s">
        <v>1824</v>
      </c>
      <c r="D22" s="2029"/>
      <c r="E22" s="2029"/>
      <c r="F22" s="2108"/>
      <c r="G22" s="2045"/>
      <c r="H22" s="2045"/>
      <c r="I22" s="2045"/>
      <c r="J22" s="2045"/>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1825</v>
      </c>
      <c r="B23" s="183" t="s">
        <v>1826</v>
      </c>
      <c r="C23" s="2110"/>
      <c r="D23" s="2111" t="s">
        <v>1826</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1827</v>
      </c>
      <c r="C24" s="2115"/>
      <c r="D24" s="2109" t="s">
        <v>1827</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1828</v>
      </c>
      <c r="C25" s="2115"/>
      <c r="D25" s="2109" t="s">
        <v>1828</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1829</v>
      </c>
      <c r="C26" s="2119"/>
      <c r="D26" s="2120" t="s">
        <v>1830</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8" t="s">
        <v>1831</v>
      </c>
      <c r="B27" s="2066" t="s">
        <v>1832</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8"/>
      <c r="B28" s="2038" t="s">
        <v>1833</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8"/>
      <c r="B29" s="2038" t="s">
        <v>1834</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9"/>
      <c r="B30" s="2038" t="s">
        <v>1835</v>
      </c>
      <c r="C30" s="3050"/>
      <c r="D30" s="305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52" t="s">
        <v>1836</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1837</v>
      </c>
      <c r="B34" s="2137"/>
      <c r="C34" s="2137"/>
      <c r="D34" s="2137"/>
      <c r="E34" s="2137"/>
      <c r="F34" s="2137"/>
      <c r="G34" s="2137"/>
      <c r="H34" s="2137"/>
      <c r="I34" s="2045"/>
      <c r="J34" s="2045"/>
      <c r="K34" s="1798">
        <f>COUNTIF(B34:H34,"——")</f>
        <v>0</v>
      </c>
      <c r="L34" s="2078" t="s">
        <v>1838</v>
      </c>
      <c r="M34" s="2078" t="s">
        <v>1839</v>
      </c>
      <c r="N34" s="2078" t="s">
        <v>1840</v>
      </c>
      <c r="O34" s="2078" t="s">
        <v>1841</v>
      </c>
      <c r="P34" s="2078" t="s">
        <v>1842</v>
      </c>
      <c r="Q34" s="2078" t="s">
        <v>1843</v>
      </c>
      <c r="R34" s="2078" t="s">
        <v>1844</v>
      </c>
      <c r="S34" s="3047" t="s">
        <v>1845</v>
      </c>
      <c r="T34" s="2138" t="str">
        <f>NUMBERSTRING(7-K34,1)&amp;"通"</f>
        <v>七通</v>
      </c>
      <c r="U34" s="2032"/>
      <c r="V34" s="2032"/>
    </row>
    <row r="35" spans="1:22" ht="18" customHeight="1">
      <c r="A35" s="2139"/>
      <c r="B35" s="3054" t="s">
        <v>1846</v>
      </c>
      <c r="C35" s="3054"/>
      <c r="D35" s="3054"/>
      <c r="E35" s="3054"/>
      <c r="F35" s="2140">
        <f>C10</f>
        <v>0</v>
      </c>
      <c r="G35" s="2045"/>
      <c r="H35" s="2045"/>
      <c r="I35" s="2045"/>
      <c r="J35" s="2045"/>
      <c r="K35" s="2078"/>
      <c r="L35" s="2078">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7"/>
      <c r="T35" s="47" t="str">
        <f>IF(T34="一通",L35,IF(T34="二通",M35,IF(T34="三通",N35,IF(T34="四通",O35,IF(T34="五通",P35,IF(T34="六通",Q35,R35))))))</f>
        <v>、、、、、、</v>
      </c>
      <c r="U35" s="2032"/>
      <c r="V35" s="2032"/>
    </row>
    <row r="36" spans="1:22" ht="18" customHeight="1">
      <c r="A36" s="2141"/>
      <c r="B36" s="2140" t="s">
        <v>1847</v>
      </c>
      <c r="C36" s="2140" t="s">
        <v>1848</v>
      </c>
      <c r="D36" s="2140" t="s">
        <v>1849</v>
      </c>
      <c r="E36" s="2140" t="s">
        <v>1850</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1851</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1852</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1853</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1854</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1855</v>
      </c>
      <c r="B42" s="1798" t="s">
        <v>1856</v>
      </c>
      <c r="C42" s="1798" t="s">
        <v>1857</v>
      </c>
      <c r="D42" s="1798" t="s">
        <v>1858</v>
      </c>
      <c r="E42" s="1798" t="s">
        <v>1859</v>
      </c>
      <c r="F42" s="1798" t="s">
        <v>1860</v>
      </c>
      <c r="G42" s="1798" t="s">
        <v>1861</v>
      </c>
      <c r="H42" s="1798" t="s">
        <v>1862</v>
      </c>
      <c r="I42" s="1798" t="s">
        <v>1863</v>
      </c>
      <c r="J42" s="2156" t="s">
        <v>1864</v>
      </c>
      <c r="K42" s="2079" t="s">
        <v>1865</v>
      </c>
      <c r="L42" s="2079" t="s">
        <v>1866</v>
      </c>
      <c r="M42" s="2079" t="s">
        <v>1867</v>
      </c>
      <c r="N42" s="1798" t="s">
        <v>1868</v>
      </c>
      <c r="O42" s="1798" t="s">
        <v>1869</v>
      </c>
      <c r="P42" s="1798" t="s">
        <v>1870</v>
      </c>
      <c r="Q42" s="2078" t="s">
        <v>1871</v>
      </c>
      <c r="R42" s="2078" t="s">
        <v>1872</v>
      </c>
      <c r="S42" s="2032"/>
      <c r="T42" s="2032"/>
      <c r="U42" s="2032"/>
      <c r="V42" s="2032"/>
    </row>
    <row r="43" spans="1:22" s="2161" customFormat="1" ht="18" customHeight="1">
      <c r="A43" s="2157"/>
      <c r="B43" s="1274"/>
      <c r="C43" s="1274"/>
      <c r="D43" s="1274"/>
      <c r="E43" s="1274"/>
      <c r="F43" s="1274"/>
      <c r="G43" s="1274"/>
      <c r="H43" s="9"/>
      <c r="I43" s="9"/>
      <c r="J43" s="2158"/>
      <c r="K43" s="2159"/>
      <c r="L43" s="2159"/>
      <c r="M43" s="9"/>
      <c r="N43" s="1274"/>
      <c r="O43" s="9"/>
      <c r="P43" s="1274"/>
      <c r="Q43" s="1274"/>
      <c r="R43" s="1274"/>
      <c r="S43" s="2160"/>
      <c r="T43" s="2160"/>
      <c r="U43" s="2160"/>
      <c r="V43" s="2160"/>
    </row>
    <row r="44" spans="1:22" s="2161" customFormat="1" ht="18" customHeight="1">
      <c r="A44" s="2157"/>
      <c r="B44" s="2157"/>
      <c r="C44" s="1274"/>
      <c r="D44" s="1274"/>
      <c r="E44" s="1274"/>
      <c r="F44" s="1274"/>
      <c r="G44" s="1274"/>
      <c r="H44" s="9"/>
      <c r="I44" s="9"/>
      <c r="J44" s="2158"/>
      <c r="K44" s="2159"/>
      <c r="L44" s="2159"/>
      <c r="M44" s="9"/>
      <c r="N44" s="1274"/>
      <c r="O44" s="9"/>
      <c r="P44" s="1274"/>
      <c r="Q44" s="1274"/>
      <c r="R44" s="1274"/>
      <c r="S44" s="2160"/>
      <c r="T44" s="2160"/>
      <c r="U44" s="2160"/>
      <c r="V44" s="2160"/>
    </row>
    <row r="45" spans="1:22" s="2161" customFormat="1" ht="18" customHeight="1">
      <c r="A45" s="2157"/>
      <c r="B45" s="2157"/>
      <c r="C45" s="1274"/>
      <c r="D45" s="1274"/>
      <c r="E45" s="1274"/>
      <c r="F45" s="1274"/>
      <c r="G45" s="1274"/>
      <c r="H45" s="9"/>
      <c r="I45" s="9"/>
      <c r="J45" s="2158"/>
      <c r="K45" s="2159"/>
      <c r="L45" s="2159"/>
      <c r="M45" s="9"/>
      <c r="N45" s="1274"/>
      <c r="O45" s="9"/>
      <c r="P45" s="1274"/>
      <c r="Q45" s="1274"/>
      <c r="R45" s="1274"/>
      <c r="S45" s="2160"/>
      <c r="T45" s="2160"/>
      <c r="U45" s="2160"/>
      <c r="V45" s="2160"/>
    </row>
    <row r="46" spans="1:22" s="2161" customFormat="1" ht="18" customHeight="1">
      <c r="A46" s="2157"/>
      <c r="B46" s="2157"/>
      <c r="C46" s="1274"/>
      <c r="D46" s="1274"/>
      <c r="E46" s="1274"/>
      <c r="F46" s="1274"/>
      <c r="G46" s="1274"/>
      <c r="H46" s="9"/>
      <c r="I46" s="9"/>
      <c r="J46" s="2158"/>
      <c r="K46" s="2159"/>
      <c r="L46" s="2159"/>
      <c r="M46" s="9"/>
      <c r="N46" s="1274"/>
      <c r="O46" s="9"/>
      <c r="P46" s="1274"/>
      <c r="Q46" s="1274"/>
      <c r="R46" s="1274"/>
      <c r="S46" s="2160"/>
      <c r="T46" s="2160"/>
      <c r="U46" s="2160"/>
      <c r="V46" s="2160"/>
    </row>
    <row r="47" spans="1:22" s="2161" customFormat="1" ht="18" customHeight="1">
      <c r="A47" s="2157"/>
      <c r="B47" s="2157"/>
      <c r="C47" s="1274"/>
      <c r="D47" s="1274"/>
      <c r="E47" s="1274"/>
      <c r="F47" s="1274"/>
      <c r="G47" s="1274"/>
      <c r="H47" s="9"/>
      <c r="I47" s="9"/>
      <c r="J47" s="2158"/>
      <c r="K47" s="2159"/>
      <c r="L47" s="2159"/>
      <c r="M47" s="9"/>
      <c r="N47" s="1274"/>
      <c r="O47" s="9"/>
      <c r="P47" s="1274"/>
      <c r="Q47" s="1274"/>
      <c r="R47" s="1274"/>
      <c r="S47" s="2160"/>
      <c r="T47" s="2160"/>
      <c r="U47" s="2160"/>
      <c r="V47" s="2160"/>
    </row>
    <row r="48" spans="1:22" s="2161" customFormat="1" ht="18" customHeight="1">
      <c r="A48" s="2157"/>
      <c r="B48" s="2157"/>
      <c r="C48" s="1274"/>
      <c r="D48" s="1274"/>
      <c r="E48" s="1274"/>
      <c r="F48" s="1274"/>
      <c r="G48" s="1274"/>
      <c r="H48" s="9"/>
      <c r="I48" s="9"/>
      <c r="J48" s="2158"/>
      <c r="K48" s="2159"/>
      <c r="L48" s="2159"/>
      <c r="M48" s="9"/>
      <c r="N48" s="1274"/>
      <c r="O48" s="9"/>
      <c r="P48" s="1274"/>
      <c r="Q48" s="1274"/>
      <c r="R48" s="1274"/>
      <c r="S48" s="2160"/>
      <c r="T48" s="2160"/>
      <c r="U48" s="2160"/>
      <c r="V48" s="2160"/>
    </row>
    <row r="49" spans="1:22" s="2161" customFormat="1" ht="18" customHeight="1">
      <c r="A49" s="2157"/>
      <c r="B49" s="2157"/>
      <c r="C49" s="1274"/>
      <c r="D49" s="1274"/>
      <c r="E49" s="1274"/>
      <c r="F49" s="1274"/>
      <c r="G49" s="1274"/>
      <c r="H49" s="9"/>
      <c r="I49" s="9"/>
      <c r="J49" s="2158"/>
      <c r="K49" s="2159"/>
      <c r="L49" s="2159"/>
      <c r="M49" s="9"/>
      <c r="N49" s="1274"/>
      <c r="O49" s="9"/>
      <c r="P49" s="1274"/>
      <c r="Q49" s="1274"/>
      <c r="R49" s="1274"/>
      <c r="S49" s="2160"/>
      <c r="T49" s="2160"/>
      <c r="U49" s="2160"/>
      <c r="V49" s="2160"/>
    </row>
    <row r="50" spans="1:22" s="2161" customFormat="1" ht="18" customHeight="1">
      <c r="A50" s="2157"/>
      <c r="B50" s="2157"/>
      <c r="C50" s="1274"/>
      <c r="D50" s="1274"/>
      <c r="E50" s="1274"/>
      <c r="F50" s="1274"/>
      <c r="G50" s="1274"/>
      <c r="H50" s="9"/>
      <c r="I50" s="9"/>
      <c r="J50" s="2158"/>
      <c r="K50" s="2159"/>
      <c r="L50" s="2159"/>
      <c r="M50" s="9"/>
      <c r="N50" s="1274"/>
      <c r="O50" s="9"/>
      <c r="P50" s="1274"/>
      <c r="Q50" s="1274"/>
      <c r="R50" s="1274"/>
      <c r="S50" s="2160"/>
      <c r="T50" s="2160"/>
      <c r="U50" s="2160"/>
      <c r="V50" s="2160"/>
    </row>
    <row r="51" spans="1:22" s="2161" customFormat="1" ht="18" customHeight="1">
      <c r="A51" s="2157"/>
      <c r="B51" s="2157"/>
      <c r="C51" s="1274"/>
      <c r="D51" s="1274"/>
      <c r="E51" s="1274"/>
      <c r="F51" s="1274"/>
      <c r="G51" s="1274"/>
      <c r="H51" s="9"/>
      <c r="I51" s="9"/>
      <c r="J51" s="2158"/>
      <c r="K51" s="2159"/>
      <c r="L51" s="2159"/>
      <c r="M51" s="9"/>
      <c r="N51" s="1274"/>
      <c r="O51" s="9"/>
      <c r="P51" s="1274"/>
      <c r="Q51" s="1274"/>
      <c r="R51" s="1274"/>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S13" activePane="bottomRight" state="frozen"/>
      <selection activeCell="C50" sqref="C50"/>
      <selection pane="topRight" activeCell="C50" sqref="C50"/>
      <selection pane="bottomLeft" activeCell="C50" sqref="C50"/>
      <selection pane="bottomRight" activeCell="D559" sqref="D55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2" width="9.5" style="2163" customWidth="1"/>
    <col min="13" max="14" width="9.5" style="2163" hidden="1" customWidth="1"/>
    <col min="15" max="15" width="9.875" style="2163" hidden="1" customWidth="1"/>
    <col min="16" max="16" width="9.75" style="2163" hidden="1"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1875</v>
      </c>
      <c r="B2" s="11" t="s">
        <v>1876</v>
      </c>
      <c r="C2" s="11" t="s">
        <v>1877</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1878</v>
      </c>
      <c r="AZ2" s="1273" t="s">
        <v>1879</v>
      </c>
      <c r="BA2" s="11" t="s">
        <v>1880</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2969">
        <v>21926</v>
      </c>
      <c r="B3" s="13">
        <f>IF(C3="否",G5-AT5,G5)</f>
        <v>82625.430000000008</v>
      </c>
      <c r="C3" s="2172" t="s">
        <v>1881</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967">
        <f>ROUND(A3*AZ5/AZ3,2)</f>
        <v>13150.41</v>
      </c>
      <c r="AZ3" s="2968">
        <f>82625.43-1206.84-17548.96</f>
        <v>63869.63</v>
      </c>
      <c r="BA3" s="1275"/>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4" t="s">
        <v>1882</v>
      </c>
      <c r="B5" s="1806"/>
      <c r="C5" s="1806"/>
      <c r="D5" s="1809"/>
      <c r="E5" s="15" t="s">
        <v>1</v>
      </c>
      <c r="F5" s="15">
        <f>SUM(F13:F587)</f>
        <v>0</v>
      </c>
      <c r="G5" s="15">
        <f>SUM(G13:G587)</f>
        <v>82625.430000000008</v>
      </c>
      <c r="H5" s="15">
        <f t="shared" ref="H5:AT5" si="0">SUM(H13:H656)</f>
        <v>63711.98</v>
      </c>
      <c r="I5" s="15">
        <f t="shared" si="0"/>
        <v>40909.730000000003</v>
      </c>
      <c r="J5" s="15">
        <f t="shared" si="0"/>
        <v>0</v>
      </c>
      <c r="K5" s="15">
        <f t="shared" si="0"/>
        <v>22802.25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18913.45</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157.65</v>
      </c>
      <c r="AQ5" s="15">
        <f t="shared" si="0"/>
        <v>0</v>
      </c>
      <c r="AR5" s="15">
        <f t="shared" si="0"/>
        <v>18755.8</v>
      </c>
      <c r="AS5" s="15">
        <f t="shared" si="0"/>
        <v>0</v>
      </c>
      <c r="AT5" s="15">
        <f t="shared" si="0"/>
        <v>0</v>
      </c>
      <c r="AU5" s="1805"/>
      <c r="AV5" s="14" t="s">
        <v>1882</v>
      </c>
      <c r="AW5" s="1806"/>
      <c r="AX5" s="1806"/>
      <c r="AY5" s="16" t="s">
        <v>3</v>
      </c>
      <c r="AZ5" s="17">
        <f t="shared" ref="AZ5:BT5" si="1">SUM(AZ13:AZ656)</f>
        <v>38306.649999999907</v>
      </c>
      <c r="BA5" s="17">
        <f t="shared" si="1"/>
        <v>38306.649999999907</v>
      </c>
      <c r="BB5" s="17">
        <f t="shared" si="1"/>
        <v>38306.649999999907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1" customFormat="1" ht="12.75">
      <c r="A6" s="14" t="s">
        <v>1883</v>
      </c>
      <c r="B6" s="2178"/>
      <c r="C6" s="2178"/>
      <c r="D6" s="2179"/>
      <c r="E6" s="15">
        <f>H6+AC6+AT6</f>
        <v>21926</v>
      </c>
      <c r="F6" s="15" t="s">
        <v>1</v>
      </c>
      <c r="G6" s="15" t="s">
        <v>2</v>
      </c>
      <c r="H6" s="19">
        <f>SUMIF(I$12:AB$12,"总值",I6:AB6)</f>
        <v>16907.009999999998</v>
      </c>
      <c r="I6" s="15">
        <f t="shared" ref="I6:AB6" si="2">ROUND($A$3*I5/$B$3,2)</f>
        <v>10856.06</v>
      </c>
      <c r="J6" s="15">
        <f t="shared" si="2"/>
        <v>0</v>
      </c>
      <c r="K6" s="15">
        <f t="shared" si="2"/>
        <v>6050.95</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5018.99</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41.83</v>
      </c>
      <c r="AQ6" s="15">
        <f t="shared" si="3"/>
        <v>0</v>
      </c>
      <c r="AR6" s="15">
        <f t="shared" si="3"/>
        <v>4977.16</v>
      </c>
      <c r="AS6" s="15">
        <f t="shared" si="3"/>
        <v>0</v>
      </c>
      <c r="AT6" s="19">
        <f>IF(C3="是",ROUND($A$3*AT5/$B$3,2),0)</f>
        <v>0</v>
      </c>
      <c r="AU6" s="2180"/>
      <c r="AV6" s="14" t="s">
        <v>1883</v>
      </c>
      <c r="AW6" s="2178"/>
      <c r="AX6" s="2178"/>
      <c r="AY6" s="20">
        <f>IF(AY3&gt;0,AY3,ROUND($A$3*AZ5/$B$3,2))</f>
        <v>13150.41</v>
      </c>
      <c r="AZ6" s="15" t="s">
        <v>3</v>
      </c>
      <c r="BA6" s="15">
        <f>ROUND($AY$6*BA5/$AZ$5,2)</f>
        <v>13150.41</v>
      </c>
      <c r="BB6" s="15">
        <f>ROUND($AY$6*BB5/$AZ$5,2)</f>
        <v>13150.41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1" customFormat="1" ht="24.75">
      <c r="A7" s="2113" t="s">
        <v>1884</v>
      </c>
      <c r="B7" s="2113" t="s">
        <v>1885</v>
      </c>
      <c r="C7" s="2113" t="s">
        <v>1886</v>
      </c>
      <c r="D7" s="2113" t="s">
        <v>1887</v>
      </c>
      <c r="E7" s="2113" t="s">
        <v>1888</v>
      </c>
      <c r="F7" s="2113" t="s">
        <v>1889</v>
      </c>
      <c r="G7" s="2182" t="s">
        <v>1890</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1891</v>
      </c>
      <c r="AV7" s="22" t="s">
        <v>1892</v>
      </c>
      <c r="AW7" s="2170" t="s">
        <v>1893</v>
      </c>
      <c r="AX7" s="22" t="s">
        <v>1886</v>
      </c>
      <c r="AY7" s="1806" t="s">
        <v>1894</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1895</v>
      </c>
      <c r="H8" s="2188" t="s">
        <v>1896</v>
      </c>
      <c r="I8" s="2189"/>
      <c r="J8" s="1821"/>
      <c r="K8" s="1821"/>
      <c r="L8" s="1821"/>
      <c r="M8" s="1821"/>
      <c r="N8" s="1821"/>
      <c r="O8" s="1821"/>
      <c r="P8" s="1821"/>
      <c r="Q8" s="1821"/>
      <c r="R8" s="1821"/>
      <c r="S8" s="1821"/>
      <c r="T8" s="1821"/>
      <c r="U8" s="1821"/>
      <c r="V8" s="2190"/>
      <c r="W8" s="1821"/>
      <c r="X8" s="1821"/>
      <c r="Y8" s="1821"/>
      <c r="Z8" s="1821"/>
      <c r="AA8" s="2190"/>
      <c r="AB8" s="2191"/>
      <c r="AC8" s="984" t="s">
        <v>1897</v>
      </c>
      <c r="AD8" s="2192"/>
      <c r="AE8" s="2184"/>
      <c r="AF8" s="1821"/>
      <c r="AG8" s="1821"/>
      <c r="AH8" s="1821"/>
      <c r="AI8" s="1821"/>
      <c r="AJ8" s="1821"/>
      <c r="AK8" s="1821"/>
      <c r="AL8" s="1821"/>
      <c r="AM8" s="1821"/>
      <c r="AN8" s="1821"/>
      <c r="AO8" s="1821"/>
      <c r="AP8" s="1821"/>
      <c r="AQ8" s="1821"/>
      <c r="AR8" s="1821"/>
      <c r="AS8" s="1821"/>
      <c r="AT8" s="1294" t="s">
        <v>1898</v>
      </c>
      <c r="AU8" s="2186" t="s">
        <v>1899</v>
      </c>
      <c r="AV8" s="1294"/>
      <c r="AW8" s="2169"/>
      <c r="AX8" s="1294"/>
      <c r="AY8" s="2170" t="s">
        <v>1900</v>
      </c>
      <c r="AZ8" s="1820" t="s">
        <v>1901</v>
      </c>
      <c r="BA8" s="1821"/>
      <c r="BB8" s="1821"/>
      <c r="BC8" s="1821"/>
      <c r="BD8" s="1821"/>
      <c r="BE8" s="1821"/>
      <c r="BF8" s="1821"/>
      <c r="BG8" s="1821"/>
      <c r="BH8" s="1821"/>
      <c r="BI8" s="1821"/>
      <c r="BJ8" s="1821"/>
      <c r="BK8" s="1821"/>
      <c r="BL8" s="1821"/>
      <c r="BM8" s="1821"/>
      <c r="BN8" s="1821"/>
      <c r="BO8" s="1821"/>
      <c r="BP8" s="1821"/>
      <c r="BQ8" s="1821"/>
      <c r="BR8" s="1821"/>
      <c r="BS8" s="1821"/>
      <c r="BT8" s="25"/>
    </row>
    <row r="9" spans="1:72" s="2193" customFormat="1" ht="12.75">
      <c r="A9" s="2186"/>
      <c r="B9" s="2186"/>
      <c r="C9" s="2186"/>
      <c r="D9" s="2186"/>
      <c r="E9" s="2186"/>
      <c r="F9" s="2186"/>
      <c r="G9" s="1294"/>
      <c r="H9" s="2194" t="s">
        <v>1902</v>
      </c>
      <c r="I9" s="2195" t="s">
        <v>3659</v>
      </c>
      <c r="J9" s="984"/>
      <c r="K9" s="2195" t="s">
        <v>3659</v>
      </c>
      <c r="L9" s="984"/>
      <c r="M9" s="2195"/>
      <c r="N9" s="984"/>
      <c r="O9" s="2195"/>
      <c r="P9" s="984"/>
      <c r="Q9" s="2195"/>
      <c r="R9" s="984"/>
      <c r="S9" s="2195"/>
      <c r="T9" s="984"/>
      <c r="U9" s="2195"/>
      <c r="V9" s="984"/>
      <c r="W9" s="2195"/>
      <c r="X9" s="2196"/>
      <c r="Y9" s="2195"/>
      <c r="Z9" s="984"/>
      <c r="AA9" s="2195"/>
      <c r="AB9" s="984"/>
      <c r="AC9" s="2187" t="s">
        <v>1902</v>
      </c>
      <c r="AD9" s="14" t="s">
        <v>1903</v>
      </c>
      <c r="AE9" s="1300"/>
      <c r="AF9" s="14" t="s">
        <v>1904</v>
      </c>
      <c r="AG9" s="1300"/>
      <c r="AH9" s="14" t="s">
        <v>1903</v>
      </c>
      <c r="AI9" s="1300"/>
      <c r="AJ9" s="14" t="s">
        <v>1904</v>
      </c>
      <c r="AK9" s="1300"/>
      <c r="AL9" s="14" t="s">
        <v>1903</v>
      </c>
      <c r="AM9" s="1300"/>
      <c r="AN9" s="14" t="s">
        <v>1904</v>
      </c>
      <c r="AO9" s="1300"/>
      <c r="AP9" s="14" t="s">
        <v>1903</v>
      </c>
      <c r="AQ9" s="1300"/>
      <c r="AR9" s="14" t="s">
        <v>1904</v>
      </c>
      <c r="AS9" s="2197"/>
      <c r="AT9" s="2186"/>
      <c r="AU9" s="2186" t="s">
        <v>1905</v>
      </c>
      <c r="AV9" s="1294"/>
      <c r="AW9" s="2169"/>
      <c r="AX9" s="1294"/>
      <c r="AY9" s="27"/>
      <c r="AZ9" s="27" t="s">
        <v>1895</v>
      </c>
      <c r="BA9" s="2198" t="s">
        <v>1906</v>
      </c>
      <c r="BB9" s="2199"/>
      <c r="BC9" s="1340"/>
      <c r="BD9" s="1340"/>
      <c r="BE9" s="1340"/>
      <c r="BF9" s="1340"/>
      <c r="BG9" s="1340"/>
      <c r="BH9" s="1340"/>
      <c r="BI9" s="1340"/>
      <c r="BJ9" s="1340"/>
      <c r="BK9" s="2200"/>
      <c r="BL9" s="14" t="s">
        <v>1907</v>
      </c>
      <c r="BM9" s="1821"/>
      <c r="BN9" s="2189"/>
      <c r="BO9" s="1821"/>
      <c r="BP9" s="1821"/>
      <c r="BQ9" s="1821"/>
      <c r="BR9" s="1821"/>
      <c r="BS9" s="1821"/>
      <c r="BT9" s="25"/>
    </row>
    <row r="10" spans="1:72" s="2193" customFormat="1" ht="12.75">
      <c r="A10" s="2186"/>
      <c r="B10" s="2186"/>
      <c r="C10" s="2186"/>
      <c r="D10" s="2186"/>
      <c r="E10" s="2186"/>
      <c r="F10" s="2186"/>
      <c r="G10" s="1294"/>
      <c r="H10" s="27"/>
      <c r="I10" s="2195" t="s">
        <v>1378</v>
      </c>
      <c r="J10" s="984"/>
      <c r="K10" s="2201" t="s">
        <v>1378</v>
      </c>
      <c r="L10" s="984"/>
      <c r="M10" s="2201"/>
      <c r="N10" s="984"/>
      <c r="O10" s="2201"/>
      <c r="P10" s="984"/>
      <c r="Q10" s="2201"/>
      <c r="R10" s="984"/>
      <c r="S10" s="2201"/>
      <c r="T10" s="984"/>
      <c r="U10" s="2201"/>
      <c r="V10" s="984"/>
      <c r="W10" s="2201"/>
      <c r="X10" s="984"/>
      <c r="Y10" s="2201"/>
      <c r="Z10" s="984"/>
      <c r="AA10" s="2201"/>
      <c r="AB10" s="984"/>
      <c r="AC10" s="1294"/>
      <c r="AD10" s="14" t="s">
        <v>1908</v>
      </c>
      <c r="AE10" s="2202"/>
      <c r="AF10" s="14" t="s">
        <v>1908</v>
      </c>
      <c r="AG10" s="2202"/>
      <c r="AH10" s="14" t="s">
        <v>1909</v>
      </c>
      <c r="AI10" s="2202"/>
      <c r="AJ10" s="14" t="s">
        <v>1909</v>
      </c>
      <c r="AK10" s="2202"/>
      <c r="AL10" s="14" t="s">
        <v>1910</v>
      </c>
      <c r="AM10" s="1300"/>
      <c r="AN10" s="14" t="s">
        <v>1910</v>
      </c>
      <c r="AO10" s="1300"/>
      <c r="AP10" s="14" t="s">
        <v>1911</v>
      </c>
      <c r="AQ10" s="1300"/>
      <c r="AR10" s="14" t="s">
        <v>1911</v>
      </c>
      <c r="AS10" s="1300"/>
      <c r="AT10" s="2186"/>
      <c r="AU10" s="2186"/>
      <c r="AV10" s="1294"/>
      <c r="AW10" s="2169"/>
      <c r="AX10" s="1294"/>
      <c r="AY10" s="27"/>
      <c r="AZ10" s="27"/>
      <c r="BA10" s="2203" t="s">
        <v>1902</v>
      </c>
      <c r="BB10" s="2204" t="str">
        <f>I9</f>
        <v>地上</v>
      </c>
      <c r="BC10" s="28" t="str">
        <f>K9</f>
        <v>地上</v>
      </c>
      <c r="BD10" s="28">
        <f>M9</f>
        <v>0</v>
      </c>
      <c r="BE10" s="28">
        <f>O9</f>
        <v>0</v>
      </c>
      <c r="BF10" s="28">
        <f>Q9</f>
        <v>0</v>
      </c>
      <c r="BG10" s="28">
        <f>S9</f>
        <v>0</v>
      </c>
      <c r="BH10" s="28">
        <f>U9</f>
        <v>0</v>
      </c>
      <c r="BI10" s="28">
        <f>W9</f>
        <v>0</v>
      </c>
      <c r="BJ10" s="28">
        <f>Y9</f>
        <v>0</v>
      </c>
      <c r="BK10" s="28">
        <f>AA9</f>
        <v>0</v>
      </c>
      <c r="BL10" s="24" t="s">
        <v>1902</v>
      </c>
      <c r="BM10" s="1820" t="str">
        <f>AD9</f>
        <v>地上</v>
      </c>
      <c r="BN10" s="28" t="str">
        <f>AF9</f>
        <v>地下</v>
      </c>
      <c r="BO10" s="1820" t="str">
        <f>AH9</f>
        <v>地上</v>
      </c>
      <c r="BP10" s="28" t="str">
        <f>AJ9</f>
        <v>地下</v>
      </c>
      <c r="BQ10" s="1820" t="str">
        <f>AL9</f>
        <v>地上</v>
      </c>
      <c r="BR10" s="28" t="str">
        <f>AN9</f>
        <v>地下</v>
      </c>
      <c r="BS10" s="1820" t="str">
        <f>AP9</f>
        <v>地上</v>
      </c>
      <c r="BT10" s="2205" t="str">
        <f>AR9</f>
        <v>地下</v>
      </c>
    </row>
    <row r="11" spans="1:72" s="2193" customFormat="1" ht="12.75">
      <c r="A11" s="2186"/>
      <c r="B11" s="2186"/>
      <c r="C11" s="2186"/>
      <c r="D11" s="2186"/>
      <c r="E11" s="2186"/>
      <c r="F11" s="2186"/>
      <c r="G11" s="1294"/>
      <c r="H11" s="2203"/>
      <c r="I11" s="2206" t="s">
        <v>3660</v>
      </c>
      <c r="J11" s="2207"/>
      <c r="K11" s="2206" t="s">
        <v>3714</v>
      </c>
      <c r="L11" s="2207"/>
      <c r="M11" s="2206"/>
      <c r="N11" s="2207"/>
      <c r="O11" s="2206"/>
      <c r="P11" s="2207"/>
      <c r="Q11" s="2206"/>
      <c r="R11" s="2207"/>
      <c r="S11" s="2206"/>
      <c r="T11" s="2207"/>
      <c r="U11" s="2206"/>
      <c r="V11" s="2207"/>
      <c r="W11" s="2206"/>
      <c r="X11" s="2207"/>
      <c r="Y11" s="2206"/>
      <c r="Z11" s="2207"/>
      <c r="AA11" s="2206"/>
      <c r="AB11" s="2207"/>
      <c r="AC11" s="1294"/>
      <c r="AD11" s="2208" t="s">
        <v>1912</v>
      </c>
      <c r="AE11" s="1822"/>
      <c r="AF11" s="2208" t="s">
        <v>1912</v>
      </c>
      <c r="AG11" s="1822"/>
      <c r="AH11" s="2208" t="s">
        <v>1913</v>
      </c>
      <c r="AI11" s="2209"/>
      <c r="AJ11" s="2208" t="s">
        <v>1913</v>
      </c>
      <c r="AK11" s="1822"/>
      <c r="AL11" s="1820"/>
      <c r="AM11" s="1822"/>
      <c r="AN11" s="1820"/>
      <c r="AO11" s="1822"/>
      <c r="AP11" s="1820"/>
      <c r="AQ11" s="1822"/>
      <c r="AR11" s="1820"/>
      <c r="AS11" s="1822"/>
      <c r="AT11" s="2169"/>
      <c r="AU11" s="2186"/>
      <c r="AV11" s="1294"/>
      <c r="AW11" s="2169"/>
      <c r="AX11" s="1294"/>
      <c r="AY11" s="27"/>
      <c r="AZ11" s="27"/>
      <c r="BA11" s="27"/>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4"/>
      <c r="BM11" s="1820" t="str">
        <f>AD10</f>
        <v>公共配套设施</v>
      </c>
      <c r="BN11" s="1820" t="str">
        <f>AF10</f>
        <v>公共配套设施</v>
      </c>
      <c r="BO11" s="23" t="str">
        <f>AH10</f>
        <v>物业管理用房</v>
      </c>
      <c r="BP11" s="23" t="str">
        <f>AJ10</f>
        <v>物业管理用房</v>
      </c>
      <c r="BQ11" s="23" t="str">
        <f>AL10</f>
        <v>设备及其他</v>
      </c>
      <c r="BR11" s="23" t="str">
        <f>AN10</f>
        <v>设备及其他</v>
      </c>
      <c r="BS11" s="24" t="str">
        <f>AP10</f>
        <v>未注明</v>
      </c>
      <c r="BT11" s="2210" t="str">
        <f>AR10</f>
        <v>未注明</v>
      </c>
    </row>
    <row r="12" spans="1:72" s="2171" customFormat="1" ht="12.75">
      <c r="A12" s="2211"/>
      <c r="B12" s="2211"/>
      <c r="C12" s="2211"/>
      <c r="D12" s="2211"/>
      <c r="E12" s="2211"/>
      <c r="F12" s="2211"/>
      <c r="G12" s="29"/>
      <c r="H12" s="2212"/>
      <c r="I12" s="1809"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5" t="s">
        <v>1915</v>
      </c>
      <c r="W12" s="11" t="s">
        <v>1914</v>
      </c>
      <c r="X12" s="11" t="s">
        <v>1915</v>
      </c>
      <c r="Y12" s="11" t="s">
        <v>1914</v>
      </c>
      <c r="Z12" s="11" t="s">
        <v>1915</v>
      </c>
      <c r="AA12" s="11" t="s">
        <v>1914</v>
      </c>
      <c r="AB12" s="11" t="s">
        <v>1915</v>
      </c>
      <c r="AC12" s="2213"/>
      <c r="AD12" s="1809"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11" t="s">
        <v>1915</v>
      </c>
      <c r="AT12" s="2214"/>
      <c r="AU12" s="2211"/>
      <c r="AV12" s="30"/>
      <c r="AW12" s="2170"/>
      <c r="AX12" s="30"/>
      <c r="AY12" s="2215"/>
      <c r="AZ12" s="27"/>
      <c r="BA12" s="2203"/>
      <c r="BB12" s="23" t="str">
        <f>I11</f>
        <v>办公楼</v>
      </c>
      <c r="BC12" s="2216" t="str">
        <f>K11</f>
        <v>商业街</v>
      </c>
      <c r="BD12" s="2216">
        <f>M11</f>
        <v>0</v>
      </c>
      <c r="BE12" s="2191">
        <f>O11</f>
        <v>0</v>
      </c>
      <c r="BF12" s="2191">
        <f>Q11</f>
        <v>0</v>
      </c>
      <c r="BG12" s="2191">
        <f>S11</f>
        <v>0</v>
      </c>
      <c r="BH12" s="2191">
        <f>U11</f>
        <v>0</v>
      </c>
      <c r="BI12" s="2191">
        <f>W11</f>
        <v>0</v>
      </c>
      <c r="BJ12" s="2191">
        <f>Y11</f>
        <v>0</v>
      </c>
      <c r="BK12" s="2191">
        <f>AA11</f>
        <v>0</v>
      </c>
      <c r="BL12" s="1294"/>
      <c r="BM12" s="1820" t="str">
        <f>AD11</f>
        <v>（住宅）</v>
      </c>
      <c r="BN12" s="1820" t="str">
        <f>AF11</f>
        <v>（住宅）</v>
      </c>
      <c r="BO12" s="23" t="str">
        <f>AH11</f>
        <v>（住宅、计出让金）</v>
      </c>
      <c r="BP12" s="23" t="str">
        <f>AJ11</f>
        <v>（住宅、计出让金）</v>
      </c>
      <c r="BQ12" s="23">
        <f>AL11</f>
        <v>0</v>
      </c>
      <c r="BR12" s="23">
        <f>AN11</f>
        <v>0</v>
      </c>
      <c r="BS12" s="24">
        <f>AP11</f>
        <v>0</v>
      </c>
      <c r="BT12" s="2210">
        <f>AR11</f>
        <v>0</v>
      </c>
    </row>
    <row r="13" spans="1:72" s="2171" customFormat="1" ht="12.75">
      <c r="A13" s="1274"/>
      <c r="B13" s="1274"/>
      <c r="C13" s="1274" t="str">
        <f>面积清单!B2</f>
        <v>7-1003</v>
      </c>
      <c r="D13" s="2217" t="s">
        <v>3658</v>
      </c>
      <c r="E13" s="15">
        <f>IF($C$3="是",ROUND($A$3*G13/$B$3,2),ROUND($A$3*(G13-AT13)/$B$3,2))</f>
        <v>26.25</v>
      </c>
      <c r="F13" s="31"/>
      <c r="G13" s="32">
        <f>H13+AC13+AT13</f>
        <v>98.91</v>
      </c>
      <c r="H13" s="19">
        <f>SUMIF(I$12:AB$12,"总值",I13:AB13)</f>
        <v>98.91</v>
      </c>
      <c r="I13" s="2218">
        <f>面积清单!E2</f>
        <v>98.91</v>
      </c>
      <c r="J13" s="2218"/>
      <c r="K13" s="2218"/>
      <c r="L13" s="2218"/>
      <c r="M13" s="2218"/>
      <c r="N13" s="2218"/>
      <c r="O13" s="2218"/>
      <c r="P13" s="2218"/>
      <c r="Q13" s="2218"/>
      <c r="R13" s="2218"/>
      <c r="S13" s="2218"/>
      <c r="T13" s="2218"/>
      <c r="U13" s="2218"/>
      <c r="V13" s="2218"/>
      <c r="W13" s="2218"/>
      <c r="X13" s="2218"/>
      <c r="Y13" s="2218"/>
      <c r="Z13" s="2218"/>
      <c r="AA13" s="2218"/>
      <c r="AB13" s="2218"/>
      <c r="AC13" s="15">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7-1003</v>
      </c>
      <c r="AY13" s="1809">
        <f>ROUND($AY$6*AZ13/$AZ$5,2)</f>
        <v>33.96</v>
      </c>
      <c r="AZ13" s="15">
        <f>BA13+BL13</f>
        <v>98.91</v>
      </c>
      <c r="BA13" s="15">
        <f>SUM(BB13:BK13)</f>
        <v>98.91</v>
      </c>
      <c r="BB13" s="15">
        <f>IF($D13="是",I13-J13,0)</f>
        <v>98.91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1" customFormat="1" ht="12.75">
      <c r="A14" s="1274"/>
      <c r="B14" s="1274"/>
      <c r="C14" s="1274" t="str">
        <f>面积清单!B3</f>
        <v>7-1004</v>
      </c>
      <c r="D14" s="2217" t="s">
        <v>3658</v>
      </c>
      <c r="E14" s="15">
        <f>IF($C$3="是",ROUND($A$3*G14/$B$3,2),ROUND($A$3*(G14-AT14)/$B$3,2))</f>
        <v>26.25</v>
      </c>
      <c r="F14" s="31"/>
      <c r="G14" s="32">
        <f>H14+AC14+AT14</f>
        <v>98.91</v>
      </c>
      <c r="H14" s="19">
        <f>SUMIF(I$12:AB$12,"总值",I14:AB14)</f>
        <v>98.91</v>
      </c>
      <c r="I14" s="2218">
        <f>面积清单!E3</f>
        <v>98.91</v>
      </c>
      <c r="J14" s="2218"/>
      <c r="K14" s="2218"/>
      <c r="L14" s="2218"/>
      <c r="M14" s="2218"/>
      <c r="N14" s="2218"/>
      <c r="O14" s="2218"/>
      <c r="P14" s="2218"/>
      <c r="Q14" s="2218"/>
      <c r="R14" s="2218"/>
      <c r="S14" s="2218"/>
      <c r="T14" s="2218"/>
      <c r="U14" s="2218"/>
      <c r="V14" s="2218"/>
      <c r="W14" s="2218"/>
      <c r="X14" s="2218"/>
      <c r="Y14" s="2218"/>
      <c r="Z14" s="2218"/>
      <c r="AA14" s="2218"/>
      <c r="AB14" s="2218"/>
      <c r="AC14" s="15">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7-1004</v>
      </c>
      <c r="AY14" s="1809">
        <f>ROUND($AY$6*AZ14/$AZ$5,2)</f>
        <v>33.96</v>
      </c>
      <c r="AZ14" s="15">
        <f>BA14+BL14</f>
        <v>98.91</v>
      </c>
      <c r="BA14" s="15">
        <f>SUM(BB14:BK14)</f>
        <v>98.91</v>
      </c>
      <c r="BB14" s="15">
        <f>IF($D14="是",I14-J14,0)</f>
        <v>98.91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1" customFormat="1" ht="12.75">
      <c r="A15" s="1274"/>
      <c r="B15" s="1274"/>
      <c r="C15" s="1274" t="str">
        <f>面积清单!B4</f>
        <v>7-1005</v>
      </c>
      <c r="D15" s="2217" t="s">
        <v>3658</v>
      </c>
      <c r="E15" s="15">
        <f>IF($C$3="是",ROUND($A$3*G15/$B$3,2),ROUND($A$3*(G15-AT15)/$B$3,2))</f>
        <v>26.25</v>
      </c>
      <c r="F15" s="31"/>
      <c r="G15" s="32">
        <f>H15+AC15+AT15</f>
        <v>98.91</v>
      </c>
      <c r="H15" s="19">
        <f>SUMIF(I$12:AB$12,"总值",I15:AB15)</f>
        <v>98.91</v>
      </c>
      <c r="I15" s="2218">
        <f>面积清单!E4</f>
        <v>98.91</v>
      </c>
      <c r="J15" s="2218"/>
      <c r="K15" s="2218"/>
      <c r="L15" s="2218"/>
      <c r="M15" s="2218"/>
      <c r="N15" s="2218"/>
      <c r="O15" s="2218"/>
      <c r="P15" s="2218"/>
      <c r="Q15" s="2218"/>
      <c r="R15" s="2218"/>
      <c r="S15" s="2218"/>
      <c r="T15" s="2218"/>
      <c r="U15" s="2218"/>
      <c r="V15" s="2218"/>
      <c r="W15" s="2218"/>
      <c r="X15" s="2218"/>
      <c r="Y15" s="2218"/>
      <c r="Z15" s="2218"/>
      <c r="AA15" s="2218"/>
      <c r="AB15" s="2218"/>
      <c r="AC15" s="15">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7-1005</v>
      </c>
      <c r="AY15" s="1809">
        <f>ROUND($AY$6*AZ15/$AZ$5,2)</f>
        <v>33.96</v>
      </c>
      <c r="AZ15" s="15">
        <f>BA15+BL15</f>
        <v>98.91</v>
      </c>
      <c r="BA15" s="15">
        <f>SUM(BB15:BK15)</f>
        <v>98.91</v>
      </c>
      <c r="BB15" s="15">
        <f>IF($D15="是",I15-J15,0)</f>
        <v>98.91</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1" customFormat="1" ht="12.75">
      <c r="A16" s="1274"/>
      <c r="B16" s="1274"/>
      <c r="C16" s="1274" t="str">
        <f>面积清单!B5</f>
        <v>7-1006</v>
      </c>
      <c r="D16" s="2217" t="s">
        <v>3658</v>
      </c>
      <c r="E16" s="15">
        <f>IF($C$3="是",ROUND($A$3*G16/$B$3,2),ROUND($A$3*(G16-AT16)/$B$3,2))</f>
        <v>26.25</v>
      </c>
      <c r="F16" s="31"/>
      <c r="G16" s="32">
        <f>H16+AC16+AT16</f>
        <v>98.91</v>
      </c>
      <c r="H16" s="19">
        <f>SUMIF(I$12:AB$12,"总值",I16:AB16)</f>
        <v>98.91</v>
      </c>
      <c r="I16" s="2218">
        <f>面积清单!E5</f>
        <v>98.91</v>
      </c>
      <c r="J16" s="2218"/>
      <c r="K16" s="2218"/>
      <c r="L16" s="2218"/>
      <c r="M16" s="2218"/>
      <c r="N16" s="2218"/>
      <c r="O16" s="2218"/>
      <c r="P16" s="2218"/>
      <c r="Q16" s="2218"/>
      <c r="R16" s="2218"/>
      <c r="S16" s="2218"/>
      <c r="T16" s="2218"/>
      <c r="U16" s="2218"/>
      <c r="V16" s="2218"/>
      <c r="W16" s="2218"/>
      <c r="X16" s="2218"/>
      <c r="Y16" s="2218"/>
      <c r="Z16" s="2218"/>
      <c r="AA16" s="2218"/>
      <c r="AB16" s="2218"/>
      <c r="AC16" s="15">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t="str">
        <f t="shared" si="6"/>
        <v>7-1006</v>
      </c>
      <c r="AY16" s="1809">
        <f>ROUND($AY$6*AZ16/$AZ$5,2)</f>
        <v>33.96</v>
      </c>
      <c r="AZ16" s="15">
        <f>BA16+BL16</f>
        <v>98.91</v>
      </c>
      <c r="BA16" s="15">
        <f>SUM(BB16:BK16)</f>
        <v>98.91</v>
      </c>
      <c r="BB16" s="15">
        <f>IF($D16="是",I16-J16,0)</f>
        <v>98.91</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1" customFormat="1" ht="12.75">
      <c r="A17" s="1274"/>
      <c r="B17" s="1274"/>
      <c r="C17" s="1274" t="str">
        <f>面积清单!B6</f>
        <v>7-1007</v>
      </c>
      <c r="D17" s="2217" t="s">
        <v>3658</v>
      </c>
      <c r="E17" s="15">
        <f>IF($C$3="是",ROUND($A$3*G17/$B$3,2),ROUND($A$3*(G17-AT17)/$B$3,2))</f>
        <v>33.43</v>
      </c>
      <c r="F17" s="31"/>
      <c r="G17" s="32">
        <f>H17+AC17+AT17</f>
        <v>125.99</v>
      </c>
      <c r="H17" s="19">
        <f>SUMIF(I$12:AB$12,"总值",I17:AB17)</f>
        <v>125.99</v>
      </c>
      <c r="I17" s="2218">
        <f>面积清单!E6</f>
        <v>125.99</v>
      </c>
      <c r="J17" s="2218"/>
      <c r="K17" s="2218"/>
      <c r="L17" s="2218"/>
      <c r="M17" s="2218"/>
      <c r="N17" s="2218"/>
      <c r="O17" s="2218"/>
      <c r="P17" s="2218"/>
      <c r="Q17" s="2218"/>
      <c r="R17" s="2218"/>
      <c r="S17" s="2218"/>
      <c r="T17" s="2218"/>
      <c r="U17" s="2218"/>
      <c r="V17" s="2218"/>
      <c r="W17" s="2218"/>
      <c r="X17" s="2218"/>
      <c r="Y17" s="2218"/>
      <c r="Z17" s="2218"/>
      <c r="AA17" s="2218"/>
      <c r="AB17" s="2218"/>
      <c r="AC17" s="15">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t="str">
        <f t="shared" si="6"/>
        <v>7-1007</v>
      </c>
      <c r="AY17" s="1809">
        <f>ROUND($AY$6*AZ17/$AZ$5,2)</f>
        <v>43.25</v>
      </c>
      <c r="AZ17" s="15">
        <f>BA17+BL17</f>
        <v>125.99</v>
      </c>
      <c r="BA17" s="15">
        <f>SUM(BB17:BK17)</f>
        <v>125.99</v>
      </c>
      <c r="BB17" s="15">
        <f>IF($D17="是",I17-J17,0)</f>
        <v>125.99</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4" t="str">
        <f>面积清单!B7</f>
        <v>7-1008</v>
      </c>
      <c r="D18" s="2217" t="s">
        <v>3658</v>
      </c>
      <c r="E18" s="34">
        <f t="shared" ref="E18:E112" si="7">IF($C$3="是",ROUND($A$3*G18/$B$3,2),ROUND($A$3*(G18-AT18)/$B$3,2))</f>
        <v>36.03</v>
      </c>
      <c r="F18" s="35"/>
      <c r="G18" s="36">
        <f t="shared" ref="G18:G109" si="8">H18+AC18+AT18</f>
        <v>135.76</v>
      </c>
      <c r="H18" s="37">
        <f t="shared" ref="H18:H109" si="9">SUMIF(I$12:AB$12,"总值",I18:AB18)</f>
        <v>135.76</v>
      </c>
      <c r="I18" s="2218">
        <f>面积清单!E7</f>
        <v>135.76</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3"/>
      <c r="AV18" s="1798">
        <f t="shared" ref="AV18:AV112" si="11">A18</f>
        <v>0</v>
      </c>
      <c r="AW18" s="1798">
        <f t="shared" ref="AW18:AW112" si="12">B18</f>
        <v>0</v>
      </c>
      <c r="AX18" s="1798" t="str">
        <f t="shared" ref="AX18:AX112" si="13">C18</f>
        <v>7-1008</v>
      </c>
      <c r="AY18" s="41">
        <f t="shared" ref="AY18:AY109" si="14">ROUND($AY$6*AZ18/$AZ$5,2)</f>
        <v>46.61</v>
      </c>
      <c r="AZ18" s="34">
        <f t="shared" ref="AZ18:AZ109" si="15">BA18+BL18</f>
        <v>135.76</v>
      </c>
      <c r="BA18" s="34">
        <f t="shared" ref="BA18:BA109" si="16">SUM(BB18:BK18)</f>
        <v>135.76</v>
      </c>
      <c r="BB18" s="34">
        <f t="shared" ref="BB18:BB109" si="17">IF($D18="是",I18-J18,0)</f>
        <v>135.76</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74" t="str">
        <f>面积清单!B8</f>
        <v>7-1009</v>
      </c>
      <c r="D19" s="2217" t="s">
        <v>3658</v>
      </c>
      <c r="E19" s="34">
        <f t="shared" si="7"/>
        <v>33.43</v>
      </c>
      <c r="F19" s="35"/>
      <c r="G19" s="36">
        <f t="shared" si="8"/>
        <v>125.99</v>
      </c>
      <c r="H19" s="37">
        <f t="shared" si="9"/>
        <v>125.99</v>
      </c>
      <c r="I19" s="2218">
        <f>面积清单!E8</f>
        <v>125.99</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3"/>
      <c r="AV19" s="1798">
        <f t="shared" si="11"/>
        <v>0</v>
      </c>
      <c r="AW19" s="1798">
        <f t="shared" si="12"/>
        <v>0</v>
      </c>
      <c r="AX19" s="1798" t="str">
        <f t="shared" si="13"/>
        <v>7-1009</v>
      </c>
      <c r="AY19" s="41">
        <f t="shared" si="14"/>
        <v>43.25</v>
      </c>
      <c r="AZ19" s="34">
        <f t="shared" si="15"/>
        <v>125.99</v>
      </c>
      <c r="BA19" s="34">
        <f t="shared" si="16"/>
        <v>125.99</v>
      </c>
      <c r="BB19" s="34">
        <f t="shared" si="17"/>
        <v>125.99</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74" t="str">
        <f>面积清单!B9</f>
        <v>7-1010</v>
      </c>
      <c r="D20" s="2217" t="s">
        <v>3658</v>
      </c>
      <c r="E20" s="34">
        <f t="shared" si="7"/>
        <v>26.25</v>
      </c>
      <c r="F20" s="35"/>
      <c r="G20" s="36">
        <f t="shared" si="8"/>
        <v>98.91</v>
      </c>
      <c r="H20" s="37">
        <f t="shared" si="9"/>
        <v>98.91</v>
      </c>
      <c r="I20" s="2218">
        <f>面积清单!E9</f>
        <v>98.91</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3"/>
      <c r="AV20" s="1798">
        <f t="shared" si="11"/>
        <v>0</v>
      </c>
      <c r="AW20" s="1798">
        <f t="shared" si="12"/>
        <v>0</v>
      </c>
      <c r="AX20" s="1798" t="str">
        <f t="shared" si="13"/>
        <v>7-1010</v>
      </c>
      <c r="AY20" s="41">
        <f t="shared" si="14"/>
        <v>33.96</v>
      </c>
      <c r="AZ20" s="34">
        <f t="shared" si="15"/>
        <v>98.91</v>
      </c>
      <c r="BA20" s="34">
        <f t="shared" si="16"/>
        <v>98.91</v>
      </c>
      <c r="BB20" s="34">
        <f t="shared" si="17"/>
        <v>98.91</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1274" t="str">
        <f>面积清单!B10</f>
        <v>7-1011</v>
      </c>
      <c r="D21" s="2217" t="s">
        <v>3658</v>
      </c>
      <c r="E21" s="34">
        <f t="shared" si="7"/>
        <v>26.25</v>
      </c>
      <c r="F21" s="35"/>
      <c r="G21" s="36">
        <f t="shared" si="8"/>
        <v>98.91</v>
      </c>
      <c r="H21" s="37">
        <f t="shared" si="9"/>
        <v>98.91</v>
      </c>
      <c r="I21" s="2218">
        <f>面积清单!E10</f>
        <v>98.91</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3"/>
      <c r="AV21" s="1798">
        <f t="shared" si="11"/>
        <v>0</v>
      </c>
      <c r="AW21" s="1798">
        <f t="shared" si="12"/>
        <v>0</v>
      </c>
      <c r="AX21" s="1798" t="str">
        <f t="shared" si="13"/>
        <v>7-1011</v>
      </c>
      <c r="AY21" s="41">
        <f t="shared" si="14"/>
        <v>33.96</v>
      </c>
      <c r="AZ21" s="34">
        <f t="shared" si="15"/>
        <v>98.91</v>
      </c>
      <c r="BA21" s="34">
        <f t="shared" si="16"/>
        <v>98.91</v>
      </c>
      <c r="BB21" s="34">
        <f t="shared" si="17"/>
        <v>98.91</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1274" t="str">
        <f>面积清单!B11</f>
        <v>7-1012</v>
      </c>
      <c r="D22" s="2217" t="s">
        <v>3658</v>
      </c>
      <c r="E22" s="34">
        <f t="shared" si="7"/>
        <v>26.25</v>
      </c>
      <c r="F22" s="35"/>
      <c r="G22" s="36">
        <f t="shared" si="8"/>
        <v>98.91</v>
      </c>
      <c r="H22" s="37">
        <f t="shared" si="9"/>
        <v>98.91</v>
      </c>
      <c r="I22" s="2218">
        <f>面积清单!E11</f>
        <v>98.91</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3"/>
      <c r="AV22" s="1798">
        <f t="shared" si="11"/>
        <v>0</v>
      </c>
      <c r="AW22" s="1798">
        <f t="shared" si="12"/>
        <v>0</v>
      </c>
      <c r="AX22" s="1798" t="str">
        <f t="shared" si="13"/>
        <v>7-1012</v>
      </c>
      <c r="AY22" s="41">
        <f t="shared" si="14"/>
        <v>33.96</v>
      </c>
      <c r="AZ22" s="34">
        <f t="shared" si="15"/>
        <v>98.91</v>
      </c>
      <c r="BA22" s="34">
        <f t="shared" si="16"/>
        <v>98.91</v>
      </c>
      <c r="BB22" s="34">
        <f t="shared" si="17"/>
        <v>98.91</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1274" t="str">
        <f>面积清单!B12</f>
        <v>7-1013</v>
      </c>
      <c r="D23" s="2217" t="s">
        <v>3658</v>
      </c>
      <c r="E23" s="34">
        <f t="shared" si="7"/>
        <v>26.25</v>
      </c>
      <c r="F23" s="35"/>
      <c r="G23" s="36">
        <f t="shared" si="8"/>
        <v>98.91</v>
      </c>
      <c r="H23" s="37">
        <f t="shared" si="9"/>
        <v>98.91</v>
      </c>
      <c r="I23" s="2218">
        <f>面积清单!E12</f>
        <v>98.91</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3"/>
      <c r="AV23" s="1798">
        <f t="shared" si="11"/>
        <v>0</v>
      </c>
      <c r="AW23" s="1798">
        <f t="shared" si="12"/>
        <v>0</v>
      </c>
      <c r="AX23" s="1798" t="str">
        <f t="shared" si="13"/>
        <v>7-1013</v>
      </c>
      <c r="AY23" s="41">
        <f t="shared" si="14"/>
        <v>33.96</v>
      </c>
      <c r="AZ23" s="34">
        <f t="shared" si="15"/>
        <v>98.91</v>
      </c>
      <c r="BA23" s="34">
        <f t="shared" si="16"/>
        <v>98.91</v>
      </c>
      <c r="BB23" s="34">
        <f t="shared" si="17"/>
        <v>98.91</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1274" t="str">
        <f>面积清单!B13</f>
        <v>7-1101</v>
      </c>
      <c r="D24" s="2217" t="s">
        <v>3658</v>
      </c>
      <c r="E24" s="34">
        <f t="shared" si="7"/>
        <v>20.309999999999999</v>
      </c>
      <c r="F24" s="35"/>
      <c r="G24" s="36">
        <f t="shared" si="8"/>
        <v>76.540000000000006</v>
      </c>
      <c r="H24" s="37">
        <f t="shared" si="9"/>
        <v>76.540000000000006</v>
      </c>
      <c r="I24" s="2218">
        <f>面积清单!E13</f>
        <v>76.540000000000006</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3"/>
      <c r="AV24" s="1798">
        <f t="shared" si="11"/>
        <v>0</v>
      </c>
      <c r="AW24" s="1798">
        <f t="shared" si="12"/>
        <v>0</v>
      </c>
      <c r="AX24" s="1798" t="str">
        <f t="shared" si="13"/>
        <v>7-1101</v>
      </c>
      <c r="AY24" s="41">
        <f t="shared" si="14"/>
        <v>26.28</v>
      </c>
      <c r="AZ24" s="34">
        <f t="shared" si="15"/>
        <v>76.540000000000006</v>
      </c>
      <c r="BA24" s="34">
        <f t="shared" si="16"/>
        <v>76.540000000000006</v>
      </c>
      <c r="BB24" s="34">
        <f t="shared" si="17"/>
        <v>76.540000000000006</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1274" t="str">
        <f>面积清单!B14</f>
        <v>7-1102</v>
      </c>
      <c r="D25" s="2217" t="s">
        <v>3658</v>
      </c>
      <c r="E25" s="34">
        <f t="shared" si="7"/>
        <v>13.12</v>
      </c>
      <c r="F25" s="35"/>
      <c r="G25" s="36">
        <f t="shared" si="8"/>
        <v>49.45</v>
      </c>
      <c r="H25" s="37">
        <f t="shared" si="9"/>
        <v>49.45</v>
      </c>
      <c r="I25" s="2218">
        <f>面积清单!E14</f>
        <v>49.45</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3"/>
      <c r="AV25" s="1798">
        <f t="shared" si="11"/>
        <v>0</v>
      </c>
      <c r="AW25" s="1798">
        <f t="shared" si="12"/>
        <v>0</v>
      </c>
      <c r="AX25" s="1798" t="str">
        <f t="shared" si="13"/>
        <v>7-1102</v>
      </c>
      <c r="AY25" s="41">
        <f t="shared" si="14"/>
        <v>16.98</v>
      </c>
      <c r="AZ25" s="34">
        <f t="shared" si="15"/>
        <v>49.45</v>
      </c>
      <c r="BA25" s="34">
        <f t="shared" si="16"/>
        <v>49.45</v>
      </c>
      <c r="BB25" s="34">
        <f t="shared" si="17"/>
        <v>49.45</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1274" t="str">
        <f>面积清单!B15</f>
        <v>7-1103</v>
      </c>
      <c r="D26" s="2217" t="s">
        <v>3658</v>
      </c>
      <c r="E26" s="34">
        <f t="shared" si="7"/>
        <v>26.25</v>
      </c>
      <c r="F26" s="35"/>
      <c r="G26" s="36">
        <f t="shared" si="8"/>
        <v>98.91</v>
      </c>
      <c r="H26" s="37">
        <f t="shared" si="9"/>
        <v>98.91</v>
      </c>
      <c r="I26" s="2218">
        <f>面积清单!E15</f>
        <v>98.91</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3"/>
      <c r="AV26" s="1798">
        <f t="shared" si="11"/>
        <v>0</v>
      </c>
      <c r="AW26" s="1798">
        <f t="shared" si="12"/>
        <v>0</v>
      </c>
      <c r="AX26" s="1798" t="str">
        <f t="shared" si="13"/>
        <v>7-1103</v>
      </c>
      <c r="AY26" s="41">
        <f t="shared" si="14"/>
        <v>33.96</v>
      </c>
      <c r="AZ26" s="34">
        <f t="shared" si="15"/>
        <v>98.91</v>
      </c>
      <c r="BA26" s="34">
        <f t="shared" si="16"/>
        <v>98.91</v>
      </c>
      <c r="BB26" s="34">
        <f t="shared" si="17"/>
        <v>98.91</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1274" t="str">
        <f>面积清单!B16</f>
        <v>7-1104</v>
      </c>
      <c r="D27" s="2217" t="s">
        <v>3658</v>
      </c>
      <c r="E27" s="34">
        <f t="shared" si="7"/>
        <v>26.25</v>
      </c>
      <c r="F27" s="35"/>
      <c r="G27" s="36">
        <f t="shared" si="8"/>
        <v>98.91</v>
      </c>
      <c r="H27" s="37">
        <f t="shared" si="9"/>
        <v>98.91</v>
      </c>
      <c r="I27" s="2218">
        <f>面积清单!E16</f>
        <v>98.91</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3"/>
      <c r="AV27" s="1798">
        <f t="shared" si="11"/>
        <v>0</v>
      </c>
      <c r="AW27" s="1798">
        <f t="shared" si="12"/>
        <v>0</v>
      </c>
      <c r="AX27" s="1798" t="str">
        <f t="shared" si="13"/>
        <v>7-1104</v>
      </c>
      <c r="AY27" s="41">
        <f t="shared" si="14"/>
        <v>33.96</v>
      </c>
      <c r="AZ27" s="34">
        <f t="shared" si="15"/>
        <v>98.91</v>
      </c>
      <c r="BA27" s="34">
        <f t="shared" si="16"/>
        <v>98.91</v>
      </c>
      <c r="BB27" s="34">
        <f t="shared" si="17"/>
        <v>98.91</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1274" t="str">
        <f>面积清单!B17</f>
        <v>7-1105</v>
      </c>
      <c r="D28" s="2217" t="s">
        <v>3658</v>
      </c>
      <c r="E28" s="34">
        <f t="shared" si="7"/>
        <v>26.25</v>
      </c>
      <c r="F28" s="35"/>
      <c r="G28" s="36">
        <f t="shared" si="8"/>
        <v>98.91</v>
      </c>
      <c r="H28" s="37">
        <f t="shared" si="9"/>
        <v>98.91</v>
      </c>
      <c r="I28" s="2218">
        <f>面积清单!E17</f>
        <v>98.91</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3"/>
      <c r="AV28" s="1798">
        <f t="shared" si="11"/>
        <v>0</v>
      </c>
      <c r="AW28" s="1798">
        <f t="shared" si="12"/>
        <v>0</v>
      </c>
      <c r="AX28" s="1798" t="str">
        <f t="shared" si="13"/>
        <v>7-1105</v>
      </c>
      <c r="AY28" s="41">
        <f t="shared" si="14"/>
        <v>33.96</v>
      </c>
      <c r="AZ28" s="34">
        <f t="shared" si="15"/>
        <v>98.91</v>
      </c>
      <c r="BA28" s="34">
        <f t="shared" si="16"/>
        <v>98.91</v>
      </c>
      <c r="BB28" s="34">
        <f t="shared" si="17"/>
        <v>98.91</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1274" t="str">
        <f>面积清单!B18</f>
        <v>7-1106</v>
      </c>
      <c r="D29" s="2217" t="s">
        <v>3658</v>
      </c>
      <c r="E29" s="34">
        <f t="shared" si="7"/>
        <v>26.25</v>
      </c>
      <c r="F29" s="35"/>
      <c r="G29" s="36">
        <f t="shared" si="8"/>
        <v>98.91</v>
      </c>
      <c r="H29" s="37">
        <f t="shared" si="9"/>
        <v>98.91</v>
      </c>
      <c r="I29" s="2218">
        <f>面积清单!E18</f>
        <v>98.91</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3"/>
      <c r="AV29" s="1798">
        <f t="shared" si="11"/>
        <v>0</v>
      </c>
      <c r="AW29" s="1798">
        <f t="shared" si="12"/>
        <v>0</v>
      </c>
      <c r="AX29" s="1798" t="str">
        <f t="shared" si="13"/>
        <v>7-1106</v>
      </c>
      <c r="AY29" s="41">
        <f t="shared" si="14"/>
        <v>33.96</v>
      </c>
      <c r="AZ29" s="34">
        <f t="shared" si="15"/>
        <v>98.91</v>
      </c>
      <c r="BA29" s="34">
        <f t="shared" si="16"/>
        <v>98.91</v>
      </c>
      <c r="BB29" s="34">
        <f t="shared" si="17"/>
        <v>98.91</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1274" t="str">
        <f>面积清单!B19</f>
        <v>7-1107</v>
      </c>
      <c r="D30" s="2217" t="s">
        <v>3658</v>
      </c>
      <c r="E30" s="34">
        <f t="shared" si="7"/>
        <v>33.43</v>
      </c>
      <c r="F30" s="35"/>
      <c r="G30" s="36">
        <f t="shared" si="8"/>
        <v>125.99</v>
      </c>
      <c r="H30" s="37">
        <f t="shared" si="9"/>
        <v>125.99</v>
      </c>
      <c r="I30" s="2218">
        <f>面积清单!E19</f>
        <v>125.99</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3"/>
      <c r="AV30" s="1798">
        <f t="shared" si="11"/>
        <v>0</v>
      </c>
      <c r="AW30" s="1798">
        <f t="shared" si="12"/>
        <v>0</v>
      </c>
      <c r="AX30" s="1798" t="str">
        <f t="shared" si="13"/>
        <v>7-1107</v>
      </c>
      <c r="AY30" s="41">
        <f t="shared" si="14"/>
        <v>43.25</v>
      </c>
      <c r="AZ30" s="34">
        <f t="shared" si="15"/>
        <v>125.99</v>
      </c>
      <c r="BA30" s="34">
        <f t="shared" si="16"/>
        <v>125.99</v>
      </c>
      <c r="BB30" s="34">
        <f t="shared" si="17"/>
        <v>125.99</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1274" t="str">
        <f>面积清单!B20</f>
        <v>7-1108</v>
      </c>
      <c r="D31" s="2217" t="s">
        <v>3658</v>
      </c>
      <c r="E31" s="34">
        <f t="shared" si="7"/>
        <v>36.03</v>
      </c>
      <c r="F31" s="35"/>
      <c r="G31" s="36">
        <f t="shared" si="8"/>
        <v>135.76</v>
      </c>
      <c r="H31" s="37">
        <f t="shared" si="9"/>
        <v>135.76</v>
      </c>
      <c r="I31" s="2218">
        <f>面积清单!E20</f>
        <v>135.76</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3"/>
      <c r="AV31" s="1798">
        <f t="shared" si="11"/>
        <v>0</v>
      </c>
      <c r="AW31" s="1798">
        <f t="shared" si="12"/>
        <v>0</v>
      </c>
      <c r="AX31" s="1798" t="str">
        <f t="shared" si="13"/>
        <v>7-1108</v>
      </c>
      <c r="AY31" s="41">
        <f t="shared" si="14"/>
        <v>46.61</v>
      </c>
      <c r="AZ31" s="34">
        <f t="shared" si="15"/>
        <v>135.76</v>
      </c>
      <c r="BA31" s="34">
        <f t="shared" si="16"/>
        <v>135.76</v>
      </c>
      <c r="BB31" s="34">
        <f t="shared" si="17"/>
        <v>135.76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1274" t="str">
        <f>面积清单!B21</f>
        <v>7-1109</v>
      </c>
      <c r="D32" s="2217" t="s">
        <v>3658</v>
      </c>
      <c r="E32" s="34">
        <f t="shared" si="7"/>
        <v>33.43</v>
      </c>
      <c r="F32" s="35"/>
      <c r="G32" s="36">
        <f t="shared" si="8"/>
        <v>125.99</v>
      </c>
      <c r="H32" s="37">
        <f t="shared" si="9"/>
        <v>125.99</v>
      </c>
      <c r="I32" s="2218">
        <f>面积清单!E21</f>
        <v>125.99</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3"/>
      <c r="AV32" s="1798">
        <f t="shared" si="11"/>
        <v>0</v>
      </c>
      <c r="AW32" s="1798">
        <f t="shared" si="12"/>
        <v>0</v>
      </c>
      <c r="AX32" s="1798" t="str">
        <f t="shared" si="13"/>
        <v>7-1109</v>
      </c>
      <c r="AY32" s="41">
        <f t="shared" si="14"/>
        <v>43.25</v>
      </c>
      <c r="AZ32" s="34">
        <f t="shared" si="15"/>
        <v>125.99</v>
      </c>
      <c r="BA32" s="34">
        <f t="shared" si="16"/>
        <v>125.99</v>
      </c>
      <c r="BB32" s="34">
        <f t="shared" si="17"/>
        <v>125.99</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1274" t="str">
        <f>面积清单!B22</f>
        <v>7-1110</v>
      </c>
      <c r="D33" s="2217" t="s">
        <v>3658</v>
      </c>
      <c r="E33" s="34">
        <f t="shared" si="7"/>
        <v>26.25</v>
      </c>
      <c r="F33" s="35"/>
      <c r="G33" s="36">
        <f t="shared" si="8"/>
        <v>98.91</v>
      </c>
      <c r="H33" s="37">
        <f t="shared" si="9"/>
        <v>98.91</v>
      </c>
      <c r="I33" s="2218">
        <f>面积清单!E22</f>
        <v>98.91</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3"/>
      <c r="AV33" s="1798">
        <f t="shared" si="11"/>
        <v>0</v>
      </c>
      <c r="AW33" s="1798">
        <f t="shared" si="12"/>
        <v>0</v>
      </c>
      <c r="AX33" s="1798" t="str">
        <f t="shared" si="13"/>
        <v>7-1110</v>
      </c>
      <c r="AY33" s="41">
        <f t="shared" si="14"/>
        <v>33.96</v>
      </c>
      <c r="AZ33" s="34">
        <f t="shared" si="15"/>
        <v>98.91</v>
      </c>
      <c r="BA33" s="34">
        <f t="shared" si="16"/>
        <v>98.91</v>
      </c>
      <c r="BB33" s="34">
        <f t="shared" si="17"/>
        <v>98.91</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1274" t="str">
        <f>面积清单!B23</f>
        <v>7-1111</v>
      </c>
      <c r="D34" s="2217" t="s">
        <v>3658</v>
      </c>
      <c r="E34" s="34">
        <f t="shared" si="7"/>
        <v>26.25</v>
      </c>
      <c r="F34" s="35"/>
      <c r="G34" s="36">
        <f t="shared" si="8"/>
        <v>98.91</v>
      </c>
      <c r="H34" s="37">
        <f t="shared" si="9"/>
        <v>98.91</v>
      </c>
      <c r="I34" s="2218">
        <f>面积清单!E23</f>
        <v>98.91</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3"/>
      <c r="AV34" s="1798">
        <f t="shared" si="11"/>
        <v>0</v>
      </c>
      <c r="AW34" s="1798">
        <f t="shared" si="12"/>
        <v>0</v>
      </c>
      <c r="AX34" s="1798" t="str">
        <f t="shared" si="13"/>
        <v>7-1111</v>
      </c>
      <c r="AY34" s="41">
        <f t="shared" si="14"/>
        <v>33.96</v>
      </c>
      <c r="AZ34" s="34">
        <f t="shared" si="15"/>
        <v>98.91</v>
      </c>
      <c r="BA34" s="34">
        <f t="shared" si="16"/>
        <v>98.91</v>
      </c>
      <c r="BB34" s="34">
        <f t="shared" si="17"/>
        <v>98.91</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1274" t="str">
        <f>面积清单!B24</f>
        <v>7-1112</v>
      </c>
      <c r="D35" s="2217" t="s">
        <v>3658</v>
      </c>
      <c r="E35" s="34">
        <f t="shared" si="7"/>
        <v>26.25</v>
      </c>
      <c r="F35" s="35"/>
      <c r="G35" s="36">
        <f t="shared" si="8"/>
        <v>98.91</v>
      </c>
      <c r="H35" s="37">
        <f t="shared" si="9"/>
        <v>98.91</v>
      </c>
      <c r="I35" s="2218">
        <f>面积清单!E24</f>
        <v>98.91</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3"/>
      <c r="AV35" s="1798">
        <f t="shared" si="11"/>
        <v>0</v>
      </c>
      <c r="AW35" s="1798">
        <f t="shared" si="12"/>
        <v>0</v>
      </c>
      <c r="AX35" s="1798" t="str">
        <f t="shared" si="13"/>
        <v>7-1112</v>
      </c>
      <c r="AY35" s="41">
        <f t="shared" si="14"/>
        <v>33.96</v>
      </c>
      <c r="AZ35" s="34">
        <f t="shared" si="15"/>
        <v>98.91</v>
      </c>
      <c r="BA35" s="34">
        <f t="shared" si="16"/>
        <v>98.91</v>
      </c>
      <c r="BB35" s="34">
        <f t="shared" si="17"/>
        <v>98.91</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1274" t="str">
        <f>面积清单!B25</f>
        <v>7-1113</v>
      </c>
      <c r="D36" s="2217" t="s">
        <v>3658</v>
      </c>
      <c r="E36" s="34">
        <f t="shared" si="7"/>
        <v>26.25</v>
      </c>
      <c r="F36" s="35"/>
      <c r="G36" s="36">
        <f t="shared" si="8"/>
        <v>98.91</v>
      </c>
      <c r="H36" s="37">
        <f t="shared" si="9"/>
        <v>98.91</v>
      </c>
      <c r="I36" s="2218">
        <f>面积清单!E25</f>
        <v>98.91</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3"/>
      <c r="AV36" s="1798">
        <f t="shared" si="11"/>
        <v>0</v>
      </c>
      <c r="AW36" s="1798">
        <f t="shared" si="12"/>
        <v>0</v>
      </c>
      <c r="AX36" s="1798" t="str">
        <f t="shared" si="13"/>
        <v>7-1113</v>
      </c>
      <c r="AY36" s="41">
        <f t="shared" si="14"/>
        <v>33.96</v>
      </c>
      <c r="AZ36" s="34">
        <f t="shared" si="15"/>
        <v>98.91</v>
      </c>
      <c r="BA36" s="34">
        <f t="shared" si="16"/>
        <v>98.91</v>
      </c>
      <c r="BB36" s="34">
        <f t="shared" si="17"/>
        <v>98.91</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1274" t="str">
        <f>面积清单!B26</f>
        <v>7-1114</v>
      </c>
      <c r="D37" s="2217" t="s">
        <v>3658</v>
      </c>
      <c r="E37" s="34">
        <f t="shared" si="7"/>
        <v>13.12</v>
      </c>
      <c r="F37" s="35"/>
      <c r="G37" s="36">
        <f t="shared" si="8"/>
        <v>49.45</v>
      </c>
      <c r="H37" s="37">
        <f t="shared" si="9"/>
        <v>49.45</v>
      </c>
      <c r="I37" s="2218">
        <f>面积清单!E26</f>
        <v>49.45</v>
      </c>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3"/>
      <c r="AV37" s="1798">
        <f t="shared" si="11"/>
        <v>0</v>
      </c>
      <c r="AW37" s="1798">
        <f t="shared" si="12"/>
        <v>0</v>
      </c>
      <c r="AX37" s="1798" t="str">
        <f t="shared" si="13"/>
        <v>7-1114</v>
      </c>
      <c r="AY37" s="41">
        <f t="shared" si="14"/>
        <v>16.98</v>
      </c>
      <c r="AZ37" s="34">
        <f t="shared" si="15"/>
        <v>49.45</v>
      </c>
      <c r="BA37" s="34">
        <f t="shared" si="16"/>
        <v>49.45</v>
      </c>
      <c r="BB37" s="34">
        <f t="shared" si="17"/>
        <v>49.45</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1274" t="str">
        <f>面积清单!B27</f>
        <v>7-1115</v>
      </c>
      <c r="D38" s="2217" t="s">
        <v>3658</v>
      </c>
      <c r="E38" s="34">
        <f t="shared" si="7"/>
        <v>20.309999999999999</v>
      </c>
      <c r="F38" s="35"/>
      <c r="G38" s="36">
        <f t="shared" si="8"/>
        <v>76.540000000000006</v>
      </c>
      <c r="H38" s="37">
        <f t="shared" si="9"/>
        <v>76.540000000000006</v>
      </c>
      <c r="I38" s="2218">
        <f>面积清单!E27</f>
        <v>76.540000000000006</v>
      </c>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3"/>
      <c r="AV38" s="1798">
        <f t="shared" si="11"/>
        <v>0</v>
      </c>
      <c r="AW38" s="1798">
        <f t="shared" si="12"/>
        <v>0</v>
      </c>
      <c r="AX38" s="1798" t="str">
        <f t="shared" si="13"/>
        <v>7-1115</v>
      </c>
      <c r="AY38" s="41">
        <f t="shared" si="14"/>
        <v>26.28</v>
      </c>
      <c r="AZ38" s="34">
        <f t="shared" si="15"/>
        <v>76.540000000000006</v>
      </c>
      <c r="BA38" s="34">
        <f t="shared" si="16"/>
        <v>76.540000000000006</v>
      </c>
      <c r="BB38" s="34">
        <f t="shared" si="17"/>
        <v>76.540000000000006</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1274" t="str">
        <f>面积清单!B28</f>
        <v>7-1116</v>
      </c>
      <c r="D39" s="2217" t="s">
        <v>3658</v>
      </c>
      <c r="E39" s="34">
        <f t="shared" si="7"/>
        <v>36.03</v>
      </c>
      <c r="F39" s="35"/>
      <c r="G39" s="36">
        <f t="shared" si="8"/>
        <v>135.76</v>
      </c>
      <c r="H39" s="37">
        <f t="shared" si="9"/>
        <v>135.76</v>
      </c>
      <c r="I39" s="2218">
        <f>面积清单!E28</f>
        <v>135.76</v>
      </c>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3"/>
      <c r="AV39" s="1798">
        <f t="shared" si="11"/>
        <v>0</v>
      </c>
      <c r="AW39" s="1798">
        <f t="shared" si="12"/>
        <v>0</v>
      </c>
      <c r="AX39" s="1798" t="str">
        <f t="shared" si="13"/>
        <v>7-1116</v>
      </c>
      <c r="AY39" s="41">
        <f t="shared" si="14"/>
        <v>46.61</v>
      </c>
      <c r="AZ39" s="34">
        <f t="shared" si="15"/>
        <v>135.76</v>
      </c>
      <c r="BA39" s="34">
        <f t="shared" si="16"/>
        <v>135.76</v>
      </c>
      <c r="BB39" s="34">
        <f t="shared" si="17"/>
        <v>135.76</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1274" t="str">
        <f>面积清单!B29</f>
        <v>7-1201</v>
      </c>
      <c r="D40" s="2217" t="s">
        <v>3658</v>
      </c>
      <c r="E40" s="34">
        <f t="shared" si="7"/>
        <v>20.309999999999999</v>
      </c>
      <c r="F40" s="35"/>
      <c r="G40" s="36">
        <f t="shared" si="8"/>
        <v>76.540000000000006</v>
      </c>
      <c r="H40" s="37">
        <f t="shared" si="9"/>
        <v>76.540000000000006</v>
      </c>
      <c r="I40" s="2218">
        <f>面积清单!E29</f>
        <v>76.540000000000006</v>
      </c>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3"/>
      <c r="AV40" s="1798">
        <f t="shared" si="11"/>
        <v>0</v>
      </c>
      <c r="AW40" s="1798">
        <f t="shared" si="12"/>
        <v>0</v>
      </c>
      <c r="AX40" s="1798" t="str">
        <f t="shared" si="13"/>
        <v>7-1201</v>
      </c>
      <c r="AY40" s="41">
        <f t="shared" si="14"/>
        <v>26.28</v>
      </c>
      <c r="AZ40" s="34">
        <f t="shared" si="15"/>
        <v>76.540000000000006</v>
      </c>
      <c r="BA40" s="34">
        <f t="shared" si="16"/>
        <v>76.540000000000006</v>
      </c>
      <c r="BB40" s="34">
        <f t="shared" si="17"/>
        <v>76.540000000000006</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1274" t="str">
        <f>面积清单!B30</f>
        <v>7-1202</v>
      </c>
      <c r="D41" s="2217" t="s">
        <v>3658</v>
      </c>
      <c r="E41" s="34">
        <f t="shared" si="7"/>
        <v>13.12</v>
      </c>
      <c r="F41" s="35"/>
      <c r="G41" s="36">
        <f t="shared" si="8"/>
        <v>49.45</v>
      </c>
      <c r="H41" s="37">
        <f t="shared" si="9"/>
        <v>49.45</v>
      </c>
      <c r="I41" s="2218">
        <f>面积清单!E30</f>
        <v>49.45</v>
      </c>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3"/>
      <c r="AV41" s="1798">
        <f t="shared" si="11"/>
        <v>0</v>
      </c>
      <c r="AW41" s="1798">
        <f t="shared" si="12"/>
        <v>0</v>
      </c>
      <c r="AX41" s="1798" t="str">
        <f t="shared" si="13"/>
        <v>7-1202</v>
      </c>
      <c r="AY41" s="41">
        <f t="shared" si="14"/>
        <v>16.98</v>
      </c>
      <c r="AZ41" s="34">
        <f t="shared" si="15"/>
        <v>49.45</v>
      </c>
      <c r="BA41" s="34">
        <f t="shared" si="16"/>
        <v>49.45</v>
      </c>
      <c r="BB41" s="34">
        <f t="shared" si="17"/>
        <v>49.45</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1274" t="str">
        <f>面积清单!B31</f>
        <v>7-1203</v>
      </c>
      <c r="D42" s="2217" t="s">
        <v>3658</v>
      </c>
      <c r="E42" s="34">
        <f t="shared" si="7"/>
        <v>26.25</v>
      </c>
      <c r="F42" s="35"/>
      <c r="G42" s="36">
        <f t="shared" si="8"/>
        <v>98.91</v>
      </c>
      <c r="H42" s="37">
        <f t="shared" si="9"/>
        <v>98.91</v>
      </c>
      <c r="I42" s="2218">
        <f>面积清单!E31</f>
        <v>98.91</v>
      </c>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3"/>
      <c r="AV42" s="1798">
        <f t="shared" si="11"/>
        <v>0</v>
      </c>
      <c r="AW42" s="1798">
        <f t="shared" si="12"/>
        <v>0</v>
      </c>
      <c r="AX42" s="1798" t="str">
        <f t="shared" si="13"/>
        <v>7-1203</v>
      </c>
      <c r="AY42" s="41">
        <f t="shared" si="14"/>
        <v>33.96</v>
      </c>
      <c r="AZ42" s="34">
        <f t="shared" si="15"/>
        <v>98.91</v>
      </c>
      <c r="BA42" s="34">
        <f t="shared" si="16"/>
        <v>98.91</v>
      </c>
      <c r="BB42" s="34">
        <f t="shared" si="17"/>
        <v>98.91</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1274" t="str">
        <f>面积清单!B32</f>
        <v>7-1204</v>
      </c>
      <c r="D43" s="2217" t="s">
        <v>3658</v>
      </c>
      <c r="E43" s="34">
        <f t="shared" si="7"/>
        <v>26.25</v>
      </c>
      <c r="F43" s="35"/>
      <c r="G43" s="36">
        <f t="shared" si="8"/>
        <v>98.91</v>
      </c>
      <c r="H43" s="37">
        <f t="shared" si="9"/>
        <v>98.91</v>
      </c>
      <c r="I43" s="2218">
        <f>面积清单!E32</f>
        <v>98.91</v>
      </c>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3"/>
      <c r="AV43" s="1798">
        <f t="shared" si="11"/>
        <v>0</v>
      </c>
      <c r="AW43" s="1798">
        <f t="shared" si="12"/>
        <v>0</v>
      </c>
      <c r="AX43" s="1798" t="str">
        <f t="shared" si="13"/>
        <v>7-1204</v>
      </c>
      <c r="AY43" s="41">
        <f t="shared" si="14"/>
        <v>33.96</v>
      </c>
      <c r="AZ43" s="34">
        <f t="shared" si="15"/>
        <v>98.91</v>
      </c>
      <c r="BA43" s="34">
        <f t="shared" si="16"/>
        <v>98.91</v>
      </c>
      <c r="BB43" s="34">
        <f t="shared" si="17"/>
        <v>98.91</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1274" t="str">
        <f>面积清单!B33</f>
        <v>7-1205</v>
      </c>
      <c r="D44" s="2217" t="s">
        <v>3658</v>
      </c>
      <c r="E44" s="34">
        <f t="shared" si="7"/>
        <v>26.25</v>
      </c>
      <c r="F44" s="35"/>
      <c r="G44" s="36">
        <f t="shared" si="8"/>
        <v>98.91</v>
      </c>
      <c r="H44" s="37">
        <f t="shared" si="9"/>
        <v>98.91</v>
      </c>
      <c r="I44" s="2218">
        <f>面积清单!E33</f>
        <v>98.91</v>
      </c>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3"/>
      <c r="AV44" s="1798">
        <f t="shared" si="11"/>
        <v>0</v>
      </c>
      <c r="AW44" s="1798">
        <f t="shared" si="12"/>
        <v>0</v>
      </c>
      <c r="AX44" s="1798" t="str">
        <f t="shared" si="13"/>
        <v>7-1205</v>
      </c>
      <c r="AY44" s="41">
        <f t="shared" si="14"/>
        <v>33.96</v>
      </c>
      <c r="AZ44" s="34">
        <f t="shared" si="15"/>
        <v>98.91</v>
      </c>
      <c r="BA44" s="34">
        <f t="shared" si="16"/>
        <v>98.91</v>
      </c>
      <c r="BB44" s="34">
        <f t="shared" si="17"/>
        <v>98.91</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1274" t="str">
        <f>面积清单!B34</f>
        <v>7-1206</v>
      </c>
      <c r="D45" s="2217" t="s">
        <v>3658</v>
      </c>
      <c r="E45" s="34">
        <f t="shared" si="7"/>
        <v>26.25</v>
      </c>
      <c r="F45" s="35"/>
      <c r="G45" s="36">
        <f t="shared" si="8"/>
        <v>98.91</v>
      </c>
      <c r="H45" s="37">
        <f t="shared" si="9"/>
        <v>98.91</v>
      </c>
      <c r="I45" s="2218">
        <f>面积清单!E34</f>
        <v>98.91</v>
      </c>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3"/>
      <c r="AV45" s="1798">
        <f t="shared" si="11"/>
        <v>0</v>
      </c>
      <c r="AW45" s="1798">
        <f t="shared" si="12"/>
        <v>0</v>
      </c>
      <c r="AX45" s="1798" t="str">
        <f t="shared" si="13"/>
        <v>7-1206</v>
      </c>
      <c r="AY45" s="41">
        <f t="shared" si="14"/>
        <v>33.96</v>
      </c>
      <c r="AZ45" s="34">
        <f t="shared" si="15"/>
        <v>98.91</v>
      </c>
      <c r="BA45" s="34">
        <f t="shared" si="16"/>
        <v>98.91</v>
      </c>
      <c r="BB45" s="34">
        <f t="shared" si="17"/>
        <v>98.91</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1274" t="str">
        <f>面积清单!B35</f>
        <v>7-1207</v>
      </c>
      <c r="D46" s="2217" t="s">
        <v>3658</v>
      </c>
      <c r="E46" s="34">
        <f t="shared" si="7"/>
        <v>33.43</v>
      </c>
      <c r="F46" s="35"/>
      <c r="G46" s="36">
        <f t="shared" si="8"/>
        <v>125.99</v>
      </c>
      <c r="H46" s="37">
        <f t="shared" si="9"/>
        <v>125.99</v>
      </c>
      <c r="I46" s="2218">
        <f>面积清单!E35</f>
        <v>125.99</v>
      </c>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3"/>
      <c r="AV46" s="1798">
        <f t="shared" si="11"/>
        <v>0</v>
      </c>
      <c r="AW46" s="1798">
        <f t="shared" si="12"/>
        <v>0</v>
      </c>
      <c r="AX46" s="1798" t="str">
        <f t="shared" si="13"/>
        <v>7-1207</v>
      </c>
      <c r="AY46" s="41">
        <f t="shared" si="14"/>
        <v>43.25</v>
      </c>
      <c r="AZ46" s="34">
        <f t="shared" si="15"/>
        <v>125.99</v>
      </c>
      <c r="BA46" s="34">
        <f t="shared" si="16"/>
        <v>125.99</v>
      </c>
      <c r="BB46" s="34">
        <f t="shared" si="17"/>
        <v>125.99</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1274" t="str">
        <f>面积清单!B36</f>
        <v>7-1208</v>
      </c>
      <c r="D47" s="2217" t="s">
        <v>3658</v>
      </c>
      <c r="E47" s="34">
        <f t="shared" si="7"/>
        <v>36.03</v>
      </c>
      <c r="F47" s="35"/>
      <c r="G47" s="36">
        <f t="shared" si="8"/>
        <v>135.76</v>
      </c>
      <c r="H47" s="37">
        <f t="shared" si="9"/>
        <v>135.76</v>
      </c>
      <c r="I47" s="2218">
        <f>面积清单!E36</f>
        <v>135.76</v>
      </c>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3"/>
      <c r="AV47" s="1798">
        <f t="shared" si="11"/>
        <v>0</v>
      </c>
      <c r="AW47" s="1798">
        <f t="shared" si="12"/>
        <v>0</v>
      </c>
      <c r="AX47" s="1798" t="str">
        <f t="shared" si="13"/>
        <v>7-1208</v>
      </c>
      <c r="AY47" s="41">
        <f t="shared" si="14"/>
        <v>46.61</v>
      </c>
      <c r="AZ47" s="34">
        <f t="shared" si="15"/>
        <v>135.76</v>
      </c>
      <c r="BA47" s="34">
        <f t="shared" si="16"/>
        <v>135.76</v>
      </c>
      <c r="BB47" s="34">
        <f t="shared" si="17"/>
        <v>135.76</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1274" t="str">
        <f>面积清单!B37</f>
        <v>7-1209</v>
      </c>
      <c r="D48" s="2217" t="s">
        <v>3658</v>
      </c>
      <c r="E48" s="34">
        <f t="shared" si="7"/>
        <v>33.43</v>
      </c>
      <c r="F48" s="35"/>
      <c r="G48" s="36">
        <f t="shared" si="8"/>
        <v>125.99</v>
      </c>
      <c r="H48" s="37">
        <f t="shared" si="9"/>
        <v>125.99</v>
      </c>
      <c r="I48" s="2218">
        <f>面积清单!E37</f>
        <v>125.99</v>
      </c>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3"/>
      <c r="AV48" s="1798">
        <f t="shared" si="11"/>
        <v>0</v>
      </c>
      <c r="AW48" s="1798">
        <f t="shared" si="12"/>
        <v>0</v>
      </c>
      <c r="AX48" s="1798" t="str">
        <f t="shared" si="13"/>
        <v>7-1209</v>
      </c>
      <c r="AY48" s="41">
        <f t="shared" si="14"/>
        <v>43.25</v>
      </c>
      <c r="AZ48" s="34">
        <f t="shared" si="15"/>
        <v>125.99</v>
      </c>
      <c r="BA48" s="34">
        <f t="shared" si="16"/>
        <v>125.99</v>
      </c>
      <c r="BB48" s="34">
        <f t="shared" si="17"/>
        <v>125.99</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1274" t="str">
        <f>面积清单!B38</f>
        <v>7-1210</v>
      </c>
      <c r="D49" s="2217" t="s">
        <v>3658</v>
      </c>
      <c r="E49" s="34">
        <f t="shared" si="7"/>
        <v>26.25</v>
      </c>
      <c r="F49" s="35"/>
      <c r="G49" s="36">
        <f t="shared" si="8"/>
        <v>98.91</v>
      </c>
      <c r="H49" s="37">
        <f t="shared" si="9"/>
        <v>98.91</v>
      </c>
      <c r="I49" s="2218">
        <f>面积清单!E38</f>
        <v>98.91</v>
      </c>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3"/>
      <c r="AV49" s="1798">
        <f t="shared" si="11"/>
        <v>0</v>
      </c>
      <c r="AW49" s="1798">
        <f t="shared" si="12"/>
        <v>0</v>
      </c>
      <c r="AX49" s="1798" t="str">
        <f t="shared" si="13"/>
        <v>7-1210</v>
      </c>
      <c r="AY49" s="41">
        <f t="shared" si="14"/>
        <v>33.96</v>
      </c>
      <c r="AZ49" s="34">
        <f t="shared" si="15"/>
        <v>98.91</v>
      </c>
      <c r="BA49" s="34">
        <f t="shared" si="16"/>
        <v>98.91</v>
      </c>
      <c r="BB49" s="34">
        <f t="shared" si="17"/>
        <v>98.91</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1274" t="str">
        <f>面积清单!B39</f>
        <v>7-1211</v>
      </c>
      <c r="D50" s="2217" t="s">
        <v>3658</v>
      </c>
      <c r="E50" s="34">
        <f t="shared" si="7"/>
        <v>26.25</v>
      </c>
      <c r="F50" s="35"/>
      <c r="G50" s="36">
        <f t="shared" si="8"/>
        <v>98.91</v>
      </c>
      <c r="H50" s="37">
        <f t="shared" si="9"/>
        <v>98.91</v>
      </c>
      <c r="I50" s="2218">
        <f>面积清单!E39</f>
        <v>98.91</v>
      </c>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3"/>
      <c r="AV50" s="1798">
        <f t="shared" si="11"/>
        <v>0</v>
      </c>
      <c r="AW50" s="1798">
        <f t="shared" si="12"/>
        <v>0</v>
      </c>
      <c r="AX50" s="1798" t="str">
        <f t="shared" si="13"/>
        <v>7-1211</v>
      </c>
      <c r="AY50" s="41">
        <f t="shared" si="14"/>
        <v>33.96</v>
      </c>
      <c r="AZ50" s="34">
        <f t="shared" si="15"/>
        <v>98.91</v>
      </c>
      <c r="BA50" s="34">
        <f t="shared" si="16"/>
        <v>98.91</v>
      </c>
      <c r="BB50" s="34">
        <f t="shared" si="17"/>
        <v>98.91</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1274" t="str">
        <f>面积清单!B40</f>
        <v>7-1212</v>
      </c>
      <c r="D51" s="2217" t="s">
        <v>3658</v>
      </c>
      <c r="E51" s="34">
        <f t="shared" si="7"/>
        <v>26.25</v>
      </c>
      <c r="F51" s="35"/>
      <c r="G51" s="36">
        <f t="shared" si="8"/>
        <v>98.91</v>
      </c>
      <c r="H51" s="37">
        <f t="shared" si="9"/>
        <v>98.91</v>
      </c>
      <c r="I51" s="2218">
        <f>面积清单!E40</f>
        <v>98.91</v>
      </c>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3"/>
      <c r="AV51" s="1798">
        <f t="shared" si="11"/>
        <v>0</v>
      </c>
      <c r="AW51" s="1798">
        <f t="shared" si="12"/>
        <v>0</v>
      </c>
      <c r="AX51" s="1798" t="str">
        <f t="shared" si="13"/>
        <v>7-1212</v>
      </c>
      <c r="AY51" s="41">
        <f t="shared" si="14"/>
        <v>33.96</v>
      </c>
      <c r="AZ51" s="34">
        <f t="shared" si="15"/>
        <v>98.91</v>
      </c>
      <c r="BA51" s="34">
        <f t="shared" si="16"/>
        <v>98.91</v>
      </c>
      <c r="BB51" s="34">
        <f t="shared" si="17"/>
        <v>98.91</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1274" t="str">
        <f>面积清单!B41</f>
        <v>7-1213</v>
      </c>
      <c r="D52" s="2217" t="s">
        <v>3658</v>
      </c>
      <c r="E52" s="34">
        <f t="shared" si="7"/>
        <v>26.25</v>
      </c>
      <c r="F52" s="35"/>
      <c r="G52" s="36">
        <f t="shared" si="8"/>
        <v>98.91</v>
      </c>
      <c r="H52" s="37">
        <f t="shared" si="9"/>
        <v>98.91</v>
      </c>
      <c r="I52" s="2218">
        <f>面积清单!E41</f>
        <v>98.91</v>
      </c>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3"/>
      <c r="AV52" s="1798">
        <f t="shared" si="11"/>
        <v>0</v>
      </c>
      <c r="AW52" s="1798">
        <f t="shared" si="12"/>
        <v>0</v>
      </c>
      <c r="AX52" s="1798" t="str">
        <f t="shared" si="13"/>
        <v>7-1213</v>
      </c>
      <c r="AY52" s="41">
        <f t="shared" si="14"/>
        <v>33.96</v>
      </c>
      <c r="AZ52" s="34">
        <f t="shared" si="15"/>
        <v>98.91</v>
      </c>
      <c r="BA52" s="34">
        <f t="shared" si="16"/>
        <v>98.91</v>
      </c>
      <c r="BB52" s="34">
        <f t="shared" si="17"/>
        <v>98.91</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1274" t="str">
        <f>面积清单!B42</f>
        <v>7-1214</v>
      </c>
      <c r="D53" s="2217" t="s">
        <v>3658</v>
      </c>
      <c r="E53" s="34">
        <f t="shared" si="7"/>
        <v>13.12</v>
      </c>
      <c r="F53" s="35"/>
      <c r="G53" s="36">
        <f t="shared" si="8"/>
        <v>49.45</v>
      </c>
      <c r="H53" s="37">
        <f t="shared" si="9"/>
        <v>49.45</v>
      </c>
      <c r="I53" s="2218">
        <f>面积清单!E42</f>
        <v>49.45</v>
      </c>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3"/>
      <c r="AV53" s="1798">
        <f t="shared" si="11"/>
        <v>0</v>
      </c>
      <c r="AW53" s="1798">
        <f t="shared" si="12"/>
        <v>0</v>
      </c>
      <c r="AX53" s="1798" t="str">
        <f t="shared" si="13"/>
        <v>7-1214</v>
      </c>
      <c r="AY53" s="41">
        <f t="shared" si="14"/>
        <v>16.98</v>
      </c>
      <c r="AZ53" s="34">
        <f t="shared" si="15"/>
        <v>49.45</v>
      </c>
      <c r="BA53" s="34">
        <f t="shared" si="16"/>
        <v>49.45</v>
      </c>
      <c r="BB53" s="34">
        <f t="shared" si="17"/>
        <v>49.45</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1274" t="str">
        <f>面积清单!B43</f>
        <v>7-1215</v>
      </c>
      <c r="D54" s="2217" t="s">
        <v>3658</v>
      </c>
      <c r="E54" s="34">
        <f t="shared" si="7"/>
        <v>20.309999999999999</v>
      </c>
      <c r="F54" s="35"/>
      <c r="G54" s="36">
        <f t="shared" si="8"/>
        <v>76.540000000000006</v>
      </c>
      <c r="H54" s="37">
        <f t="shared" si="9"/>
        <v>76.540000000000006</v>
      </c>
      <c r="I54" s="2218">
        <f>面积清单!E43</f>
        <v>76.540000000000006</v>
      </c>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3"/>
      <c r="AV54" s="1798">
        <f t="shared" si="11"/>
        <v>0</v>
      </c>
      <c r="AW54" s="1798">
        <f t="shared" si="12"/>
        <v>0</v>
      </c>
      <c r="AX54" s="1798" t="str">
        <f t="shared" si="13"/>
        <v>7-1215</v>
      </c>
      <c r="AY54" s="41">
        <f t="shared" si="14"/>
        <v>26.28</v>
      </c>
      <c r="AZ54" s="34">
        <f t="shared" si="15"/>
        <v>76.540000000000006</v>
      </c>
      <c r="BA54" s="34">
        <f t="shared" si="16"/>
        <v>76.540000000000006</v>
      </c>
      <c r="BB54" s="34">
        <f t="shared" si="17"/>
        <v>76.540000000000006</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1274" t="str">
        <f>面积清单!B44</f>
        <v>7-1216</v>
      </c>
      <c r="D55" s="2217" t="s">
        <v>3658</v>
      </c>
      <c r="E55" s="34">
        <f t="shared" si="7"/>
        <v>36.03</v>
      </c>
      <c r="F55" s="35"/>
      <c r="G55" s="36">
        <f t="shared" si="8"/>
        <v>135.76</v>
      </c>
      <c r="H55" s="37">
        <f t="shared" si="9"/>
        <v>135.76</v>
      </c>
      <c r="I55" s="2218">
        <f>面积清单!E44</f>
        <v>135.76</v>
      </c>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3"/>
      <c r="AV55" s="1798">
        <f t="shared" si="11"/>
        <v>0</v>
      </c>
      <c r="AW55" s="1798">
        <f t="shared" si="12"/>
        <v>0</v>
      </c>
      <c r="AX55" s="1798" t="str">
        <f t="shared" si="13"/>
        <v>7-1216</v>
      </c>
      <c r="AY55" s="41">
        <f t="shared" si="14"/>
        <v>46.61</v>
      </c>
      <c r="AZ55" s="34">
        <f t="shared" si="15"/>
        <v>135.76</v>
      </c>
      <c r="BA55" s="34">
        <f t="shared" si="16"/>
        <v>135.76</v>
      </c>
      <c r="BB55" s="34">
        <f t="shared" si="17"/>
        <v>135.76</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1274" t="str">
        <f>面积清单!B45</f>
        <v>7-1301</v>
      </c>
      <c r="D56" s="2217" t="s">
        <v>3658</v>
      </c>
      <c r="E56" s="34">
        <f t="shared" si="7"/>
        <v>21.42</v>
      </c>
      <c r="F56" s="35"/>
      <c r="G56" s="36">
        <f t="shared" si="8"/>
        <v>80.73</v>
      </c>
      <c r="H56" s="37">
        <f t="shared" si="9"/>
        <v>80.73</v>
      </c>
      <c r="I56" s="2218">
        <f>面积清单!E45</f>
        <v>80.73</v>
      </c>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3"/>
      <c r="AV56" s="1798">
        <f t="shared" si="11"/>
        <v>0</v>
      </c>
      <c r="AW56" s="1798">
        <f t="shared" si="12"/>
        <v>0</v>
      </c>
      <c r="AX56" s="1798" t="str">
        <f t="shared" si="13"/>
        <v>7-1301</v>
      </c>
      <c r="AY56" s="41">
        <f t="shared" si="14"/>
        <v>27.71</v>
      </c>
      <c r="AZ56" s="34">
        <f t="shared" si="15"/>
        <v>80.73</v>
      </c>
      <c r="BA56" s="34">
        <f t="shared" si="16"/>
        <v>80.73</v>
      </c>
      <c r="BB56" s="34">
        <f t="shared" si="17"/>
        <v>80.73</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1274" t="str">
        <f>面积清单!B46</f>
        <v>7-1302</v>
      </c>
      <c r="D57" s="2217" t="s">
        <v>3658</v>
      </c>
      <c r="E57" s="34">
        <f t="shared" si="7"/>
        <v>13.84</v>
      </c>
      <c r="F57" s="35"/>
      <c r="G57" s="36">
        <f t="shared" si="8"/>
        <v>52.17</v>
      </c>
      <c r="H57" s="37">
        <f t="shared" si="9"/>
        <v>52.17</v>
      </c>
      <c r="I57" s="2218">
        <f>面积清单!E46</f>
        <v>52.17</v>
      </c>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3"/>
      <c r="AV57" s="1798">
        <f t="shared" si="11"/>
        <v>0</v>
      </c>
      <c r="AW57" s="1798">
        <f t="shared" si="12"/>
        <v>0</v>
      </c>
      <c r="AX57" s="1798" t="str">
        <f t="shared" si="13"/>
        <v>7-1302</v>
      </c>
      <c r="AY57" s="41">
        <f t="shared" si="14"/>
        <v>17.91</v>
      </c>
      <c r="AZ57" s="34">
        <f t="shared" si="15"/>
        <v>52.17</v>
      </c>
      <c r="BA57" s="34">
        <f t="shared" si="16"/>
        <v>52.17</v>
      </c>
      <c r="BB57" s="34">
        <f t="shared" si="17"/>
        <v>52.17</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1274" t="str">
        <f>面积清单!B47</f>
        <v>7-1303</v>
      </c>
      <c r="D58" s="2217" t="s">
        <v>3658</v>
      </c>
      <c r="E58" s="34">
        <f t="shared" si="7"/>
        <v>13.84</v>
      </c>
      <c r="F58" s="35"/>
      <c r="G58" s="36">
        <f t="shared" si="8"/>
        <v>52.17</v>
      </c>
      <c r="H58" s="37">
        <f t="shared" si="9"/>
        <v>52.17</v>
      </c>
      <c r="I58" s="2218">
        <f>面积清单!E47</f>
        <v>52.17</v>
      </c>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3"/>
      <c r="AV58" s="1798">
        <f t="shared" si="11"/>
        <v>0</v>
      </c>
      <c r="AW58" s="1798">
        <f t="shared" si="12"/>
        <v>0</v>
      </c>
      <c r="AX58" s="1798" t="str">
        <f t="shared" si="13"/>
        <v>7-1303</v>
      </c>
      <c r="AY58" s="41">
        <f t="shared" si="14"/>
        <v>17.91</v>
      </c>
      <c r="AZ58" s="34">
        <f t="shared" si="15"/>
        <v>52.17</v>
      </c>
      <c r="BA58" s="34">
        <f t="shared" si="16"/>
        <v>52.17</v>
      </c>
      <c r="BB58" s="34">
        <f t="shared" si="17"/>
        <v>52.17</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1274" t="str">
        <f>面积清单!B48</f>
        <v>7-1304</v>
      </c>
      <c r="D59" s="2217" t="s">
        <v>3658</v>
      </c>
      <c r="E59" s="34">
        <f t="shared" si="7"/>
        <v>13.84</v>
      </c>
      <c r="F59" s="35"/>
      <c r="G59" s="36">
        <f t="shared" si="8"/>
        <v>52.17</v>
      </c>
      <c r="H59" s="37">
        <f t="shared" si="9"/>
        <v>52.17</v>
      </c>
      <c r="I59" s="2218">
        <f>面积清单!E48</f>
        <v>52.17</v>
      </c>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3"/>
      <c r="AV59" s="1798">
        <f t="shared" si="11"/>
        <v>0</v>
      </c>
      <c r="AW59" s="1798">
        <f t="shared" si="12"/>
        <v>0</v>
      </c>
      <c r="AX59" s="1798" t="str">
        <f t="shared" si="13"/>
        <v>7-1304</v>
      </c>
      <c r="AY59" s="41">
        <f t="shared" si="14"/>
        <v>17.91</v>
      </c>
      <c r="AZ59" s="34">
        <f t="shared" si="15"/>
        <v>52.17</v>
      </c>
      <c r="BA59" s="34">
        <f t="shared" si="16"/>
        <v>52.17</v>
      </c>
      <c r="BB59" s="34">
        <f t="shared" si="17"/>
        <v>52.17</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1274" t="str">
        <f>面积清单!B49</f>
        <v>7-1305</v>
      </c>
      <c r="D60" s="2217" t="s">
        <v>3658</v>
      </c>
      <c r="E60" s="34">
        <f t="shared" si="7"/>
        <v>13.84</v>
      </c>
      <c r="F60" s="35"/>
      <c r="G60" s="36">
        <f t="shared" si="8"/>
        <v>52.17</v>
      </c>
      <c r="H60" s="37">
        <f t="shared" si="9"/>
        <v>52.17</v>
      </c>
      <c r="I60" s="2218">
        <f>面积清单!E49</f>
        <v>52.17</v>
      </c>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3"/>
      <c r="AV60" s="1798">
        <f t="shared" si="11"/>
        <v>0</v>
      </c>
      <c r="AW60" s="1798">
        <f t="shared" si="12"/>
        <v>0</v>
      </c>
      <c r="AX60" s="1798" t="str">
        <f t="shared" si="13"/>
        <v>7-1305</v>
      </c>
      <c r="AY60" s="41">
        <f t="shared" si="14"/>
        <v>17.91</v>
      </c>
      <c r="AZ60" s="34">
        <f t="shared" si="15"/>
        <v>52.17</v>
      </c>
      <c r="BA60" s="34">
        <f t="shared" si="16"/>
        <v>52.17</v>
      </c>
      <c r="BB60" s="34">
        <f t="shared" si="17"/>
        <v>52.17</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1274" t="str">
        <f>面积清单!B50</f>
        <v>7-1306</v>
      </c>
      <c r="D61" s="2217" t="s">
        <v>3658</v>
      </c>
      <c r="E61" s="34">
        <f t="shared" si="7"/>
        <v>13.84</v>
      </c>
      <c r="F61" s="35"/>
      <c r="G61" s="36">
        <f t="shared" si="8"/>
        <v>52.17</v>
      </c>
      <c r="H61" s="37">
        <f t="shared" si="9"/>
        <v>52.17</v>
      </c>
      <c r="I61" s="2218">
        <f>面积清单!E50</f>
        <v>52.17</v>
      </c>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3"/>
      <c r="AV61" s="1798">
        <f t="shared" si="11"/>
        <v>0</v>
      </c>
      <c r="AW61" s="1798">
        <f t="shared" si="12"/>
        <v>0</v>
      </c>
      <c r="AX61" s="1798" t="str">
        <f t="shared" si="13"/>
        <v>7-1306</v>
      </c>
      <c r="AY61" s="41">
        <f t="shared" si="14"/>
        <v>17.91</v>
      </c>
      <c r="AZ61" s="34">
        <f t="shared" si="15"/>
        <v>52.17</v>
      </c>
      <c r="BA61" s="34">
        <f t="shared" si="16"/>
        <v>52.17</v>
      </c>
      <c r="BB61" s="34">
        <f t="shared" si="17"/>
        <v>52.17</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1274" t="str">
        <f>面积清单!B51</f>
        <v>7-1307</v>
      </c>
      <c r="D62" s="2217" t="s">
        <v>3658</v>
      </c>
      <c r="E62" s="34">
        <f t="shared" si="7"/>
        <v>13.84</v>
      </c>
      <c r="F62" s="35"/>
      <c r="G62" s="36">
        <f t="shared" si="8"/>
        <v>52.17</v>
      </c>
      <c r="H62" s="37">
        <f t="shared" si="9"/>
        <v>52.17</v>
      </c>
      <c r="I62" s="2218">
        <f>面积清单!E51</f>
        <v>52.17</v>
      </c>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3"/>
      <c r="AV62" s="1798">
        <f t="shared" si="11"/>
        <v>0</v>
      </c>
      <c r="AW62" s="1798">
        <f t="shared" si="12"/>
        <v>0</v>
      </c>
      <c r="AX62" s="1798" t="str">
        <f t="shared" si="13"/>
        <v>7-1307</v>
      </c>
      <c r="AY62" s="41">
        <f t="shared" si="14"/>
        <v>17.91</v>
      </c>
      <c r="AZ62" s="34">
        <f t="shared" si="15"/>
        <v>52.17</v>
      </c>
      <c r="BA62" s="34">
        <f t="shared" si="16"/>
        <v>52.17</v>
      </c>
      <c r="BB62" s="34">
        <f t="shared" si="17"/>
        <v>52.17</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1274" t="str">
        <f>面积清单!B52</f>
        <v>7-1308</v>
      </c>
      <c r="D63" s="2217" t="s">
        <v>3658</v>
      </c>
      <c r="E63" s="34">
        <f t="shared" si="7"/>
        <v>13.84</v>
      </c>
      <c r="F63" s="35"/>
      <c r="G63" s="36">
        <f t="shared" si="8"/>
        <v>52.17</v>
      </c>
      <c r="H63" s="37">
        <f t="shared" si="9"/>
        <v>52.17</v>
      </c>
      <c r="I63" s="2218">
        <f>面积清单!E52</f>
        <v>52.17</v>
      </c>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3"/>
      <c r="AV63" s="1798">
        <f t="shared" si="11"/>
        <v>0</v>
      </c>
      <c r="AW63" s="1798">
        <f t="shared" si="12"/>
        <v>0</v>
      </c>
      <c r="AX63" s="1798" t="str">
        <f t="shared" si="13"/>
        <v>7-1308</v>
      </c>
      <c r="AY63" s="41">
        <f t="shared" si="14"/>
        <v>17.91</v>
      </c>
      <c r="AZ63" s="34">
        <f t="shared" si="15"/>
        <v>52.17</v>
      </c>
      <c r="BA63" s="34">
        <f t="shared" si="16"/>
        <v>52.17</v>
      </c>
      <c r="BB63" s="34">
        <f t="shared" si="17"/>
        <v>52.17</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1274" t="str">
        <f>面积清单!B53</f>
        <v>7-1309</v>
      </c>
      <c r="D64" s="2217" t="s">
        <v>3658</v>
      </c>
      <c r="E64" s="34">
        <f t="shared" si="7"/>
        <v>13.84</v>
      </c>
      <c r="F64" s="35"/>
      <c r="G64" s="36">
        <f t="shared" si="8"/>
        <v>52.17</v>
      </c>
      <c r="H64" s="37">
        <f t="shared" si="9"/>
        <v>52.17</v>
      </c>
      <c r="I64" s="2218">
        <f>面积清单!E53</f>
        <v>52.17</v>
      </c>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3"/>
      <c r="AV64" s="1798">
        <f t="shared" si="11"/>
        <v>0</v>
      </c>
      <c r="AW64" s="1798">
        <f t="shared" si="12"/>
        <v>0</v>
      </c>
      <c r="AX64" s="1798" t="str">
        <f t="shared" si="13"/>
        <v>7-1309</v>
      </c>
      <c r="AY64" s="41">
        <f t="shared" si="14"/>
        <v>17.91</v>
      </c>
      <c r="AZ64" s="34">
        <f t="shared" si="15"/>
        <v>52.17</v>
      </c>
      <c r="BA64" s="34">
        <f t="shared" si="16"/>
        <v>52.17</v>
      </c>
      <c r="BB64" s="34">
        <f t="shared" si="17"/>
        <v>52.17</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1274" t="str">
        <f>面积清单!B54</f>
        <v>7-1310</v>
      </c>
      <c r="D65" s="2217" t="s">
        <v>3658</v>
      </c>
      <c r="E65" s="34">
        <f t="shared" si="7"/>
        <v>13.84</v>
      </c>
      <c r="F65" s="35"/>
      <c r="G65" s="36">
        <f t="shared" si="8"/>
        <v>52.17</v>
      </c>
      <c r="H65" s="37">
        <f t="shared" si="9"/>
        <v>52.17</v>
      </c>
      <c r="I65" s="2218">
        <f>面积清单!E54</f>
        <v>52.17</v>
      </c>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3"/>
      <c r="AV65" s="1798">
        <f t="shared" si="11"/>
        <v>0</v>
      </c>
      <c r="AW65" s="1798">
        <f t="shared" si="12"/>
        <v>0</v>
      </c>
      <c r="AX65" s="1798" t="str">
        <f t="shared" si="13"/>
        <v>7-1310</v>
      </c>
      <c r="AY65" s="41">
        <f t="shared" si="14"/>
        <v>17.91</v>
      </c>
      <c r="AZ65" s="34">
        <f t="shared" si="15"/>
        <v>52.17</v>
      </c>
      <c r="BA65" s="34">
        <f t="shared" si="16"/>
        <v>52.17</v>
      </c>
      <c r="BB65" s="34">
        <f t="shared" si="17"/>
        <v>52.17</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1274" t="str">
        <f>面积清单!B55</f>
        <v>7-1311</v>
      </c>
      <c r="D66" s="2217" t="s">
        <v>3658</v>
      </c>
      <c r="E66" s="34">
        <f t="shared" si="7"/>
        <v>13.84</v>
      </c>
      <c r="F66" s="35"/>
      <c r="G66" s="36">
        <f t="shared" si="8"/>
        <v>52.17</v>
      </c>
      <c r="H66" s="37">
        <f t="shared" si="9"/>
        <v>52.17</v>
      </c>
      <c r="I66" s="2218">
        <f>面积清单!E55</f>
        <v>52.17</v>
      </c>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3"/>
      <c r="AV66" s="1798">
        <f t="shared" si="11"/>
        <v>0</v>
      </c>
      <c r="AW66" s="1798">
        <f t="shared" si="12"/>
        <v>0</v>
      </c>
      <c r="AX66" s="1798" t="str">
        <f t="shared" si="13"/>
        <v>7-1311</v>
      </c>
      <c r="AY66" s="41">
        <f t="shared" si="14"/>
        <v>17.91</v>
      </c>
      <c r="AZ66" s="34">
        <f t="shared" si="15"/>
        <v>52.17</v>
      </c>
      <c r="BA66" s="34">
        <f t="shared" si="16"/>
        <v>52.17</v>
      </c>
      <c r="BB66" s="34">
        <f t="shared" si="17"/>
        <v>52.17</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1274" t="str">
        <f>面积清单!B56</f>
        <v>7-1312</v>
      </c>
      <c r="D67" s="2217" t="s">
        <v>3658</v>
      </c>
      <c r="E67" s="34">
        <f t="shared" si="7"/>
        <v>21.42</v>
      </c>
      <c r="F67" s="35"/>
      <c r="G67" s="36">
        <f t="shared" si="8"/>
        <v>80.73</v>
      </c>
      <c r="H67" s="37">
        <f t="shared" si="9"/>
        <v>80.73</v>
      </c>
      <c r="I67" s="2218">
        <f>面积清单!E56</f>
        <v>80.73</v>
      </c>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3"/>
      <c r="AV67" s="1798">
        <f t="shared" si="11"/>
        <v>0</v>
      </c>
      <c r="AW67" s="1798">
        <f t="shared" si="12"/>
        <v>0</v>
      </c>
      <c r="AX67" s="1798" t="str">
        <f t="shared" si="13"/>
        <v>7-1312</v>
      </c>
      <c r="AY67" s="41">
        <f t="shared" si="14"/>
        <v>27.71</v>
      </c>
      <c r="AZ67" s="34">
        <f t="shared" si="15"/>
        <v>80.73</v>
      </c>
      <c r="BA67" s="34">
        <f t="shared" si="16"/>
        <v>80.73</v>
      </c>
      <c r="BB67" s="34">
        <f t="shared" si="17"/>
        <v>80.73</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1274" t="str">
        <f>面积清单!B57</f>
        <v>7-1313</v>
      </c>
      <c r="D68" s="2217" t="s">
        <v>3658</v>
      </c>
      <c r="E68" s="34">
        <f t="shared" si="7"/>
        <v>17.52</v>
      </c>
      <c r="F68" s="35"/>
      <c r="G68" s="36">
        <f t="shared" si="8"/>
        <v>66.040000000000006</v>
      </c>
      <c r="H68" s="37">
        <f t="shared" si="9"/>
        <v>66.040000000000006</v>
      </c>
      <c r="I68" s="2218">
        <f>面积清单!E57</f>
        <v>66.040000000000006</v>
      </c>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3"/>
      <c r="AV68" s="1798">
        <f t="shared" si="11"/>
        <v>0</v>
      </c>
      <c r="AW68" s="1798">
        <f t="shared" si="12"/>
        <v>0</v>
      </c>
      <c r="AX68" s="1798" t="str">
        <f t="shared" si="13"/>
        <v>7-1313</v>
      </c>
      <c r="AY68" s="41">
        <f t="shared" si="14"/>
        <v>22.67</v>
      </c>
      <c r="AZ68" s="34">
        <f t="shared" si="15"/>
        <v>66.040000000000006</v>
      </c>
      <c r="BA68" s="34">
        <f t="shared" si="16"/>
        <v>66.040000000000006</v>
      </c>
      <c r="BB68" s="34">
        <f t="shared" si="17"/>
        <v>66.040000000000006</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1274" t="str">
        <f>面积清单!B58</f>
        <v>7-1314</v>
      </c>
      <c r="D69" s="2217" t="s">
        <v>3658</v>
      </c>
      <c r="E69" s="34">
        <f t="shared" si="7"/>
        <v>17.52</v>
      </c>
      <c r="F69" s="35"/>
      <c r="G69" s="36">
        <f t="shared" si="8"/>
        <v>66.040000000000006</v>
      </c>
      <c r="H69" s="37">
        <f t="shared" si="9"/>
        <v>66.040000000000006</v>
      </c>
      <c r="I69" s="2218">
        <f>面积清单!E58</f>
        <v>66.040000000000006</v>
      </c>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3"/>
      <c r="AV69" s="1798">
        <f t="shared" si="11"/>
        <v>0</v>
      </c>
      <c r="AW69" s="1798">
        <f t="shared" si="12"/>
        <v>0</v>
      </c>
      <c r="AX69" s="1798" t="str">
        <f t="shared" si="13"/>
        <v>7-1314</v>
      </c>
      <c r="AY69" s="41">
        <f t="shared" si="14"/>
        <v>22.67</v>
      </c>
      <c r="AZ69" s="34">
        <f t="shared" si="15"/>
        <v>66.040000000000006</v>
      </c>
      <c r="BA69" s="34">
        <f t="shared" si="16"/>
        <v>66.040000000000006</v>
      </c>
      <c r="BB69" s="34">
        <f t="shared" si="17"/>
        <v>66.040000000000006</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1274" t="str">
        <f>面积清单!B59</f>
        <v>7-1315</v>
      </c>
      <c r="D70" s="2217" t="s">
        <v>3658</v>
      </c>
      <c r="E70" s="34">
        <f t="shared" si="7"/>
        <v>21.42</v>
      </c>
      <c r="F70" s="35"/>
      <c r="G70" s="36">
        <f t="shared" si="8"/>
        <v>80.73</v>
      </c>
      <c r="H70" s="37">
        <f t="shared" si="9"/>
        <v>80.73</v>
      </c>
      <c r="I70" s="2218">
        <f>面积清单!E59</f>
        <v>80.73</v>
      </c>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3"/>
      <c r="AV70" s="1798">
        <f t="shared" si="11"/>
        <v>0</v>
      </c>
      <c r="AW70" s="1798">
        <f t="shared" si="12"/>
        <v>0</v>
      </c>
      <c r="AX70" s="1798" t="str">
        <f t="shared" si="13"/>
        <v>7-1315</v>
      </c>
      <c r="AY70" s="41">
        <f t="shared" si="14"/>
        <v>27.71</v>
      </c>
      <c r="AZ70" s="34">
        <f t="shared" si="15"/>
        <v>80.73</v>
      </c>
      <c r="BA70" s="34">
        <f t="shared" si="16"/>
        <v>80.73</v>
      </c>
      <c r="BB70" s="34">
        <f t="shared" si="17"/>
        <v>80.73</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1274" t="str">
        <f>面积清单!B60</f>
        <v>7-1316</v>
      </c>
      <c r="D71" s="2217" t="s">
        <v>3658</v>
      </c>
      <c r="E71" s="34">
        <f t="shared" si="7"/>
        <v>13.84</v>
      </c>
      <c r="F71" s="35"/>
      <c r="G71" s="36">
        <f t="shared" si="8"/>
        <v>52.17</v>
      </c>
      <c r="H71" s="37">
        <f t="shared" si="9"/>
        <v>52.17</v>
      </c>
      <c r="I71" s="2218">
        <f>面积清单!E60</f>
        <v>52.17</v>
      </c>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3"/>
      <c r="AV71" s="1798">
        <f t="shared" si="11"/>
        <v>0</v>
      </c>
      <c r="AW71" s="1798">
        <f t="shared" si="12"/>
        <v>0</v>
      </c>
      <c r="AX71" s="1798" t="str">
        <f t="shared" si="13"/>
        <v>7-1316</v>
      </c>
      <c r="AY71" s="41">
        <f t="shared" si="14"/>
        <v>17.91</v>
      </c>
      <c r="AZ71" s="34">
        <f t="shared" si="15"/>
        <v>52.17</v>
      </c>
      <c r="BA71" s="34">
        <f t="shared" si="16"/>
        <v>52.17</v>
      </c>
      <c r="BB71" s="34">
        <f t="shared" si="17"/>
        <v>52.17</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1274" t="str">
        <f>面积清单!B61</f>
        <v>7-1317</v>
      </c>
      <c r="D72" s="2217" t="s">
        <v>3658</v>
      </c>
      <c r="E72" s="34">
        <f t="shared" si="7"/>
        <v>13.84</v>
      </c>
      <c r="F72" s="35"/>
      <c r="G72" s="36">
        <f t="shared" si="8"/>
        <v>52.17</v>
      </c>
      <c r="H72" s="37">
        <f t="shared" si="9"/>
        <v>52.17</v>
      </c>
      <c r="I72" s="2218">
        <f>面积清单!E61</f>
        <v>52.17</v>
      </c>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3"/>
      <c r="AV72" s="1798">
        <f t="shared" si="11"/>
        <v>0</v>
      </c>
      <c r="AW72" s="1798">
        <f t="shared" si="12"/>
        <v>0</v>
      </c>
      <c r="AX72" s="1798" t="str">
        <f t="shared" si="13"/>
        <v>7-1317</v>
      </c>
      <c r="AY72" s="41">
        <f t="shared" si="14"/>
        <v>17.91</v>
      </c>
      <c r="AZ72" s="34">
        <f t="shared" si="15"/>
        <v>52.17</v>
      </c>
      <c r="BA72" s="34">
        <f t="shared" si="16"/>
        <v>52.17</v>
      </c>
      <c r="BB72" s="34">
        <f t="shared" si="17"/>
        <v>52.17</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1274" t="str">
        <f>面积清单!B62</f>
        <v>7-1318</v>
      </c>
      <c r="D73" s="2217" t="s">
        <v>3658</v>
      </c>
      <c r="E73" s="34">
        <f t="shared" si="7"/>
        <v>13.84</v>
      </c>
      <c r="F73" s="35"/>
      <c r="G73" s="36">
        <f t="shared" si="8"/>
        <v>52.17</v>
      </c>
      <c r="H73" s="37">
        <f t="shared" si="9"/>
        <v>52.17</v>
      </c>
      <c r="I73" s="2218">
        <f>面积清单!E62</f>
        <v>52.17</v>
      </c>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3"/>
      <c r="AV73" s="1798">
        <f t="shared" si="11"/>
        <v>0</v>
      </c>
      <c r="AW73" s="1798">
        <f t="shared" si="12"/>
        <v>0</v>
      </c>
      <c r="AX73" s="1798" t="str">
        <f t="shared" si="13"/>
        <v>7-1318</v>
      </c>
      <c r="AY73" s="41">
        <f t="shared" si="14"/>
        <v>17.91</v>
      </c>
      <c r="AZ73" s="34">
        <f t="shared" si="15"/>
        <v>52.17</v>
      </c>
      <c r="BA73" s="34">
        <f t="shared" si="16"/>
        <v>52.17</v>
      </c>
      <c r="BB73" s="34">
        <f t="shared" si="17"/>
        <v>52.17</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1274" t="str">
        <f>面积清单!B63</f>
        <v>7-1319</v>
      </c>
      <c r="D74" s="2217" t="s">
        <v>3658</v>
      </c>
      <c r="E74" s="34">
        <f t="shared" si="7"/>
        <v>13.84</v>
      </c>
      <c r="F74" s="35"/>
      <c r="G74" s="36">
        <f t="shared" si="8"/>
        <v>52.17</v>
      </c>
      <c r="H74" s="37">
        <f t="shared" si="9"/>
        <v>52.17</v>
      </c>
      <c r="I74" s="2218">
        <f>面积清单!E63</f>
        <v>52.17</v>
      </c>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3"/>
      <c r="AV74" s="1798">
        <f t="shared" si="11"/>
        <v>0</v>
      </c>
      <c r="AW74" s="1798">
        <f t="shared" si="12"/>
        <v>0</v>
      </c>
      <c r="AX74" s="1798" t="str">
        <f t="shared" si="13"/>
        <v>7-1319</v>
      </c>
      <c r="AY74" s="41">
        <f t="shared" si="14"/>
        <v>17.91</v>
      </c>
      <c r="AZ74" s="34">
        <f t="shared" si="15"/>
        <v>52.17</v>
      </c>
      <c r="BA74" s="34">
        <f t="shared" si="16"/>
        <v>52.17</v>
      </c>
      <c r="BB74" s="34">
        <f t="shared" si="17"/>
        <v>52.17</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1274" t="str">
        <f>面积清单!B64</f>
        <v>7-1320</v>
      </c>
      <c r="D75" s="2217" t="s">
        <v>3658</v>
      </c>
      <c r="E75" s="34">
        <f t="shared" si="7"/>
        <v>13.84</v>
      </c>
      <c r="F75" s="35"/>
      <c r="G75" s="36">
        <f t="shared" si="8"/>
        <v>52.17</v>
      </c>
      <c r="H75" s="37">
        <f t="shared" si="9"/>
        <v>52.17</v>
      </c>
      <c r="I75" s="2218">
        <f>面积清单!E64</f>
        <v>52.17</v>
      </c>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3"/>
      <c r="AV75" s="1798">
        <f t="shared" si="11"/>
        <v>0</v>
      </c>
      <c r="AW75" s="1798">
        <f t="shared" si="12"/>
        <v>0</v>
      </c>
      <c r="AX75" s="1798" t="str">
        <f t="shared" si="13"/>
        <v>7-1320</v>
      </c>
      <c r="AY75" s="41">
        <f t="shared" si="14"/>
        <v>17.91</v>
      </c>
      <c r="AZ75" s="34">
        <f t="shared" si="15"/>
        <v>52.17</v>
      </c>
      <c r="BA75" s="34">
        <f t="shared" si="16"/>
        <v>52.17</v>
      </c>
      <c r="BB75" s="34">
        <f t="shared" si="17"/>
        <v>52.17</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1274" t="str">
        <f>面积清单!B65</f>
        <v>7-1321</v>
      </c>
      <c r="D76" s="2217" t="s">
        <v>3658</v>
      </c>
      <c r="E76" s="34">
        <f t="shared" si="7"/>
        <v>13.84</v>
      </c>
      <c r="F76" s="35"/>
      <c r="G76" s="36">
        <f t="shared" si="8"/>
        <v>52.17</v>
      </c>
      <c r="H76" s="37">
        <f t="shared" si="9"/>
        <v>52.17</v>
      </c>
      <c r="I76" s="2218">
        <f>面积清单!E65</f>
        <v>52.17</v>
      </c>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3"/>
      <c r="AV76" s="1798">
        <f t="shared" si="11"/>
        <v>0</v>
      </c>
      <c r="AW76" s="1798">
        <f t="shared" si="12"/>
        <v>0</v>
      </c>
      <c r="AX76" s="1798" t="str">
        <f t="shared" si="13"/>
        <v>7-1321</v>
      </c>
      <c r="AY76" s="41">
        <f t="shared" si="14"/>
        <v>17.91</v>
      </c>
      <c r="AZ76" s="34">
        <f t="shared" si="15"/>
        <v>52.17</v>
      </c>
      <c r="BA76" s="34">
        <f t="shared" si="16"/>
        <v>52.17</v>
      </c>
      <c r="BB76" s="34">
        <f t="shared" si="17"/>
        <v>52.17</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1274" t="str">
        <f>面积清单!B66</f>
        <v>7-1322</v>
      </c>
      <c r="D77" s="2217" t="s">
        <v>3658</v>
      </c>
      <c r="E77" s="34">
        <f t="shared" si="7"/>
        <v>13.84</v>
      </c>
      <c r="F77" s="35"/>
      <c r="G77" s="36">
        <f t="shared" si="8"/>
        <v>52.17</v>
      </c>
      <c r="H77" s="37">
        <f t="shared" si="9"/>
        <v>52.17</v>
      </c>
      <c r="I77" s="2218">
        <f>面积清单!E66</f>
        <v>52.17</v>
      </c>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3"/>
      <c r="AV77" s="1798">
        <f t="shared" si="11"/>
        <v>0</v>
      </c>
      <c r="AW77" s="1798">
        <f t="shared" si="12"/>
        <v>0</v>
      </c>
      <c r="AX77" s="1798" t="str">
        <f t="shared" si="13"/>
        <v>7-1322</v>
      </c>
      <c r="AY77" s="41">
        <f t="shared" si="14"/>
        <v>17.91</v>
      </c>
      <c r="AZ77" s="34">
        <f t="shared" si="15"/>
        <v>52.17</v>
      </c>
      <c r="BA77" s="34">
        <f t="shared" si="16"/>
        <v>52.17</v>
      </c>
      <c r="BB77" s="34">
        <f t="shared" si="17"/>
        <v>52.17</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1274" t="str">
        <f>面积清单!B67</f>
        <v>7-1323</v>
      </c>
      <c r="D78" s="2217" t="s">
        <v>3658</v>
      </c>
      <c r="E78" s="34">
        <f t="shared" si="7"/>
        <v>13.84</v>
      </c>
      <c r="F78" s="35"/>
      <c r="G78" s="36">
        <f t="shared" si="8"/>
        <v>52.17</v>
      </c>
      <c r="H78" s="37">
        <f t="shared" si="9"/>
        <v>52.17</v>
      </c>
      <c r="I78" s="2218">
        <f>面积清单!E67</f>
        <v>52.17</v>
      </c>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3"/>
      <c r="AV78" s="1798">
        <f t="shared" si="11"/>
        <v>0</v>
      </c>
      <c r="AW78" s="1798">
        <f t="shared" si="12"/>
        <v>0</v>
      </c>
      <c r="AX78" s="1798" t="str">
        <f t="shared" si="13"/>
        <v>7-1323</v>
      </c>
      <c r="AY78" s="41">
        <f t="shared" si="14"/>
        <v>17.91</v>
      </c>
      <c r="AZ78" s="34">
        <f t="shared" si="15"/>
        <v>52.17</v>
      </c>
      <c r="BA78" s="34">
        <f t="shared" si="16"/>
        <v>52.17</v>
      </c>
      <c r="BB78" s="34">
        <f t="shared" si="17"/>
        <v>52.17</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1274" t="str">
        <f>面积清单!B68</f>
        <v>7-1324</v>
      </c>
      <c r="D79" s="2217" t="s">
        <v>3658</v>
      </c>
      <c r="E79" s="34">
        <f t="shared" si="7"/>
        <v>13.84</v>
      </c>
      <c r="F79" s="35"/>
      <c r="G79" s="36">
        <f t="shared" si="8"/>
        <v>52.17</v>
      </c>
      <c r="H79" s="37">
        <f t="shared" si="9"/>
        <v>52.17</v>
      </c>
      <c r="I79" s="2218">
        <f>面积清单!E68</f>
        <v>52.17</v>
      </c>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3"/>
      <c r="AV79" s="1798">
        <f t="shared" si="11"/>
        <v>0</v>
      </c>
      <c r="AW79" s="1798">
        <f t="shared" si="12"/>
        <v>0</v>
      </c>
      <c r="AX79" s="1798" t="str">
        <f t="shared" si="13"/>
        <v>7-1324</v>
      </c>
      <c r="AY79" s="41">
        <f t="shared" si="14"/>
        <v>17.91</v>
      </c>
      <c r="AZ79" s="34">
        <f t="shared" si="15"/>
        <v>52.17</v>
      </c>
      <c r="BA79" s="34">
        <f t="shared" si="16"/>
        <v>52.17</v>
      </c>
      <c r="BB79" s="34">
        <f t="shared" si="17"/>
        <v>52.17</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1274" t="str">
        <f>面积清单!B69</f>
        <v>7-1325</v>
      </c>
      <c r="D80" s="2217" t="s">
        <v>3658</v>
      </c>
      <c r="E80" s="34">
        <f t="shared" si="7"/>
        <v>13.84</v>
      </c>
      <c r="F80" s="35"/>
      <c r="G80" s="36">
        <f t="shared" si="8"/>
        <v>52.17</v>
      </c>
      <c r="H80" s="37">
        <f t="shared" si="9"/>
        <v>52.17</v>
      </c>
      <c r="I80" s="2218">
        <f>面积清单!E69</f>
        <v>52.17</v>
      </c>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3"/>
      <c r="AV80" s="1798">
        <f t="shared" si="11"/>
        <v>0</v>
      </c>
      <c r="AW80" s="1798">
        <f t="shared" si="12"/>
        <v>0</v>
      </c>
      <c r="AX80" s="1798" t="str">
        <f t="shared" si="13"/>
        <v>7-1325</v>
      </c>
      <c r="AY80" s="41">
        <f t="shared" si="14"/>
        <v>17.91</v>
      </c>
      <c r="AZ80" s="34">
        <f t="shared" si="15"/>
        <v>52.17</v>
      </c>
      <c r="BA80" s="34">
        <f t="shared" si="16"/>
        <v>52.17</v>
      </c>
      <c r="BB80" s="34">
        <f t="shared" si="17"/>
        <v>52.17</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1274" t="str">
        <f>面积清单!B70</f>
        <v>7-1326</v>
      </c>
      <c r="D81" s="2217" t="s">
        <v>3658</v>
      </c>
      <c r="E81" s="34">
        <f t="shared" si="7"/>
        <v>21.42</v>
      </c>
      <c r="F81" s="35"/>
      <c r="G81" s="36">
        <f t="shared" si="8"/>
        <v>80.73</v>
      </c>
      <c r="H81" s="37">
        <f t="shared" si="9"/>
        <v>80.73</v>
      </c>
      <c r="I81" s="2218">
        <f>面积清单!E70</f>
        <v>80.73</v>
      </c>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3"/>
      <c r="AV81" s="1798">
        <f t="shared" si="11"/>
        <v>0</v>
      </c>
      <c r="AW81" s="1798">
        <f t="shared" si="12"/>
        <v>0</v>
      </c>
      <c r="AX81" s="1798" t="str">
        <f t="shared" si="13"/>
        <v>7-1326</v>
      </c>
      <c r="AY81" s="41">
        <f t="shared" si="14"/>
        <v>27.71</v>
      </c>
      <c r="AZ81" s="34">
        <f t="shared" si="15"/>
        <v>80.73</v>
      </c>
      <c r="BA81" s="34">
        <f t="shared" si="16"/>
        <v>80.73</v>
      </c>
      <c r="BB81" s="34">
        <f t="shared" si="17"/>
        <v>80.73</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1274" t="str">
        <f>面积清单!B71</f>
        <v>7-1327</v>
      </c>
      <c r="D82" s="2217" t="s">
        <v>3658</v>
      </c>
      <c r="E82" s="34">
        <f t="shared" si="7"/>
        <v>17.52</v>
      </c>
      <c r="F82" s="35"/>
      <c r="G82" s="36">
        <f t="shared" si="8"/>
        <v>66.040000000000006</v>
      </c>
      <c r="H82" s="37">
        <f t="shared" si="9"/>
        <v>66.040000000000006</v>
      </c>
      <c r="I82" s="2218">
        <f>面积清单!E71</f>
        <v>66.040000000000006</v>
      </c>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3"/>
      <c r="AV82" s="1798">
        <f t="shared" si="11"/>
        <v>0</v>
      </c>
      <c r="AW82" s="1798">
        <f t="shared" si="12"/>
        <v>0</v>
      </c>
      <c r="AX82" s="1798" t="str">
        <f t="shared" si="13"/>
        <v>7-1327</v>
      </c>
      <c r="AY82" s="41">
        <f t="shared" si="14"/>
        <v>22.67</v>
      </c>
      <c r="AZ82" s="34">
        <f t="shared" si="15"/>
        <v>66.040000000000006</v>
      </c>
      <c r="BA82" s="34">
        <f t="shared" si="16"/>
        <v>66.040000000000006</v>
      </c>
      <c r="BB82" s="34">
        <f t="shared" si="17"/>
        <v>66.040000000000006</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1274" t="str">
        <f>面积清单!B72</f>
        <v>7-1328</v>
      </c>
      <c r="D83" s="2217" t="s">
        <v>3658</v>
      </c>
      <c r="E83" s="34">
        <f t="shared" si="7"/>
        <v>17.52</v>
      </c>
      <c r="F83" s="35"/>
      <c r="G83" s="36">
        <f t="shared" si="8"/>
        <v>66.040000000000006</v>
      </c>
      <c r="H83" s="37">
        <f t="shared" si="9"/>
        <v>66.040000000000006</v>
      </c>
      <c r="I83" s="2218">
        <f>面积清单!E72</f>
        <v>66.040000000000006</v>
      </c>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3"/>
      <c r="AV83" s="1798">
        <f t="shared" si="11"/>
        <v>0</v>
      </c>
      <c r="AW83" s="1798">
        <f t="shared" si="12"/>
        <v>0</v>
      </c>
      <c r="AX83" s="1798" t="str">
        <f t="shared" si="13"/>
        <v>7-1328</v>
      </c>
      <c r="AY83" s="41">
        <f t="shared" si="14"/>
        <v>22.67</v>
      </c>
      <c r="AZ83" s="34">
        <f t="shared" si="15"/>
        <v>66.040000000000006</v>
      </c>
      <c r="BA83" s="34">
        <f t="shared" si="16"/>
        <v>66.040000000000006</v>
      </c>
      <c r="BB83" s="34">
        <f t="shared" si="17"/>
        <v>66.040000000000006</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1274" t="str">
        <f>面积清单!B73</f>
        <v>7-1401</v>
      </c>
      <c r="D84" s="2217" t="s">
        <v>3658</v>
      </c>
      <c r="E84" s="34">
        <f t="shared" si="7"/>
        <v>21.42</v>
      </c>
      <c r="F84" s="35"/>
      <c r="G84" s="36">
        <f t="shared" si="8"/>
        <v>80.73</v>
      </c>
      <c r="H84" s="37">
        <f t="shared" si="9"/>
        <v>80.73</v>
      </c>
      <c r="I84" s="2218">
        <f>面积清单!E73</f>
        <v>80.73</v>
      </c>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3"/>
      <c r="AV84" s="1798">
        <f t="shared" si="11"/>
        <v>0</v>
      </c>
      <c r="AW84" s="1798">
        <f t="shared" si="12"/>
        <v>0</v>
      </c>
      <c r="AX84" s="1798" t="str">
        <f t="shared" si="13"/>
        <v>7-1401</v>
      </c>
      <c r="AY84" s="41">
        <f t="shared" si="14"/>
        <v>27.71</v>
      </c>
      <c r="AZ84" s="34">
        <f t="shared" si="15"/>
        <v>80.73</v>
      </c>
      <c r="BA84" s="34">
        <f t="shared" si="16"/>
        <v>80.73</v>
      </c>
      <c r="BB84" s="34">
        <f t="shared" si="17"/>
        <v>80.73</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1274" t="str">
        <f>面积清单!B74</f>
        <v>7-1402</v>
      </c>
      <c r="D85" s="2217" t="s">
        <v>3658</v>
      </c>
      <c r="E85" s="34">
        <f t="shared" si="7"/>
        <v>13.84</v>
      </c>
      <c r="F85" s="35"/>
      <c r="G85" s="36">
        <f t="shared" si="8"/>
        <v>52.17</v>
      </c>
      <c r="H85" s="37">
        <f t="shared" si="9"/>
        <v>52.17</v>
      </c>
      <c r="I85" s="2218">
        <f>面积清单!E74</f>
        <v>52.17</v>
      </c>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3"/>
      <c r="AV85" s="1798">
        <f t="shared" si="11"/>
        <v>0</v>
      </c>
      <c r="AW85" s="1798">
        <f t="shared" si="12"/>
        <v>0</v>
      </c>
      <c r="AX85" s="1798" t="str">
        <f t="shared" si="13"/>
        <v>7-1402</v>
      </c>
      <c r="AY85" s="41">
        <f t="shared" si="14"/>
        <v>17.91</v>
      </c>
      <c r="AZ85" s="34">
        <f t="shared" si="15"/>
        <v>52.17</v>
      </c>
      <c r="BA85" s="34">
        <f t="shared" si="16"/>
        <v>52.17</v>
      </c>
      <c r="BB85" s="34">
        <f t="shared" si="17"/>
        <v>52.17</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1274" t="str">
        <f>面积清单!B75</f>
        <v>7-1403</v>
      </c>
      <c r="D86" s="2217" t="s">
        <v>3658</v>
      </c>
      <c r="E86" s="34">
        <f t="shared" si="7"/>
        <v>13.84</v>
      </c>
      <c r="F86" s="35"/>
      <c r="G86" s="36">
        <f t="shared" si="8"/>
        <v>52.17</v>
      </c>
      <c r="H86" s="37">
        <f t="shared" si="9"/>
        <v>52.17</v>
      </c>
      <c r="I86" s="2218">
        <f>面积清单!E75</f>
        <v>52.17</v>
      </c>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3"/>
      <c r="AV86" s="1798">
        <f t="shared" si="11"/>
        <v>0</v>
      </c>
      <c r="AW86" s="1798">
        <f t="shared" si="12"/>
        <v>0</v>
      </c>
      <c r="AX86" s="1798" t="str">
        <f t="shared" si="13"/>
        <v>7-1403</v>
      </c>
      <c r="AY86" s="41">
        <f t="shared" si="14"/>
        <v>17.91</v>
      </c>
      <c r="AZ86" s="34">
        <f t="shared" si="15"/>
        <v>52.17</v>
      </c>
      <c r="BA86" s="34">
        <f t="shared" si="16"/>
        <v>52.17</v>
      </c>
      <c r="BB86" s="34">
        <f t="shared" si="17"/>
        <v>52.17</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1274" t="str">
        <f>面积清单!B76</f>
        <v>7-1404</v>
      </c>
      <c r="D87" s="2217" t="s">
        <v>3658</v>
      </c>
      <c r="E87" s="34">
        <f t="shared" si="7"/>
        <v>13.84</v>
      </c>
      <c r="F87" s="35"/>
      <c r="G87" s="36">
        <f t="shared" si="8"/>
        <v>52.17</v>
      </c>
      <c r="H87" s="37">
        <f t="shared" si="9"/>
        <v>52.17</v>
      </c>
      <c r="I87" s="2218">
        <f>面积清单!E76</f>
        <v>52.17</v>
      </c>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3"/>
      <c r="AV87" s="1798">
        <f t="shared" si="11"/>
        <v>0</v>
      </c>
      <c r="AW87" s="1798">
        <f t="shared" si="12"/>
        <v>0</v>
      </c>
      <c r="AX87" s="1798" t="str">
        <f t="shared" si="13"/>
        <v>7-1404</v>
      </c>
      <c r="AY87" s="41">
        <f t="shared" si="14"/>
        <v>17.91</v>
      </c>
      <c r="AZ87" s="34">
        <f t="shared" si="15"/>
        <v>52.17</v>
      </c>
      <c r="BA87" s="34">
        <f t="shared" si="16"/>
        <v>52.17</v>
      </c>
      <c r="BB87" s="34">
        <f t="shared" si="17"/>
        <v>52.17</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1274" t="str">
        <f>面积清单!B77</f>
        <v>7-1405</v>
      </c>
      <c r="D88" s="2217" t="s">
        <v>3658</v>
      </c>
      <c r="E88" s="34">
        <f t="shared" si="7"/>
        <v>13.84</v>
      </c>
      <c r="F88" s="35"/>
      <c r="G88" s="36">
        <f t="shared" si="8"/>
        <v>52.17</v>
      </c>
      <c r="H88" s="37">
        <f t="shared" si="9"/>
        <v>52.17</v>
      </c>
      <c r="I88" s="2218">
        <f>面积清单!E77</f>
        <v>52.17</v>
      </c>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3"/>
      <c r="AV88" s="1798">
        <f t="shared" si="11"/>
        <v>0</v>
      </c>
      <c r="AW88" s="1798">
        <f t="shared" si="12"/>
        <v>0</v>
      </c>
      <c r="AX88" s="1798" t="str">
        <f t="shared" si="13"/>
        <v>7-1405</v>
      </c>
      <c r="AY88" s="41">
        <f t="shared" si="14"/>
        <v>17.91</v>
      </c>
      <c r="AZ88" s="34">
        <f t="shared" si="15"/>
        <v>52.17</v>
      </c>
      <c r="BA88" s="34">
        <f t="shared" si="16"/>
        <v>52.17</v>
      </c>
      <c r="BB88" s="34">
        <f t="shared" si="17"/>
        <v>52.17</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1274" t="str">
        <f>面积清单!B78</f>
        <v>7-1406</v>
      </c>
      <c r="D89" s="2217" t="s">
        <v>3658</v>
      </c>
      <c r="E89" s="34">
        <f t="shared" si="7"/>
        <v>13.84</v>
      </c>
      <c r="F89" s="35"/>
      <c r="G89" s="36">
        <f t="shared" si="8"/>
        <v>52.17</v>
      </c>
      <c r="H89" s="37">
        <f t="shared" si="9"/>
        <v>52.17</v>
      </c>
      <c r="I89" s="2218">
        <f>面积清单!E78</f>
        <v>52.17</v>
      </c>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3"/>
      <c r="AV89" s="1798">
        <f t="shared" si="11"/>
        <v>0</v>
      </c>
      <c r="AW89" s="1798">
        <f t="shared" si="12"/>
        <v>0</v>
      </c>
      <c r="AX89" s="1798" t="str">
        <f t="shared" si="13"/>
        <v>7-1406</v>
      </c>
      <c r="AY89" s="41">
        <f t="shared" si="14"/>
        <v>17.91</v>
      </c>
      <c r="AZ89" s="34">
        <f t="shared" si="15"/>
        <v>52.17</v>
      </c>
      <c r="BA89" s="34">
        <f t="shared" si="16"/>
        <v>52.17</v>
      </c>
      <c r="BB89" s="34">
        <f t="shared" si="17"/>
        <v>52.17</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1274" t="str">
        <f>面积清单!B79</f>
        <v>7-1407</v>
      </c>
      <c r="D90" s="2217" t="s">
        <v>3658</v>
      </c>
      <c r="E90" s="34">
        <f t="shared" si="7"/>
        <v>13.84</v>
      </c>
      <c r="F90" s="35"/>
      <c r="G90" s="36">
        <f t="shared" si="8"/>
        <v>52.17</v>
      </c>
      <c r="H90" s="37">
        <f t="shared" si="9"/>
        <v>52.17</v>
      </c>
      <c r="I90" s="2218">
        <f>面积清单!E79</f>
        <v>52.17</v>
      </c>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3"/>
      <c r="AV90" s="1798">
        <f t="shared" si="11"/>
        <v>0</v>
      </c>
      <c r="AW90" s="1798">
        <f t="shared" si="12"/>
        <v>0</v>
      </c>
      <c r="AX90" s="1798" t="str">
        <f t="shared" si="13"/>
        <v>7-1407</v>
      </c>
      <c r="AY90" s="41">
        <f t="shared" si="14"/>
        <v>17.91</v>
      </c>
      <c r="AZ90" s="34">
        <f t="shared" si="15"/>
        <v>52.17</v>
      </c>
      <c r="BA90" s="34">
        <f t="shared" si="16"/>
        <v>52.17</v>
      </c>
      <c r="BB90" s="34">
        <f t="shared" si="17"/>
        <v>52.17</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1274" t="str">
        <f>面积清单!B80</f>
        <v>7-1408</v>
      </c>
      <c r="D91" s="2217" t="s">
        <v>3658</v>
      </c>
      <c r="E91" s="34">
        <f t="shared" si="7"/>
        <v>13.84</v>
      </c>
      <c r="F91" s="35"/>
      <c r="G91" s="36">
        <f t="shared" si="8"/>
        <v>52.17</v>
      </c>
      <c r="H91" s="37">
        <f t="shared" si="9"/>
        <v>52.17</v>
      </c>
      <c r="I91" s="2218">
        <f>面积清单!E80</f>
        <v>52.17</v>
      </c>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3"/>
      <c r="AV91" s="1798">
        <f t="shared" si="11"/>
        <v>0</v>
      </c>
      <c r="AW91" s="1798">
        <f t="shared" si="12"/>
        <v>0</v>
      </c>
      <c r="AX91" s="1798" t="str">
        <f t="shared" si="13"/>
        <v>7-1408</v>
      </c>
      <c r="AY91" s="41">
        <f t="shared" si="14"/>
        <v>17.91</v>
      </c>
      <c r="AZ91" s="34">
        <f t="shared" si="15"/>
        <v>52.17</v>
      </c>
      <c r="BA91" s="34">
        <f t="shared" si="16"/>
        <v>52.17</v>
      </c>
      <c r="BB91" s="34">
        <f t="shared" si="17"/>
        <v>52.17</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1274" t="str">
        <f>面积清单!B81</f>
        <v>7-1409</v>
      </c>
      <c r="D92" s="2217" t="s">
        <v>3658</v>
      </c>
      <c r="E92" s="34">
        <f t="shared" si="7"/>
        <v>13.84</v>
      </c>
      <c r="F92" s="35"/>
      <c r="G92" s="36">
        <f t="shared" si="8"/>
        <v>52.17</v>
      </c>
      <c r="H92" s="37">
        <f t="shared" si="9"/>
        <v>52.17</v>
      </c>
      <c r="I92" s="2218">
        <f>面积清单!E81</f>
        <v>52.17</v>
      </c>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3"/>
      <c r="AV92" s="1798">
        <f t="shared" si="11"/>
        <v>0</v>
      </c>
      <c r="AW92" s="1798">
        <f t="shared" si="12"/>
        <v>0</v>
      </c>
      <c r="AX92" s="1798" t="str">
        <f t="shared" si="13"/>
        <v>7-1409</v>
      </c>
      <c r="AY92" s="41">
        <f t="shared" si="14"/>
        <v>17.91</v>
      </c>
      <c r="AZ92" s="34">
        <f t="shared" si="15"/>
        <v>52.17</v>
      </c>
      <c r="BA92" s="34">
        <f t="shared" si="16"/>
        <v>52.17</v>
      </c>
      <c r="BB92" s="34">
        <f t="shared" si="17"/>
        <v>52.17</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1274" t="str">
        <f>面积清单!B82</f>
        <v>7-1410</v>
      </c>
      <c r="D93" s="2217" t="s">
        <v>3658</v>
      </c>
      <c r="E93" s="34">
        <f t="shared" si="7"/>
        <v>13.84</v>
      </c>
      <c r="F93" s="35"/>
      <c r="G93" s="36">
        <f t="shared" si="8"/>
        <v>52.17</v>
      </c>
      <c r="H93" s="37">
        <f t="shared" si="9"/>
        <v>52.17</v>
      </c>
      <c r="I93" s="2218">
        <f>面积清单!E82</f>
        <v>52.17</v>
      </c>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3"/>
      <c r="AV93" s="1798">
        <f t="shared" si="11"/>
        <v>0</v>
      </c>
      <c r="AW93" s="1798">
        <f t="shared" si="12"/>
        <v>0</v>
      </c>
      <c r="AX93" s="1798" t="str">
        <f t="shared" si="13"/>
        <v>7-1410</v>
      </c>
      <c r="AY93" s="41">
        <f t="shared" si="14"/>
        <v>17.91</v>
      </c>
      <c r="AZ93" s="34">
        <f t="shared" si="15"/>
        <v>52.17</v>
      </c>
      <c r="BA93" s="34">
        <f t="shared" si="16"/>
        <v>52.17</v>
      </c>
      <c r="BB93" s="34">
        <f t="shared" si="17"/>
        <v>52.17</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1274" t="str">
        <f>面积清单!B83</f>
        <v>7-1411</v>
      </c>
      <c r="D94" s="2217" t="s">
        <v>3658</v>
      </c>
      <c r="E94" s="34">
        <f t="shared" si="7"/>
        <v>13.84</v>
      </c>
      <c r="F94" s="35"/>
      <c r="G94" s="36">
        <f t="shared" si="8"/>
        <v>52.17</v>
      </c>
      <c r="H94" s="37">
        <f t="shared" si="9"/>
        <v>52.17</v>
      </c>
      <c r="I94" s="2218">
        <f>面积清单!E83</f>
        <v>52.17</v>
      </c>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3"/>
      <c r="AV94" s="1798">
        <f t="shared" si="11"/>
        <v>0</v>
      </c>
      <c r="AW94" s="1798">
        <f t="shared" si="12"/>
        <v>0</v>
      </c>
      <c r="AX94" s="1798" t="str">
        <f t="shared" si="13"/>
        <v>7-1411</v>
      </c>
      <c r="AY94" s="41">
        <f t="shared" si="14"/>
        <v>17.91</v>
      </c>
      <c r="AZ94" s="34">
        <f t="shared" si="15"/>
        <v>52.17</v>
      </c>
      <c r="BA94" s="34">
        <f t="shared" si="16"/>
        <v>52.17</v>
      </c>
      <c r="BB94" s="34">
        <f t="shared" si="17"/>
        <v>52.17</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1274" t="str">
        <f>面积清单!B84</f>
        <v>7-1412</v>
      </c>
      <c r="D95" s="2217" t="s">
        <v>3658</v>
      </c>
      <c r="E95" s="34">
        <f t="shared" si="7"/>
        <v>21.42</v>
      </c>
      <c r="F95" s="35"/>
      <c r="G95" s="36">
        <f t="shared" si="8"/>
        <v>80.73</v>
      </c>
      <c r="H95" s="37">
        <f t="shared" si="9"/>
        <v>80.73</v>
      </c>
      <c r="I95" s="2218">
        <f>面积清单!E84</f>
        <v>80.73</v>
      </c>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3"/>
      <c r="AV95" s="1798">
        <f t="shared" si="11"/>
        <v>0</v>
      </c>
      <c r="AW95" s="1798">
        <f t="shared" si="12"/>
        <v>0</v>
      </c>
      <c r="AX95" s="1798" t="str">
        <f t="shared" si="13"/>
        <v>7-1412</v>
      </c>
      <c r="AY95" s="41">
        <f t="shared" si="14"/>
        <v>27.71</v>
      </c>
      <c r="AZ95" s="34">
        <f t="shared" si="15"/>
        <v>80.73</v>
      </c>
      <c r="BA95" s="34">
        <f t="shared" si="16"/>
        <v>80.73</v>
      </c>
      <c r="BB95" s="34">
        <f t="shared" si="17"/>
        <v>80.73</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1274" t="str">
        <f>面积清单!B85</f>
        <v>7-1413</v>
      </c>
      <c r="D96" s="2217" t="s">
        <v>3658</v>
      </c>
      <c r="E96" s="34">
        <f t="shared" si="7"/>
        <v>17.52</v>
      </c>
      <c r="F96" s="35"/>
      <c r="G96" s="36">
        <f t="shared" si="8"/>
        <v>66.040000000000006</v>
      </c>
      <c r="H96" s="37">
        <f t="shared" si="9"/>
        <v>66.040000000000006</v>
      </c>
      <c r="I96" s="2218">
        <f>面积清单!E85</f>
        <v>66.040000000000006</v>
      </c>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3"/>
      <c r="AV96" s="1798">
        <f t="shared" si="11"/>
        <v>0</v>
      </c>
      <c r="AW96" s="1798">
        <f t="shared" si="12"/>
        <v>0</v>
      </c>
      <c r="AX96" s="1798" t="str">
        <f t="shared" si="13"/>
        <v>7-1413</v>
      </c>
      <c r="AY96" s="41">
        <f t="shared" si="14"/>
        <v>22.67</v>
      </c>
      <c r="AZ96" s="34">
        <f t="shared" si="15"/>
        <v>66.040000000000006</v>
      </c>
      <c r="BA96" s="34">
        <f t="shared" si="16"/>
        <v>66.040000000000006</v>
      </c>
      <c r="BB96" s="34">
        <f t="shared" si="17"/>
        <v>66.040000000000006</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1274" t="str">
        <f>面积清单!B86</f>
        <v>7-1414</v>
      </c>
      <c r="D97" s="2217" t="s">
        <v>3658</v>
      </c>
      <c r="E97" s="34">
        <f t="shared" si="7"/>
        <v>17.52</v>
      </c>
      <c r="F97" s="35"/>
      <c r="G97" s="36">
        <f t="shared" si="8"/>
        <v>66.040000000000006</v>
      </c>
      <c r="H97" s="37">
        <f t="shared" si="9"/>
        <v>66.040000000000006</v>
      </c>
      <c r="I97" s="2218">
        <f>面积清单!E86</f>
        <v>66.040000000000006</v>
      </c>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3"/>
      <c r="AV97" s="1798">
        <f t="shared" si="11"/>
        <v>0</v>
      </c>
      <c r="AW97" s="1798">
        <f t="shared" si="12"/>
        <v>0</v>
      </c>
      <c r="AX97" s="1798" t="str">
        <f t="shared" si="13"/>
        <v>7-1414</v>
      </c>
      <c r="AY97" s="41">
        <f t="shared" si="14"/>
        <v>22.67</v>
      </c>
      <c r="AZ97" s="34">
        <f t="shared" si="15"/>
        <v>66.040000000000006</v>
      </c>
      <c r="BA97" s="34">
        <f t="shared" si="16"/>
        <v>66.040000000000006</v>
      </c>
      <c r="BB97" s="34">
        <f t="shared" si="17"/>
        <v>66.040000000000006</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1274" t="str">
        <f>面积清单!B87</f>
        <v>7-1415</v>
      </c>
      <c r="D98" s="2217" t="s">
        <v>3658</v>
      </c>
      <c r="E98" s="34">
        <f t="shared" si="7"/>
        <v>21.42</v>
      </c>
      <c r="F98" s="35"/>
      <c r="G98" s="36">
        <f t="shared" si="8"/>
        <v>80.73</v>
      </c>
      <c r="H98" s="37">
        <f t="shared" si="9"/>
        <v>80.73</v>
      </c>
      <c r="I98" s="2218">
        <f>面积清单!E87</f>
        <v>80.73</v>
      </c>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3"/>
      <c r="AV98" s="1798">
        <f t="shared" si="11"/>
        <v>0</v>
      </c>
      <c r="AW98" s="1798">
        <f t="shared" si="12"/>
        <v>0</v>
      </c>
      <c r="AX98" s="1798" t="str">
        <f t="shared" si="13"/>
        <v>7-1415</v>
      </c>
      <c r="AY98" s="41">
        <f t="shared" si="14"/>
        <v>27.71</v>
      </c>
      <c r="AZ98" s="34">
        <f t="shared" si="15"/>
        <v>80.73</v>
      </c>
      <c r="BA98" s="34">
        <f t="shared" si="16"/>
        <v>80.73</v>
      </c>
      <c r="BB98" s="34">
        <f t="shared" si="17"/>
        <v>80.73</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1274" t="str">
        <f>面积清单!B88</f>
        <v>7-1416</v>
      </c>
      <c r="D99" s="2217" t="s">
        <v>3658</v>
      </c>
      <c r="E99" s="34">
        <f t="shared" si="7"/>
        <v>13.84</v>
      </c>
      <c r="F99" s="35"/>
      <c r="G99" s="36">
        <f t="shared" si="8"/>
        <v>52.17</v>
      </c>
      <c r="H99" s="37">
        <f t="shared" si="9"/>
        <v>52.17</v>
      </c>
      <c r="I99" s="2218">
        <f>面积清单!E88</f>
        <v>52.17</v>
      </c>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3"/>
      <c r="AV99" s="1798">
        <f t="shared" si="11"/>
        <v>0</v>
      </c>
      <c r="AW99" s="1798">
        <f t="shared" si="12"/>
        <v>0</v>
      </c>
      <c r="AX99" s="1798" t="str">
        <f t="shared" si="13"/>
        <v>7-1416</v>
      </c>
      <c r="AY99" s="41">
        <f t="shared" si="14"/>
        <v>17.91</v>
      </c>
      <c r="AZ99" s="34">
        <f t="shared" si="15"/>
        <v>52.17</v>
      </c>
      <c r="BA99" s="34">
        <f t="shared" si="16"/>
        <v>52.17</v>
      </c>
      <c r="BB99" s="34">
        <f t="shared" si="17"/>
        <v>52.17</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1274" t="str">
        <f>面积清单!B89</f>
        <v>7-1417</v>
      </c>
      <c r="D100" s="2217" t="s">
        <v>3658</v>
      </c>
      <c r="E100" s="34">
        <f t="shared" si="7"/>
        <v>13.84</v>
      </c>
      <c r="F100" s="35"/>
      <c r="G100" s="36">
        <f t="shared" si="8"/>
        <v>52.17</v>
      </c>
      <c r="H100" s="37">
        <f t="shared" si="9"/>
        <v>52.17</v>
      </c>
      <c r="I100" s="2218">
        <f>面积清单!E89</f>
        <v>52.17</v>
      </c>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3"/>
      <c r="AV100" s="1798">
        <f t="shared" si="11"/>
        <v>0</v>
      </c>
      <c r="AW100" s="1798">
        <f t="shared" si="12"/>
        <v>0</v>
      </c>
      <c r="AX100" s="1798" t="str">
        <f t="shared" si="13"/>
        <v>7-1417</v>
      </c>
      <c r="AY100" s="41">
        <f t="shared" si="14"/>
        <v>17.91</v>
      </c>
      <c r="AZ100" s="34">
        <f t="shared" si="15"/>
        <v>52.17</v>
      </c>
      <c r="BA100" s="34">
        <f t="shared" si="16"/>
        <v>52.17</v>
      </c>
      <c r="BB100" s="34">
        <f t="shared" si="17"/>
        <v>52.17</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1274" t="str">
        <f>面积清单!B90</f>
        <v>7-1418</v>
      </c>
      <c r="D101" s="2217" t="s">
        <v>3658</v>
      </c>
      <c r="E101" s="34">
        <f t="shared" si="7"/>
        <v>13.84</v>
      </c>
      <c r="F101" s="35"/>
      <c r="G101" s="36">
        <f t="shared" si="8"/>
        <v>52.17</v>
      </c>
      <c r="H101" s="37">
        <f t="shared" si="9"/>
        <v>52.17</v>
      </c>
      <c r="I101" s="2218">
        <f>面积清单!E90</f>
        <v>52.17</v>
      </c>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3"/>
      <c r="AV101" s="1798">
        <f t="shared" si="11"/>
        <v>0</v>
      </c>
      <c r="AW101" s="1798">
        <f t="shared" si="12"/>
        <v>0</v>
      </c>
      <c r="AX101" s="1798" t="str">
        <f t="shared" si="13"/>
        <v>7-1418</v>
      </c>
      <c r="AY101" s="41">
        <f t="shared" si="14"/>
        <v>17.91</v>
      </c>
      <c r="AZ101" s="34">
        <f t="shared" si="15"/>
        <v>52.17</v>
      </c>
      <c r="BA101" s="34">
        <f t="shared" si="16"/>
        <v>52.17</v>
      </c>
      <c r="BB101" s="34">
        <f t="shared" si="17"/>
        <v>52.17</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1274" t="str">
        <f>面积清单!B91</f>
        <v>7-1419</v>
      </c>
      <c r="D102" s="2217" t="s">
        <v>3658</v>
      </c>
      <c r="E102" s="34">
        <f t="shared" si="7"/>
        <v>13.84</v>
      </c>
      <c r="F102" s="35"/>
      <c r="G102" s="36">
        <f t="shared" si="8"/>
        <v>52.17</v>
      </c>
      <c r="H102" s="37">
        <f t="shared" si="9"/>
        <v>52.17</v>
      </c>
      <c r="I102" s="2218">
        <f>面积清单!E91</f>
        <v>52.17</v>
      </c>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3"/>
      <c r="AV102" s="1798">
        <f t="shared" si="11"/>
        <v>0</v>
      </c>
      <c r="AW102" s="1798">
        <f t="shared" si="12"/>
        <v>0</v>
      </c>
      <c r="AX102" s="1798" t="str">
        <f t="shared" si="13"/>
        <v>7-1419</v>
      </c>
      <c r="AY102" s="41">
        <f t="shared" si="14"/>
        <v>17.91</v>
      </c>
      <c r="AZ102" s="34">
        <f t="shared" si="15"/>
        <v>52.17</v>
      </c>
      <c r="BA102" s="34">
        <f t="shared" si="16"/>
        <v>52.17</v>
      </c>
      <c r="BB102" s="34">
        <f t="shared" si="17"/>
        <v>52.17</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1274" t="str">
        <f>面积清单!B92</f>
        <v>7-1420</v>
      </c>
      <c r="D103" s="2217" t="s">
        <v>3658</v>
      </c>
      <c r="E103" s="34">
        <f t="shared" si="7"/>
        <v>13.84</v>
      </c>
      <c r="F103" s="35"/>
      <c r="G103" s="36">
        <f t="shared" si="8"/>
        <v>52.17</v>
      </c>
      <c r="H103" s="37">
        <f t="shared" si="9"/>
        <v>52.17</v>
      </c>
      <c r="I103" s="2218">
        <f>面积清单!E92</f>
        <v>52.17</v>
      </c>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3"/>
      <c r="AV103" s="1798">
        <f t="shared" si="11"/>
        <v>0</v>
      </c>
      <c r="AW103" s="1798">
        <f t="shared" si="12"/>
        <v>0</v>
      </c>
      <c r="AX103" s="1798" t="str">
        <f t="shared" si="13"/>
        <v>7-1420</v>
      </c>
      <c r="AY103" s="41">
        <f t="shared" si="14"/>
        <v>17.91</v>
      </c>
      <c r="AZ103" s="34">
        <f t="shared" si="15"/>
        <v>52.17</v>
      </c>
      <c r="BA103" s="34">
        <f t="shared" si="16"/>
        <v>52.17</v>
      </c>
      <c r="BB103" s="34">
        <f t="shared" si="17"/>
        <v>52.17</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1274" t="str">
        <f>面积清单!B93</f>
        <v>7-1421</v>
      </c>
      <c r="D104" s="2217" t="s">
        <v>3658</v>
      </c>
      <c r="E104" s="34">
        <f t="shared" si="7"/>
        <v>13.84</v>
      </c>
      <c r="F104" s="35"/>
      <c r="G104" s="36">
        <f t="shared" si="8"/>
        <v>52.17</v>
      </c>
      <c r="H104" s="37">
        <f t="shared" si="9"/>
        <v>52.17</v>
      </c>
      <c r="I104" s="2218">
        <f>面积清单!E93</f>
        <v>52.17</v>
      </c>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3"/>
      <c r="AV104" s="1798">
        <f t="shared" si="11"/>
        <v>0</v>
      </c>
      <c r="AW104" s="1798">
        <f t="shared" si="12"/>
        <v>0</v>
      </c>
      <c r="AX104" s="1798" t="str">
        <f t="shared" si="13"/>
        <v>7-1421</v>
      </c>
      <c r="AY104" s="41">
        <f t="shared" si="14"/>
        <v>17.91</v>
      </c>
      <c r="AZ104" s="34">
        <f t="shared" si="15"/>
        <v>52.17</v>
      </c>
      <c r="BA104" s="34">
        <f t="shared" si="16"/>
        <v>52.17</v>
      </c>
      <c r="BB104" s="34">
        <f t="shared" si="17"/>
        <v>52.17</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1274" t="str">
        <f>面积清单!B94</f>
        <v>7-1422</v>
      </c>
      <c r="D105" s="2217" t="s">
        <v>3658</v>
      </c>
      <c r="E105" s="34">
        <f t="shared" si="7"/>
        <v>13.84</v>
      </c>
      <c r="F105" s="35"/>
      <c r="G105" s="36">
        <f t="shared" si="8"/>
        <v>52.17</v>
      </c>
      <c r="H105" s="37">
        <f t="shared" si="9"/>
        <v>52.17</v>
      </c>
      <c r="I105" s="2218">
        <f>面积清单!E94</f>
        <v>52.17</v>
      </c>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3"/>
      <c r="AV105" s="1798">
        <f t="shared" si="11"/>
        <v>0</v>
      </c>
      <c r="AW105" s="1798">
        <f t="shared" si="12"/>
        <v>0</v>
      </c>
      <c r="AX105" s="1798" t="str">
        <f t="shared" si="13"/>
        <v>7-1422</v>
      </c>
      <c r="AY105" s="41">
        <f t="shared" si="14"/>
        <v>17.91</v>
      </c>
      <c r="AZ105" s="34">
        <f t="shared" si="15"/>
        <v>52.17</v>
      </c>
      <c r="BA105" s="34">
        <f t="shared" si="16"/>
        <v>52.17</v>
      </c>
      <c r="BB105" s="34">
        <f t="shared" si="17"/>
        <v>52.17</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1274" t="str">
        <f>面积清单!B95</f>
        <v>7-1423</v>
      </c>
      <c r="D106" s="2217" t="s">
        <v>3658</v>
      </c>
      <c r="E106" s="34">
        <f t="shared" si="7"/>
        <v>13.84</v>
      </c>
      <c r="F106" s="35"/>
      <c r="G106" s="36">
        <f t="shared" si="8"/>
        <v>52.17</v>
      </c>
      <c r="H106" s="37">
        <f t="shared" si="9"/>
        <v>52.17</v>
      </c>
      <c r="I106" s="2218">
        <f>面积清单!E95</f>
        <v>52.17</v>
      </c>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3"/>
      <c r="AV106" s="1798">
        <f t="shared" si="11"/>
        <v>0</v>
      </c>
      <c r="AW106" s="1798">
        <f t="shared" si="12"/>
        <v>0</v>
      </c>
      <c r="AX106" s="1798" t="str">
        <f t="shared" si="13"/>
        <v>7-1423</v>
      </c>
      <c r="AY106" s="41">
        <f t="shared" si="14"/>
        <v>17.91</v>
      </c>
      <c r="AZ106" s="34">
        <f t="shared" si="15"/>
        <v>52.17</v>
      </c>
      <c r="BA106" s="34">
        <f t="shared" si="16"/>
        <v>52.17</v>
      </c>
      <c r="BB106" s="34">
        <f t="shared" si="17"/>
        <v>52.17</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1274" t="str">
        <f>面积清单!B96</f>
        <v>7-1424</v>
      </c>
      <c r="D107" s="2217" t="s">
        <v>3658</v>
      </c>
      <c r="E107" s="34">
        <f t="shared" si="7"/>
        <v>13.84</v>
      </c>
      <c r="F107" s="35"/>
      <c r="G107" s="36">
        <f t="shared" si="8"/>
        <v>52.17</v>
      </c>
      <c r="H107" s="37">
        <f t="shared" si="9"/>
        <v>52.17</v>
      </c>
      <c r="I107" s="2218">
        <f>面积清单!E96</f>
        <v>52.17</v>
      </c>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3"/>
      <c r="AV107" s="1798">
        <f t="shared" si="11"/>
        <v>0</v>
      </c>
      <c r="AW107" s="1798">
        <f t="shared" si="12"/>
        <v>0</v>
      </c>
      <c r="AX107" s="1798" t="str">
        <f t="shared" si="13"/>
        <v>7-1424</v>
      </c>
      <c r="AY107" s="41">
        <f t="shared" si="14"/>
        <v>17.91</v>
      </c>
      <c r="AZ107" s="34">
        <f t="shared" si="15"/>
        <v>52.17</v>
      </c>
      <c r="BA107" s="34">
        <f t="shared" si="16"/>
        <v>52.17</v>
      </c>
      <c r="BB107" s="34">
        <f t="shared" si="17"/>
        <v>52.17</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1274" t="str">
        <f>面积清单!B97</f>
        <v>7-1425</v>
      </c>
      <c r="D108" s="2217" t="s">
        <v>3658</v>
      </c>
      <c r="E108" s="34">
        <f t="shared" si="7"/>
        <v>13.84</v>
      </c>
      <c r="F108" s="35"/>
      <c r="G108" s="36">
        <f t="shared" si="8"/>
        <v>52.17</v>
      </c>
      <c r="H108" s="37">
        <f t="shared" si="9"/>
        <v>52.17</v>
      </c>
      <c r="I108" s="2218">
        <f>面积清单!E97</f>
        <v>52.17</v>
      </c>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3"/>
      <c r="AV108" s="1798">
        <f t="shared" si="11"/>
        <v>0</v>
      </c>
      <c r="AW108" s="1798">
        <f t="shared" si="12"/>
        <v>0</v>
      </c>
      <c r="AX108" s="1798" t="str">
        <f t="shared" si="13"/>
        <v>7-1425</v>
      </c>
      <c r="AY108" s="41">
        <f t="shared" si="14"/>
        <v>17.91</v>
      </c>
      <c r="AZ108" s="34">
        <f t="shared" si="15"/>
        <v>52.17</v>
      </c>
      <c r="BA108" s="34">
        <f t="shared" si="16"/>
        <v>52.17</v>
      </c>
      <c r="BB108" s="34">
        <f t="shared" si="17"/>
        <v>52.17</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1274" t="str">
        <f>面积清单!B98</f>
        <v>7-1426</v>
      </c>
      <c r="D109" s="2217" t="s">
        <v>3658</v>
      </c>
      <c r="E109" s="34">
        <f t="shared" si="7"/>
        <v>21.42</v>
      </c>
      <c r="F109" s="35"/>
      <c r="G109" s="36">
        <f t="shared" si="8"/>
        <v>80.73</v>
      </c>
      <c r="H109" s="37">
        <f t="shared" si="9"/>
        <v>80.73</v>
      </c>
      <c r="I109" s="2218">
        <f>面积清单!E98</f>
        <v>80.73</v>
      </c>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3"/>
      <c r="AV109" s="1798">
        <f t="shared" si="11"/>
        <v>0</v>
      </c>
      <c r="AW109" s="1798">
        <f t="shared" si="12"/>
        <v>0</v>
      </c>
      <c r="AX109" s="1798" t="str">
        <f t="shared" si="13"/>
        <v>7-1426</v>
      </c>
      <c r="AY109" s="41">
        <f t="shared" si="14"/>
        <v>27.71</v>
      </c>
      <c r="AZ109" s="34">
        <f t="shared" si="15"/>
        <v>80.73</v>
      </c>
      <c r="BA109" s="34">
        <f t="shared" si="16"/>
        <v>80.73</v>
      </c>
      <c r="BB109" s="34">
        <f t="shared" si="17"/>
        <v>80.73</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1274" t="str">
        <f>面积清单!B99</f>
        <v>7-1427</v>
      </c>
      <c r="D110" s="2217" t="s">
        <v>3658</v>
      </c>
      <c r="E110" s="34">
        <f t="shared" si="7"/>
        <v>24.7</v>
      </c>
      <c r="F110" s="43"/>
      <c r="G110" s="36">
        <f t="shared" ref="G110:G141" si="36">H110+AC110+AT110</f>
        <v>93.08</v>
      </c>
      <c r="H110" s="37">
        <f t="shared" ref="H110:H141" si="37">SUMIF(I$12:AB$12,"总值",I110:AB110)</f>
        <v>93.08</v>
      </c>
      <c r="I110" s="2218">
        <f>面积清单!E99</f>
        <v>93.08</v>
      </c>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8"/>
      <c r="AV110" s="1798">
        <f t="shared" si="11"/>
        <v>0</v>
      </c>
      <c r="AW110" s="1798">
        <f t="shared" si="12"/>
        <v>0</v>
      </c>
      <c r="AX110" s="1798" t="str">
        <f t="shared" si="13"/>
        <v>7-1427</v>
      </c>
      <c r="AY110" s="41">
        <f t="shared" ref="AY110:AY141" si="39">ROUND($AY$6*AZ110/$AZ$5,2)</f>
        <v>31.95</v>
      </c>
      <c r="AZ110" s="34">
        <f t="shared" ref="AZ110:AZ141" si="40">BA110+BL110</f>
        <v>93.08</v>
      </c>
      <c r="BA110" s="34">
        <f t="shared" ref="BA110:BA141" si="41">SUM(BB110:BK110)</f>
        <v>93.08</v>
      </c>
      <c r="BB110" s="34">
        <f t="shared" ref="BB110:BB141" si="42">IF($D110="是",I110-J110,0)</f>
        <v>93.08</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1274" t="str">
        <f>面积清单!B100</f>
        <v>7-1428</v>
      </c>
      <c r="D111" s="2217" t="s">
        <v>3658</v>
      </c>
      <c r="E111" s="34">
        <f t="shared" si="7"/>
        <v>24.7</v>
      </c>
      <c r="F111" s="43"/>
      <c r="G111" s="36">
        <f t="shared" si="36"/>
        <v>93.08</v>
      </c>
      <c r="H111" s="37">
        <f t="shared" si="37"/>
        <v>93.08</v>
      </c>
      <c r="I111" s="2218">
        <f>面积清单!E100</f>
        <v>93.08</v>
      </c>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8"/>
      <c r="AV111" s="1798">
        <f t="shared" si="11"/>
        <v>0</v>
      </c>
      <c r="AW111" s="1798">
        <f t="shared" si="12"/>
        <v>0</v>
      </c>
      <c r="AX111" s="1798" t="str">
        <f t="shared" si="13"/>
        <v>7-1428</v>
      </c>
      <c r="AY111" s="41">
        <f t="shared" si="39"/>
        <v>31.95</v>
      </c>
      <c r="AZ111" s="34">
        <f t="shared" si="40"/>
        <v>93.08</v>
      </c>
      <c r="BA111" s="34">
        <f t="shared" si="41"/>
        <v>93.08</v>
      </c>
      <c r="BB111" s="34">
        <f t="shared" si="42"/>
        <v>93.08</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1274" t="str">
        <f>面积清单!B101</f>
        <v>7-1501</v>
      </c>
      <c r="D112" s="2217" t="s">
        <v>3658</v>
      </c>
      <c r="E112" s="34">
        <f t="shared" si="7"/>
        <v>21.42</v>
      </c>
      <c r="F112" s="43"/>
      <c r="G112" s="36">
        <f t="shared" si="36"/>
        <v>80.73</v>
      </c>
      <c r="H112" s="37">
        <f t="shared" si="37"/>
        <v>80.73</v>
      </c>
      <c r="I112" s="2218">
        <f>面积清单!E101</f>
        <v>80.73</v>
      </c>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8"/>
      <c r="AV112" s="1798">
        <f t="shared" si="11"/>
        <v>0</v>
      </c>
      <c r="AW112" s="1798">
        <f t="shared" si="12"/>
        <v>0</v>
      </c>
      <c r="AX112" s="1798" t="str">
        <f t="shared" si="13"/>
        <v>7-1501</v>
      </c>
      <c r="AY112" s="41">
        <f t="shared" si="39"/>
        <v>27.71</v>
      </c>
      <c r="AZ112" s="34">
        <f t="shared" si="40"/>
        <v>80.73</v>
      </c>
      <c r="BA112" s="34">
        <f t="shared" si="41"/>
        <v>80.73</v>
      </c>
      <c r="BB112" s="34">
        <f t="shared" si="42"/>
        <v>80.73</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1274" t="str">
        <f>面积清单!B102</f>
        <v>7-1502</v>
      </c>
      <c r="D113" s="2217" t="s">
        <v>3658</v>
      </c>
      <c r="E113" s="34">
        <f t="shared" ref="E113:E144" si="61">IF($C$3="是",ROUND($A$3*G113/$B$3,2),ROUND($A$3*(G113-AT113)/$B$3,2))</f>
        <v>13.84</v>
      </c>
      <c r="F113" s="35"/>
      <c r="G113" s="36">
        <f t="shared" si="36"/>
        <v>52.17</v>
      </c>
      <c r="H113" s="37">
        <f t="shared" si="37"/>
        <v>52.17</v>
      </c>
      <c r="I113" s="2218">
        <f>面积清单!E102</f>
        <v>52.17</v>
      </c>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3"/>
      <c r="AV113" s="1798">
        <f t="shared" ref="AV113:AV144" si="62">A113</f>
        <v>0</v>
      </c>
      <c r="AW113" s="1798">
        <f t="shared" ref="AW113:AW144" si="63">B113</f>
        <v>0</v>
      </c>
      <c r="AX113" s="1798" t="str">
        <f t="shared" ref="AX113:AX144" si="64">C113</f>
        <v>7-1502</v>
      </c>
      <c r="AY113" s="41">
        <f t="shared" si="39"/>
        <v>17.91</v>
      </c>
      <c r="AZ113" s="34">
        <f t="shared" si="40"/>
        <v>52.17</v>
      </c>
      <c r="BA113" s="34">
        <f t="shared" si="41"/>
        <v>52.17</v>
      </c>
      <c r="BB113" s="34">
        <f t="shared" si="42"/>
        <v>52.17</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1274" t="str">
        <f>面积清单!B103</f>
        <v>7-1503</v>
      </c>
      <c r="D114" s="2217" t="s">
        <v>3658</v>
      </c>
      <c r="E114" s="34">
        <f t="shared" si="61"/>
        <v>13.84</v>
      </c>
      <c r="F114" s="35"/>
      <c r="G114" s="36">
        <f t="shared" si="36"/>
        <v>52.17</v>
      </c>
      <c r="H114" s="37">
        <f t="shared" si="37"/>
        <v>52.17</v>
      </c>
      <c r="I114" s="2218">
        <f>面积清单!E103</f>
        <v>52.17</v>
      </c>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3"/>
      <c r="AV114" s="1798">
        <f t="shared" si="62"/>
        <v>0</v>
      </c>
      <c r="AW114" s="1798">
        <f t="shared" si="63"/>
        <v>0</v>
      </c>
      <c r="AX114" s="1798" t="str">
        <f t="shared" si="64"/>
        <v>7-1503</v>
      </c>
      <c r="AY114" s="41">
        <f t="shared" si="39"/>
        <v>17.91</v>
      </c>
      <c r="AZ114" s="34">
        <f t="shared" si="40"/>
        <v>52.17</v>
      </c>
      <c r="BA114" s="34">
        <f t="shared" si="41"/>
        <v>52.17</v>
      </c>
      <c r="BB114" s="34">
        <f t="shared" si="42"/>
        <v>52.17</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1274" t="str">
        <f>面积清单!B104</f>
        <v>7-1504</v>
      </c>
      <c r="D115" s="2217" t="s">
        <v>3658</v>
      </c>
      <c r="E115" s="34">
        <f t="shared" si="61"/>
        <v>13.84</v>
      </c>
      <c r="F115" s="35"/>
      <c r="G115" s="36">
        <f t="shared" si="36"/>
        <v>52.17</v>
      </c>
      <c r="H115" s="37">
        <f t="shared" si="37"/>
        <v>52.17</v>
      </c>
      <c r="I115" s="2218">
        <f>面积清单!E104</f>
        <v>52.17</v>
      </c>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3"/>
      <c r="AV115" s="1798">
        <f t="shared" si="62"/>
        <v>0</v>
      </c>
      <c r="AW115" s="1798">
        <f t="shared" si="63"/>
        <v>0</v>
      </c>
      <c r="AX115" s="1798" t="str">
        <f t="shared" si="64"/>
        <v>7-1504</v>
      </c>
      <c r="AY115" s="41">
        <f t="shared" si="39"/>
        <v>17.91</v>
      </c>
      <c r="AZ115" s="34">
        <f t="shared" si="40"/>
        <v>52.17</v>
      </c>
      <c r="BA115" s="34">
        <f t="shared" si="41"/>
        <v>52.17</v>
      </c>
      <c r="BB115" s="34">
        <f t="shared" si="42"/>
        <v>52.17</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1274" t="str">
        <f>面积清单!B105</f>
        <v>7-1505</v>
      </c>
      <c r="D116" s="2217" t="s">
        <v>3658</v>
      </c>
      <c r="E116" s="34">
        <f t="shared" si="61"/>
        <v>13.84</v>
      </c>
      <c r="F116" s="35"/>
      <c r="G116" s="36">
        <f t="shared" si="36"/>
        <v>52.17</v>
      </c>
      <c r="H116" s="37">
        <f t="shared" si="37"/>
        <v>52.17</v>
      </c>
      <c r="I116" s="2218">
        <f>面积清单!E105</f>
        <v>52.17</v>
      </c>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3"/>
      <c r="AV116" s="1798">
        <f t="shared" si="62"/>
        <v>0</v>
      </c>
      <c r="AW116" s="1798">
        <f t="shared" si="63"/>
        <v>0</v>
      </c>
      <c r="AX116" s="1798" t="str">
        <f t="shared" si="64"/>
        <v>7-1505</v>
      </c>
      <c r="AY116" s="41">
        <f t="shared" si="39"/>
        <v>17.91</v>
      </c>
      <c r="AZ116" s="34">
        <f t="shared" si="40"/>
        <v>52.17</v>
      </c>
      <c r="BA116" s="34">
        <f t="shared" si="41"/>
        <v>52.17</v>
      </c>
      <c r="BB116" s="34">
        <f t="shared" si="42"/>
        <v>52.17</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1274" t="str">
        <f>面积清单!B106</f>
        <v>7-1506</v>
      </c>
      <c r="D117" s="2217" t="s">
        <v>3658</v>
      </c>
      <c r="E117" s="34">
        <f t="shared" si="61"/>
        <v>13.84</v>
      </c>
      <c r="F117" s="35"/>
      <c r="G117" s="36">
        <f t="shared" si="36"/>
        <v>52.17</v>
      </c>
      <c r="H117" s="37">
        <f t="shared" si="37"/>
        <v>52.17</v>
      </c>
      <c r="I117" s="2218">
        <f>面积清单!E106</f>
        <v>52.17</v>
      </c>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3"/>
      <c r="AV117" s="1798">
        <f t="shared" si="62"/>
        <v>0</v>
      </c>
      <c r="AW117" s="1798">
        <f t="shared" si="63"/>
        <v>0</v>
      </c>
      <c r="AX117" s="1798" t="str">
        <f t="shared" si="64"/>
        <v>7-1506</v>
      </c>
      <c r="AY117" s="41">
        <f t="shared" si="39"/>
        <v>17.91</v>
      </c>
      <c r="AZ117" s="34">
        <f t="shared" si="40"/>
        <v>52.17</v>
      </c>
      <c r="BA117" s="34">
        <f t="shared" si="41"/>
        <v>52.17</v>
      </c>
      <c r="BB117" s="34">
        <f t="shared" si="42"/>
        <v>52.17</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1274" t="str">
        <f>面积清单!B107</f>
        <v>7-1507</v>
      </c>
      <c r="D118" s="2217" t="s">
        <v>3658</v>
      </c>
      <c r="E118" s="34">
        <f t="shared" si="61"/>
        <v>13.84</v>
      </c>
      <c r="F118" s="35"/>
      <c r="G118" s="36">
        <f t="shared" si="36"/>
        <v>52.17</v>
      </c>
      <c r="H118" s="37">
        <f t="shared" si="37"/>
        <v>52.17</v>
      </c>
      <c r="I118" s="2218">
        <f>面积清单!E107</f>
        <v>52.17</v>
      </c>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3"/>
      <c r="AV118" s="1798">
        <f t="shared" si="62"/>
        <v>0</v>
      </c>
      <c r="AW118" s="1798">
        <f t="shared" si="63"/>
        <v>0</v>
      </c>
      <c r="AX118" s="1798" t="str">
        <f t="shared" si="64"/>
        <v>7-1507</v>
      </c>
      <c r="AY118" s="41">
        <f t="shared" si="39"/>
        <v>17.91</v>
      </c>
      <c r="AZ118" s="34">
        <f t="shared" si="40"/>
        <v>52.17</v>
      </c>
      <c r="BA118" s="34">
        <f t="shared" si="41"/>
        <v>52.17</v>
      </c>
      <c r="BB118" s="34">
        <f t="shared" si="42"/>
        <v>52.17</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1274" t="str">
        <f>面积清单!B108</f>
        <v>7-1508</v>
      </c>
      <c r="D119" s="2217" t="s">
        <v>3658</v>
      </c>
      <c r="E119" s="34">
        <f t="shared" si="61"/>
        <v>13.84</v>
      </c>
      <c r="F119" s="35"/>
      <c r="G119" s="36">
        <f t="shared" si="36"/>
        <v>52.17</v>
      </c>
      <c r="H119" s="37">
        <f t="shared" si="37"/>
        <v>52.17</v>
      </c>
      <c r="I119" s="2218">
        <f>面积清单!E108</f>
        <v>52.17</v>
      </c>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3"/>
      <c r="AV119" s="1798">
        <f t="shared" si="62"/>
        <v>0</v>
      </c>
      <c r="AW119" s="1798">
        <f t="shared" si="63"/>
        <v>0</v>
      </c>
      <c r="AX119" s="1798" t="str">
        <f t="shared" si="64"/>
        <v>7-1508</v>
      </c>
      <c r="AY119" s="41">
        <f t="shared" si="39"/>
        <v>17.91</v>
      </c>
      <c r="AZ119" s="34">
        <f t="shared" si="40"/>
        <v>52.17</v>
      </c>
      <c r="BA119" s="34">
        <f t="shared" si="41"/>
        <v>52.17</v>
      </c>
      <c r="BB119" s="34">
        <f t="shared" si="42"/>
        <v>52.17</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1274" t="str">
        <f>面积清单!B109</f>
        <v>7-1517</v>
      </c>
      <c r="D120" s="2217" t="s">
        <v>3658</v>
      </c>
      <c r="E120" s="34">
        <f t="shared" si="61"/>
        <v>13.84</v>
      </c>
      <c r="F120" s="35"/>
      <c r="G120" s="36">
        <f t="shared" si="36"/>
        <v>52.17</v>
      </c>
      <c r="H120" s="37">
        <f t="shared" si="37"/>
        <v>52.17</v>
      </c>
      <c r="I120" s="2218">
        <f>面积清单!E109</f>
        <v>52.17</v>
      </c>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3"/>
      <c r="AV120" s="1798">
        <f t="shared" si="62"/>
        <v>0</v>
      </c>
      <c r="AW120" s="1798">
        <f t="shared" si="63"/>
        <v>0</v>
      </c>
      <c r="AX120" s="1798" t="str">
        <f t="shared" si="64"/>
        <v>7-1517</v>
      </c>
      <c r="AY120" s="41">
        <f t="shared" si="39"/>
        <v>17.91</v>
      </c>
      <c r="AZ120" s="34">
        <f t="shared" si="40"/>
        <v>52.17</v>
      </c>
      <c r="BA120" s="34">
        <f t="shared" si="41"/>
        <v>52.17</v>
      </c>
      <c r="BB120" s="34">
        <f t="shared" si="42"/>
        <v>52.17</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1274" t="str">
        <f>面积清单!B110</f>
        <v>7-1518</v>
      </c>
      <c r="D121" s="2217" t="s">
        <v>3658</v>
      </c>
      <c r="E121" s="34">
        <f t="shared" si="61"/>
        <v>13.84</v>
      </c>
      <c r="F121" s="35"/>
      <c r="G121" s="36">
        <f t="shared" si="36"/>
        <v>52.17</v>
      </c>
      <c r="H121" s="37">
        <f t="shared" si="37"/>
        <v>52.17</v>
      </c>
      <c r="I121" s="2218">
        <f>面积清单!E110</f>
        <v>52.17</v>
      </c>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3"/>
      <c r="AV121" s="1798">
        <f t="shared" si="62"/>
        <v>0</v>
      </c>
      <c r="AW121" s="1798">
        <f t="shared" si="63"/>
        <v>0</v>
      </c>
      <c r="AX121" s="1798" t="str">
        <f t="shared" si="64"/>
        <v>7-1518</v>
      </c>
      <c r="AY121" s="41">
        <f t="shared" si="39"/>
        <v>17.91</v>
      </c>
      <c r="AZ121" s="34">
        <f t="shared" si="40"/>
        <v>52.17</v>
      </c>
      <c r="BA121" s="34">
        <f t="shared" si="41"/>
        <v>52.17</v>
      </c>
      <c r="BB121" s="34">
        <f t="shared" si="42"/>
        <v>52.17</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1274" t="str">
        <f>面积清单!B111</f>
        <v>7-1519</v>
      </c>
      <c r="D122" s="2217" t="s">
        <v>3658</v>
      </c>
      <c r="E122" s="34">
        <f t="shared" si="61"/>
        <v>13.84</v>
      </c>
      <c r="F122" s="35"/>
      <c r="G122" s="36">
        <f t="shared" si="36"/>
        <v>52.17</v>
      </c>
      <c r="H122" s="37">
        <f t="shared" si="37"/>
        <v>52.17</v>
      </c>
      <c r="I122" s="2218">
        <f>面积清单!E111</f>
        <v>52.17</v>
      </c>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3"/>
      <c r="AV122" s="1798">
        <f t="shared" si="62"/>
        <v>0</v>
      </c>
      <c r="AW122" s="1798">
        <f t="shared" si="63"/>
        <v>0</v>
      </c>
      <c r="AX122" s="1798" t="str">
        <f t="shared" si="64"/>
        <v>7-1519</v>
      </c>
      <c r="AY122" s="41">
        <f t="shared" si="39"/>
        <v>17.91</v>
      </c>
      <c r="AZ122" s="34">
        <f t="shared" si="40"/>
        <v>52.17</v>
      </c>
      <c r="BA122" s="34">
        <f t="shared" si="41"/>
        <v>52.17</v>
      </c>
      <c r="BB122" s="34">
        <f t="shared" si="42"/>
        <v>52.17</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1274" t="str">
        <f>面积清单!B112</f>
        <v>7-1520</v>
      </c>
      <c r="D123" s="2217" t="s">
        <v>3658</v>
      </c>
      <c r="E123" s="34">
        <f t="shared" si="61"/>
        <v>13.84</v>
      </c>
      <c r="F123" s="35"/>
      <c r="G123" s="36">
        <f t="shared" si="36"/>
        <v>52.17</v>
      </c>
      <c r="H123" s="37">
        <f t="shared" si="37"/>
        <v>52.17</v>
      </c>
      <c r="I123" s="2218">
        <f>面积清单!E112</f>
        <v>52.17</v>
      </c>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3"/>
      <c r="AV123" s="1798">
        <f t="shared" si="62"/>
        <v>0</v>
      </c>
      <c r="AW123" s="1798">
        <f t="shared" si="63"/>
        <v>0</v>
      </c>
      <c r="AX123" s="1798" t="str">
        <f t="shared" si="64"/>
        <v>7-1520</v>
      </c>
      <c r="AY123" s="41">
        <f t="shared" si="39"/>
        <v>17.91</v>
      </c>
      <c r="AZ123" s="34">
        <f t="shared" si="40"/>
        <v>52.17</v>
      </c>
      <c r="BA123" s="34">
        <f t="shared" si="41"/>
        <v>52.17</v>
      </c>
      <c r="BB123" s="34">
        <f t="shared" si="42"/>
        <v>52.17</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1274" t="str">
        <f>面积清单!B113</f>
        <v>7-1521</v>
      </c>
      <c r="D124" s="2217" t="s">
        <v>3658</v>
      </c>
      <c r="E124" s="34">
        <f t="shared" si="61"/>
        <v>13.84</v>
      </c>
      <c r="F124" s="35"/>
      <c r="G124" s="36">
        <f t="shared" si="36"/>
        <v>52.17</v>
      </c>
      <c r="H124" s="37">
        <f t="shared" si="37"/>
        <v>52.17</v>
      </c>
      <c r="I124" s="2218">
        <f>面积清单!E113</f>
        <v>52.17</v>
      </c>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3"/>
      <c r="AV124" s="1798">
        <f t="shared" si="62"/>
        <v>0</v>
      </c>
      <c r="AW124" s="1798">
        <f t="shared" si="63"/>
        <v>0</v>
      </c>
      <c r="AX124" s="1798" t="str">
        <f t="shared" si="64"/>
        <v>7-1521</v>
      </c>
      <c r="AY124" s="41">
        <f t="shared" si="39"/>
        <v>17.91</v>
      </c>
      <c r="AZ124" s="34">
        <f t="shared" si="40"/>
        <v>52.17</v>
      </c>
      <c r="BA124" s="34">
        <f t="shared" si="41"/>
        <v>52.17</v>
      </c>
      <c r="BB124" s="34">
        <f t="shared" si="42"/>
        <v>52.17</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1274" t="str">
        <f>面积清单!B114</f>
        <v>7-1522</v>
      </c>
      <c r="D125" s="2217" t="s">
        <v>3658</v>
      </c>
      <c r="E125" s="34">
        <f t="shared" si="61"/>
        <v>13.84</v>
      </c>
      <c r="F125" s="35"/>
      <c r="G125" s="36">
        <f t="shared" si="36"/>
        <v>52.17</v>
      </c>
      <c r="H125" s="37">
        <f t="shared" si="37"/>
        <v>52.17</v>
      </c>
      <c r="I125" s="2218">
        <f>面积清单!E114</f>
        <v>52.17</v>
      </c>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3"/>
      <c r="AV125" s="1798">
        <f t="shared" si="62"/>
        <v>0</v>
      </c>
      <c r="AW125" s="1798">
        <f t="shared" si="63"/>
        <v>0</v>
      </c>
      <c r="AX125" s="1798" t="str">
        <f t="shared" si="64"/>
        <v>7-1522</v>
      </c>
      <c r="AY125" s="41">
        <f t="shared" si="39"/>
        <v>17.91</v>
      </c>
      <c r="AZ125" s="34">
        <f t="shared" si="40"/>
        <v>52.17</v>
      </c>
      <c r="BA125" s="34">
        <f t="shared" si="41"/>
        <v>52.17</v>
      </c>
      <c r="BB125" s="34">
        <f t="shared" si="42"/>
        <v>52.17</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1274" t="str">
        <f>面积清单!B115</f>
        <v>7-1527</v>
      </c>
      <c r="D126" s="2217" t="s">
        <v>3658</v>
      </c>
      <c r="E126" s="34">
        <f t="shared" si="61"/>
        <v>24.7</v>
      </c>
      <c r="F126" s="35"/>
      <c r="G126" s="36">
        <f t="shared" si="36"/>
        <v>93.08</v>
      </c>
      <c r="H126" s="37">
        <f t="shared" si="37"/>
        <v>93.08</v>
      </c>
      <c r="I126" s="2218">
        <f>面积清单!E115</f>
        <v>93.08</v>
      </c>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3"/>
      <c r="AV126" s="1798">
        <f t="shared" si="62"/>
        <v>0</v>
      </c>
      <c r="AW126" s="1798">
        <f t="shared" si="63"/>
        <v>0</v>
      </c>
      <c r="AX126" s="1798" t="str">
        <f t="shared" si="64"/>
        <v>7-1527</v>
      </c>
      <c r="AY126" s="41">
        <f t="shared" si="39"/>
        <v>31.95</v>
      </c>
      <c r="AZ126" s="34">
        <f t="shared" si="40"/>
        <v>93.08</v>
      </c>
      <c r="BA126" s="34">
        <f t="shared" si="41"/>
        <v>93.08</v>
      </c>
      <c r="BB126" s="34">
        <f t="shared" si="42"/>
        <v>93.08</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1274" t="str">
        <f>面积清单!B116</f>
        <v>7-1528</v>
      </c>
      <c r="D127" s="2217" t="s">
        <v>3658</v>
      </c>
      <c r="E127" s="34">
        <f t="shared" si="61"/>
        <v>24.7</v>
      </c>
      <c r="F127" s="35"/>
      <c r="G127" s="36">
        <f t="shared" si="36"/>
        <v>93.08</v>
      </c>
      <c r="H127" s="37">
        <f t="shared" si="37"/>
        <v>93.08</v>
      </c>
      <c r="I127" s="2218">
        <f>面积清单!E116</f>
        <v>93.08</v>
      </c>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3"/>
      <c r="AV127" s="1798">
        <f t="shared" si="62"/>
        <v>0</v>
      </c>
      <c r="AW127" s="1798">
        <f t="shared" si="63"/>
        <v>0</v>
      </c>
      <c r="AX127" s="1798" t="str">
        <f t="shared" si="64"/>
        <v>7-1528</v>
      </c>
      <c r="AY127" s="41">
        <f t="shared" si="39"/>
        <v>31.95</v>
      </c>
      <c r="AZ127" s="34">
        <f t="shared" si="40"/>
        <v>93.08</v>
      </c>
      <c r="BA127" s="34">
        <f t="shared" si="41"/>
        <v>93.08</v>
      </c>
      <c r="BB127" s="34">
        <f t="shared" si="42"/>
        <v>93.08</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1274" t="str">
        <f>面积清单!B117</f>
        <v>7-1601</v>
      </c>
      <c r="D128" s="2217" t="s">
        <v>3658</v>
      </c>
      <c r="E128" s="34">
        <f t="shared" si="61"/>
        <v>21.42</v>
      </c>
      <c r="F128" s="35"/>
      <c r="G128" s="36">
        <f t="shared" si="36"/>
        <v>80.73</v>
      </c>
      <c r="H128" s="37">
        <f t="shared" si="37"/>
        <v>80.73</v>
      </c>
      <c r="I128" s="2218">
        <f>面积清单!E117</f>
        <v>80.73</v>
      </c>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3"/>
      <c r="AV128" s="1798">
        <f t="shared" si="62"/>
        <v>0</v>
      </c>
      <c r="AW128" s="1798">
        <f t="shared" si="63"/>
        <v>0</v>
      </c>
      <c r="AX128" s="1798" t="str">
        <f t="shared" si="64"/>
        <v>7-1601</v>
      </c>
      <c r="AY128" s="41">
        <f t="shared" si="39"/>
        <v>27.71</v>
      </c>
      <c r="AZ128" s="34">
        <f t="shared" si="40"/>
        <v>80.73</v>
      </c>
      <c r="BA128" s="34">
        <f t="shared" si="41"/>
        <v>80.73</v>
      </c>
      <c r="BB128" s="34">
        <f t="shared" si="42"/>
        <v>80.73</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1274" t="str">
        <f>面积清单!B118</f>
        <v>7-1602</v>
      </c>
      <c r="D129" s="2217" t="s">
        <v>3658</v>
      </c>
      <c r="E129" s="34">
        <f t="shared" si="61"/>
        <v>13.84</v>
      </c>
      <c r="F129" s="35"/>
      <c r="G129" s="36">
        <f t="shared" si="36"/>
        <v>52.17</v>
      </c>
      <c r="H129" s="37">
        <f t="shared" si="37"/>
        <v>52.17</v>
      </c>
      <c r="I129" s="2218">
        <f>面积清单!E118</f>
        <v>52.17</v>
      </c>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3"/>
      <c r="AV129" s="1798">
        <f t="shared" si="62"/>
        <v>0</v>
      </c>
      <c r="AW129" s="1798">
        <f t="shared" si="63"/>
        <v>0</v>
      </c>
      <c r="AX129" s="1798" t="str">
        <f t="shared" si="64"/>
        <v>7-1602</v>
      </c>
      <c r="AY129" s="41">
        <f t="shared" si="39"/>
        <v>17.91</v>
      </c>
      <c r="AZ129" s="34">
        <f t="shared" si="40"/>
        <v>52.17</v>
      </c>
      <c r="BA129" s="34">
        <f t="shared" si="41"/>
        <v>52.17</v>
      </c>
      <c r="BB129" s="34">
        <f t="shared" si="42"/>
        <v>52.17</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1274" t="str">
        <f>面积清单!B119</f>
        <v>7-1603</v>
      </c>
      <c r="D130" s="2217" t="s">
        <v>3658</v>
      </c>
      <c r="E130" s="34">
        <f t="shared" si="61"/>
        <v>13.84</v>
      </c>
      <c r="F130" s="35"/>
      <c r="G130" s="36">
        <f t="shared" si="36"/>
        <v>52.17</v>
      </c>
      <c r="H130" s="37">
        <f t="shared" si="37"/>
        <v>52.17</v>
      </c>
      <c r="I130" s="2218">
        <f>面积清单!E119</f>
        <v>52.17</v>
      </c>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3"/>
      <c r="AV130" s="1798">
        <f t="shared" si="62"/>
        <v>0</v>
      </c>
      <c r="AW130" s="1798">
        <f t="shared" si="63"/>
        <v>0</v>
      </c>
      <c r="AX130" s="1798" t="str">
        <f t="shared" si="64"/>
        <v>7-1603</v>
      </c>
      <c r="AY130" s="41">
        <f t="shared" si="39"/>
        <v>17.91</v>
      </c>
      <c r="AZ130" s="34">
        <f t="shared" si="40"/>
        <v>52.17</v>
      </c>
      <c r="BA130" s="34">
        <f t="shared" si="41"/>
        <v>52.17</v>
      </c>
      <c r="BB130" s="34">
        <f t="shared" si="42"/>
        <v>52.17</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1274" t="str">
        <f>面积清单!B120</f>
        <v>7-1604</v>
      </c>
      <c r="D131" s="2217" t="s">
        <v>3658</v>
      </c>
      <c r="E131" s="34">
        <f t="shared" si="61"/>
        <v>13.84</v>
      </c>
      <c r="F131" s="35"/>
      <c r="G131" s="36">
        <f t="shared" si="36"/>
        <v>52.17</v>
      </c>
      <c r="H131" s="37">
        <f t="shared" si="37"/>
        <v>52.17</v>
      </c>
      <c r="I131" s="2218">
        <f>面积清单!E120</f>
        <v>52.17</v>
      </c>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3"/>
      <c r="AV131" s="1798">
        <f t="shared" si="62"/>
        <v>0</v>
      </c>
      <c r="AW131" s="1798">
        <f t="shared" si="63"/>
        <v>0</v>
      </c>
      <c r="AX131" s="1798" t="str">
        <f t="shared" si="64"/>
        <v>7-1604</v>
      </c>
      <c r="AY131" s="41">
        <f t="shared" si="39"/>
        <v>17.91</v>
      </c>
      <c r="AZ131" s="34">
        <f t="shared" si="40"/>
        <v>52.17</v>
      </c>
      <c r="BA131" s="34">
        <f t="shared" si="41"/>
        <v>52.17</v>
      </c>
      <c r="BB131" s="34">
        <f t="shared" si="42"/>
        <v>52.17</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1274" t="str">
        <f>面积清单!B121</f>
        <v>7-1605</v>
      </c>
      <c r="D132" s="2217" t="s">
        <v>3658</v>
      </c>
      <c r="E132" s="34">
        <f t="shared" si="61"/>
        <v>13.84</v>
      </c>
      <c r="F132" s="35"/>
      <c r="G132" s="36">
        <f t="shared" si="36"/>
        <v>52.17</v>
      </c>
      <c r="H132" s="37">
        <f t="shared" si="37"/>
        <v>52.17</v>
      </c>
      <c r="I132" s="2218">
        <f>面积清单!E121</f>
        <v>52.17</v>
      </c>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3"/>
      <c r="AV132" s="1798">
        <f t="shared" si="62"/>
        <v>0</v>
      </c>
      <c r="AW132" s="1798">
        <f t="shared" si="63"/>
        <v>0</v>
      </c>
      <c r="AX132" s="1798" t="str">
        <f t="shared" si="64"/>
        <v>7-1605</v>
      </c>
      <c r="AY132" s="41">
        <f t="shared" si="39"/>
        <v>17.91</v>
      </c>
      <c r="AZ132" s="34">
        <f t="shared" si="40"/>
        <v>52.17</v>
      </c>
      <c r="BA132" s="34">
        <f t="shared" si="41"/>
        <v>52.17</v>
      </c>
      <c r="BB132" s="34">
        <f t="shared" si="42"/>
        <v>52.17</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1274" t="str">
        <f>面积清单!B122</f>
        <v>7-1606</v>
      </c>
      <c r="D133" s="2217" t="s">
        <v>3658</v>
      </c>
      <c r="E133" s="34">
        <f t="shared" si="61"/>
        <v>13.84</v>
      </c>
      <c r="F133" s="35"/>
      <c r="G133" s="36">
        <f t="shared" si="36"/>
        <v>52.17</v>
      </c>
      <c r="H133" s="37">
        <f t="shared" si="37"/>
        <v>52.17</v>
      </c>
      <c r="I133" s="2218">
        <f>面积清单!E122</f>
        <v>52.17</v>
      </c>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3"/>
      <c r="AV133" s="1798">
        <f t="shared" si="62"/>
        <v>0</v>
      </c>
      <c r="AW133" s="1798">
        <f t="shared" si="63"/>
        <v>0</v>
      </c>
      <c r="AX133" s="1798" t="str">
        <f t="shared" si="64"/>
        <v>7-1606</v>
      </c>
      <c r="AY133" s="41">
        <f t="shared" si="39"/>
        <v>17.91</v>
      </c>
      <c r="AZ133" s="34">
        <f t="shared" si="40"/>
        <v>52.17</v>
      </c>
      <c r="BA133" s="34">
        <f t="shared" si="41"/>
        <v>52.17</v>
      </c>
      <c r="BB133" s="34">
        <f t="shared" si="42"/>
        <v>52.17</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1274" t="str">
        <f>面积清单!B123</f>
        <v>7-1607</v>
      </c>
      <c r="D134" s="2217" t="s">
        <v>3658</v>
      </c>
      <c r="E134" s="34">
        <f t="shared" si="61"/>
        <v>13.84</v>
      </c>
      <c r="F134" s="35"/>
      <c r="G134" s="36">
        <f t="shared" si="36"/>
        <v>52.17</v>
      </c>
      <c r="H134" s="37">
        <f t="shared" si="37"/>
        <v>52.17</v>
      </c>
      <c r="I134" s="2218">
        <f>面积清单!E123</f>
        <v>52.17</v>
      </c>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3"/>
      <c r="AV134" s="1798">
        <f t="shared" si="62"/>
        <v>0</v>
      </c>
      <c r="AW134" s="1798">
        <f t="shared" si="63"/>
        <v>0</v>
      </c>
      <c r="AX134" s="1798" t="str">
        <f t="shared" si="64"/>
        <v>7-1607</v>
      </c>
      <c r="AY134" s="41">
        <f t="shared" si="39"/>
        <v>17.91</v>
      </c>
      <c r="AZ134" s="34">
        <f t="shared" si="40"/>
        <v>52.17</v>
      </c>
      <c r="BA134" s="34">
        <f t="shared" si="41"/>
        <v>52.17</v>
      </c>
      <c r="BB134" s="34">
        <f t="shared" si="42"/>
        <v>52.17</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1274" t="str">
        <f>面积清单!B124</f>
        <v>7-1608</v>
      </c>
      <c r="D135" s="2217" t="s">
        <v>3658</v>
      </c>
      <c r="E135" s="34">
        <f t="shared" si="61"/>
        <v>13.84</v>
      </c>
      <c r="F135" s="35"/>
      <c r="G135" s="36">
        <f t="shared" si="36"/>
        <v>52.17</v>
      </c>
      <c r="H135" s="37">
        <f t="shared" si="37"/>
        <v>52.17</v>
      </c>
      <c r="I135" s="2218">
        <f>面积清单!E124</f>
        <v>52.17</v>
      </c>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3"/>
      <c r="AV135" s="1798">
        <f t="shared" si="62"/>
        <v>0</v>
      </c>
      <c r="AW135" s="1798">
        <f t="shared" si="63"/>
        <v>0</v>
      </c>
      <c r="AX135" s="1798" t="str">
        <f t="shared" si="64"/>
        <v>7-1608</v>
      </c>
      <c r="AY135" s="41">
        <f t="shared" si="39"/>
        <v>17.91</v>
      </c>
      <c r="AZ135" s="34">
        <f t="shared" si="40"/>
        <v>52.17</v>
      </c>
      <c r="BA135" s="34">
        <f t="shared" si="41"/>
        <v>52.17</v>
      </c>
      <c r="BB135" s="34">
        <f t="shared" si="42"/>
        <v>52.17</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1274" t="str">
        <f>面积清单!B125</f>
        <v>7-1619</v>
      </c>
      <c r="D136" s="2217" t="s">
        <v>3658</v>
      </c>
      <c r="E136" s="34">
        <f t="shared" si="61"/>
        <v>13.84</v>
      </c>
      <c r="F136" s="35"/>
      <c r="G136" s="36">
        <f t="shared" si="36"/>
        <v>52.17</v>
      </c>
      <c r="H136" s="37">
        <f t="shared" si="37"/>
        <v>52.17</v>
      </c>
      <c r="I136" s="2218">
        <f>面积清单!E125</f>
        <v>52.17</v>
      </c>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3"/>
      <c r="AV136" s="1798">
        <f t="shared" si="62"/>
        <v>0</v>
      </c>
      <c r="AW136" s="1798">
        <f t="shared" si="63"/>
        <v>0</v>
      </c>
      <c r="AX136" s="1798" t="str">
        <f t="shared" si="64"/>
        <v>7-1619</v>
      </c>
      <c r="AY136" s="41">
        <f t="shared" si="39"/>
        <v>17.91</v>
      </c>
      <c r="AZ136" s="34">
        <f t="shared" si="40"/>
        <v>52.17</v>
      </c>
      <c r="BA136" s="34">
        <f t="shared" si="41"/>
        <v>52.17</v>
      </c>
      <c r="BB136" s="34">
        <f t="shared" si="42"/>
        <v>52.17</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1274" t="str">
        <f>面积清单!B126</f>
        <v>7-1620</v>
      </c>
      <c r="D137" s="2217" t="s">
        <v>3658</v>
      </c>
      <c r="E137" s="34">
        <f t="shared" si="61"/>
        <v>13.84</v>
      </c>
      <c r="F137" s="35"/>
      <c r="G137" s="36">
        <f t="shared" si="36"/>
        <v>52.17</v>
      </c>
      <c r="H137" s="37">
        <f t="shared" si="37"/>
        <v>52.17</v>
      </c>
      <c r="I137" s="2218">
        <f>面积清单!E126</f>
        <v>52.17</v>
      </c>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3"/>
      <c r="AV137" s="1798">
        <f t="shared" si="62"/>
        <v>0</v>
      </c>
      <c r="AW137" s="1798">
        <f t="shared" si="63"/>
        <v>0</v>
      </c>
      <c r="AX137" s="1798" t="str">
        <f t="shared" si="64"/>
        <v>7-1620</v>
      </c>
      <c r="AY137" s="41">
        <f t="shared" si="39"/>
        <v>17.91</v>
      </c>
      <c r="AZ137" s="34">
        <f t="shared" si="40"/>
        <v>52.17</v>
      </c>
      <c r="BA137" s="34">
        <f t="shared" si="41"/>
        <v>52.17</v>
      </c>
      <c r="BB137" s="34">
        <f t="shared" si="42"/>
        <v>52.17</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1274" t="str">
        <f>面积清单!B127</f>
        <v>7-1621</v>
      </c>
      <c r="D138" s="2217" t="s">
        <v>3658</v>
      </c>
      <c r="E138" s="34">
        <f t="shared" si="61"/>
        <v>13.84</v>
      </c>
      <c r="F138" s="35"/>
      <c r="G138" s="36">
        <f t="shared" si="36"/>
        <v>52.17</v>
      </c>
      <c r="H138" s="37">
        <f t="shared" si="37"/>
        <v>52.17</v>
      </c>
      <c r="I138" s="2218">
        <f>面积清单!E127</f>
        <v>52.17</v>
      </c>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3"/>
      <c r="AV138" s="1798">
        <f t="shared" si="62"/>
        <v>0</v>
      </c>
      <c r="AW138" s="1798">
        <f t="shared" si="63"/>
        <v>0</v>
      </c>
      <c r="AX138" s="1798" t="str">
        <f t="shared" si="64"/>
        <v>7-1621</v>
      </c>
      <c r="AY138" s="41">
        <f t="shared" si="39"/>
        <v>17.91</v>
      </c>
      <c r="AZ138" s="34">
        <f t="shared" si="40"/>
        <v>52.17</v>
      </c>
      <c r="BA138" s="34">
        <f t="shared" si="41"/>
        <v>52.17</v>
      </c>
      <c r="BB138" s="34">
        <f t="shared" si="42"/>
        <v>52.17</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1274" t="str">
        <f>面积清单!B128</f>
        <v>7-1622</v>
      </c>
      <c r="D139" s="2217" t="s">
        <v>3658</v>
      </c>
      <c r="E139" s="34">
        <f t="shared" si="61"/>
        <v>13.84</v>
      </c>
      <c r="F139" s="35"/>
      <c r="G139" s="36">
        <f t="shared" si="36"/>
        <v>52.17</v>
      </c>
      <c r="H139" s="37">
        <f t="shared" si="37"/>
        <v>52.17</v>
      </c>
      <c r="I139" s="2218">
        <f>面积清单!E128</f>
        <v>52.17</v>
      </c>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3"/>
      <c r="AV139" s="1798">
        <f t="shared" si="62"/>
        <v>0</v>
      </c>
      <c r="AW139" s="1798">
        <f t="shared" si="63"/>
        <v>0</v>
      </c>
      <c r="AX139" s="1798" t="str">
        <f t="shared" si="64"/>
        <v>7-1622</v>
      </c>
      <c r="AY139" s="41">
        <f t="shared" si="39"/>
        <v>17.91</v>
      </c>
      <c r="AZ139" s="34">
        <f t="shared" si="40"/>
        <v>52.17</v>
      </c>
      <c r="BA139" s="34">
        <f t="shared" si="41"/>
        <v>52.17</v>
      </c>
      <c r="BB139" s="34">
        <f t="shared" si="42"/>
        <v>52.17</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1274" t="str">
        <f>面积清单!B129</f>
        <v>7-1623</v>
      </c>
      <c r="D140" s="2217" t="s">
        <v>3658</v>
      </c>
      <c r="E140" s="34">
        <f t="shared" si="61"/>
        <v>13.84</v>
      </c>
      <c r="F140" s="35"/>
      <c r="G140" s="36">
        <f t="shared" si="36"/>
        <v>52.17</v>
      </c>
      <c r="H140" s="37">
        <f t="shared" si="37"/>
        <v>52.17</v>
      </c>
      <c r="I140" s="2218">
        <f>面积清单!E129</f>
        <v>52.17</v>
      </c>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3"/>
      <c r="AV140" s="1798">
        <f t="shared" si="62"/>
        <v>0</v>
      </c>
      <c r="AW140" s="1798">
        <f t="shared" si="63"/>
        <v>0</v>
      </c>
      <c r="AX140" s="1798" t="str">
        <f t="shared" si="64"/>
        <v>7-1623</v>
      </c>
      <c r="AY140" s="41">
        <f t="shared" si="39"/>
        <v>17.91</v>
      </c>
      <c r="AZ140" s="34">
        <f t="shared" si="40"/>
        <v>52.17</v>
      </c>
      <c r="BA140" s="34">
        <f t="shared" si="41"/>
        <v>52.17</v>
      </c>
      <c r="BB140" s="34">
        <f t="shared" si="42"/>
        <v>52.17</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1274" t="str">
        <f>面积清单!B130</f>
        <v>7-1624</v>
      </c>
      <c r="D141" s="2217" t="s">
        <v>3658</v>
      </c>
      <c r="E141" s="34">
        <f t="shared" si="61"/>
        <v>13.84</v>
      </c>
      <c r="F141" s="35"/>
      <c r="G141" s="36">
        <f t="shared" si="36"/>
        <v>52.17</v>
      </c>
      <c r="H141" s="37">
        <f t="shared" si="37"/>
        <v>52.17</v>
      </c>
      <c r="I141" s="2218">
        <f>面积清单!E130</f>
        <v>52.17</v>
      </c>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3"/>
      <c r="AV141" s="1798">
        <f t="shared" si="62"/>
        <v>0</v>
      </c>
      <c r="AW141" s="1798">
        <f t="shared" si="63"/>
        <v>0</v>
      </c>
      <c r="AX141" s="1798" t="str">
        <f t="shared" si="64"/>
        <v>7-1624</v>
      </c>
      <c r="AY141" s="41">
        <f t="shared" si="39"/>
        <v>17.91</v>
      </c>
      <c r="AZ141" s="34">
        <f t="shared" si="40"/>
        <v>52.17</v>
      </c>
      <c r="BA141" s="34">
        <f t="shared" si="41"/>
        <v>52.17</v>
      </c>
      <c r="BB141" s="34">
        <f t="shared" si="42"/>
        <v>52.17</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1274" t="str">
        <f>面积清单!B131</f>
        <v>7-1625</v>
      </c>
      <c r="D142" s="2217" t="s">
        <v>3658</v>
      </c>
      <c r="E142" s="34">
        <f t="shared" si="61"/>
        <v>13.84</v>
      </c>
      <c r="F142" s="35"/>
      <c r="G142" s="36">
        <f t="shared" ref="G142:G173" si="65">H142+AC142+AT142</f>
        <v>52.17</v>
      </c>
      <c r="H142" s="37">
        <f t="shared" ref="H142:H173" si="66">SUMIF(I$12:AB$12,"总值",I142:AB142)</f>
        <v>52.17</v>
      </c>
      <c r="I142" s="2218">
        <f>面积清单!E131</f>
        <v>52.17</v>
      </c>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3"/>
      <c r="AV142" s="1798">
        <f t="shared" si="62"/>
        <v>0</v>
      </c>
      <c r="AW142" s="1798">
        <f t="shared" si="63"/>
        <v>0</v>
      </c>
      <c r="AX142" s="1798" t="str">
        <f t="shared" si="64"/>
        <v>7-1625</v>
      </c>
      <c r="AY142" s="41">
        <f t="shared" ref="AY142:AY173" si="68">ROUND($AY$6*AZ142/$AZ$5,2)</f>
        <v>17.91</v>
      </c>
      <c r="AZ142" s="34">
        <f t="shared" ref="AZ142:AZ173" si="69">BA142+BL142</f>
        <v>52.17</v>
      </c>
      <c r="BA142" s="34">
        <f t="shared" ref="BA142:BA173" si="70">SUM(BB142:BK142)</f>
        <v>52.17</v>
      </c>
      <c r="BB142" s="34">
        <f t="shared" ref="BB142:BB173" si="71">IF($D142="是",I142-J142,0)</f>
        <v>52.17</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1274" t="str">
        <f>面积清单!B132</f>
        <v>7-1626</v>
      </c>
      <c r="D143" s="2217" t="s">
        <v>3658</v>
      </c>
      <c r="E143" s="34">
        <f t="shared" si="61"/>
        <v>21.42</v>
      </c>
      <c r="F143" s="35"/>
      <c r="G143" s="36">
        <f t="shared" si="65"/>
        <v>80.73</v>
      </c>
      <c r="H143" s="37">
        <f t="shared" si="66"/>
        <v>80.73</v>
      </c>
      <c r="I143" s="2218">
        <f>面积清单!E132</f>
        <v>80.73</v>
      </c>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3"/>
      <c r="AV143" s="1798">
        <f t="shared" si="62"/>
        <v>0</v>
      </c>
      <c r="AW143" s="1798">
        <f t="shared" si="63"/>
        <v>0</v>
      </c>
      <c r="AX143" s="1798" t="str">
        <f t="shared" si="64"/>
        <v>7-1626</v>
      </c>
      <c r="AY143" s="41">
        <f t="shared" si="68"/>
        <v>27.71</v>
      </c>
      <c r="AZ143" s="34">
        <f t="shared" si="69"/>
        <v>80.73</v>
      </c>
      <c r="BA143" s="34">
        <f t="shared" si="70"/>
        <v>80.73</v>
      </c>
      <c r="BB143" s="34">
        <f t="shared" si="71"/>
        <v>80.73</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1274" t="str">
        <f>面积清单!B133</f>
        <v>7-1627</v>
      </c>
      <c r="D144" s="2217" t="s">
        <v>3658</v>
      </c>
      <c r="E144" s="34">
        <f t="shared" si="61"/>
        <v>24.7</v>
      </c>
      <c r="F144" s="35"/>
      <c r="G144" s="36">
        <f t="shared" si="65"/>
        <v>93.08</v>
      </c>
      <c r="H144" s="37">
        <f t="shared" si="66"/>
        <v>93.08</v>
      </c>
      <c r="I144" s="2218">
        <f>面积清单!E133</f>
        <v>93.08</v>
      </c>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3"/>
      <c r="AV144" s="1798">
        <f t="shared" si="62"/>
        <v>0</v>
      </c>
      <c r="AW144" s="1798">
        <f t="shared" si="63"/>
        <v>0</v>
      </c>
      <c r="AX144" s="1798" t="str">
        <f t="shared" si="64"/>
        <v>7-1627</v>
      </c>
      <c r="AY144" s="41">
        <f t="shared" si="68"/>
        <v>31.95</v>
      </c>
      <c r="AZ144" s="34">
        <f t="shared" si="69"/>
        <v>93.08</v>
      </c>
      <c r="BA144" s="34">
        <f t="shared" si="70"/>
        <v>93.08</v>
      </c>
      <c r="BB144" s="34">
        <f t="shared" si="71"/>
        <v>93.08</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1274" t="str">
        <f>面积清单!B134</f>
        <v>7-1628</v>
      </c>
      <c r="D145" s="2217" t="s">
        <v>3658</v>
      </c>
      <c r="E145" s="34">
        <f t="shared" ref="E145:E176" si="90">IF($C$3="是",ROUND($A$3*G145/$B$3,2),ROUND($A$3*(G145-AT145)/$B$3,2))</f>
        <v>24.7</v>
      </c>
      <c r="F145" s="35"/>
      <c r="G145" s="36">
        <f t="shared" si="65"/>
        <v>93.08</v>
      </c>
      <c r="H145" s="37">
        <f t="shared" si="66"/>
        <v>93.08</v>
      </c>
      <c r="I145" s="2218">
        <f>面积清单!E134</f>
        <v>93.08</v>
      </c>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3"/>
      <c r="AV145" s="1798">
        <f t="shared" ref="AV145:AV176" si="91">A145</f>
        <v>0</v>
      </c>
      <c r="AW145" s="1798">
        <f t="shared" ref="AW145:AW176" si="92">B145</f>
        <v>0</v>
      </c>
      <c r="AX145" s="1798" t="str">
        <f t="shared" ref="AX145:AX176" si="93">C145</f>
        <v>7-1628</v>
      </c>
      <c r="AY145" s="41">
        <f t="shared" si="68"/>
        <v>31.95</v>
      </c>
      <c r="AZ145" s="34">
        <f t="shared" si="69"/>
        <v>93.08</v>
      </c>
      <c r="BA145" s="34">
        <f t="shared" si="70"/>
        <v>93.08</v>
      </c>
      <c r="BB145" s="34">
        <f t="shared" si="71"/>
        <v>93.08</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1274" t="str">
        <f>面积清单!B135</f>
        <v>7-1713</v>
      </c>
      <c r="D146" s="2217" t="s">
        <v>3658</v>
      </c>
      <c r="E146" s="34">
        <f t="shared" si="90"/>
        <v>17.52</v>
      </c>
      <c r="F146" s="35"/>
      <c r="G146" s="36">
        <f t="shared" si="65"/>
        <v>66.040000000000006</v>
      </c>
      <c r="H146" s="37">
        <f t="shared" si="66"/>
        <v>66.040000000000006</v>
      </c>
      <c r="I146" s="2218">
        <f>面积清单!E135</f>
        <v>66.040000000000006</v>
      </c>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3"/>
      <c r="AV146" s="1798">
        <f t="shared" si="91"/>
        <v>0</v>
      </c>
      <c r="AW146" s="1798">
        <f t="shared" si="92"/>
        <v>0</v>
      </c>
      <c r="AX146" s="1798" t="str">
        <f t="shared" si="93"/>
        <v>7-1713</v>
      </c>
      <c r="AY146" s="41">
        <f t="shared" si="68"/>
        <v>22.67</v>
      </c>
      <c r="AZ146" s="34">
        <f t="shared" si="69"/>
        <v>66.040000000000006</v>
      </c>
      <c r="BA146" s="34">
        <f t="shared" si="70"/>
        <v>66.040000000000006</v>
      </c>
      <c r="BB146" s="34">
        <f t="shared" si="71"/>
        <v>66.040000000000006</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1274" t="str">
        <f>面积清单!B136</f>
        <v>7-1714</v>
      </c>
      <c r="D147" s="2217" t="s">
        <v>3658</v>
      </c>
      <c r="E147" s="34">
        <f t="shared" si="90"/>
        <v>17.52</v>
      </c>
      <c r="F147" s="35"/>
      <c r="G147" s="36">
        <f t="shared" si="65"/>
        <v>66.040000000000006</v>
      </c>
      <c r="H147" s="37">
        <f t="shared" si="66"/>
        <v>66.040000000000006</v>
      </c>
      <c r="I147" s="2218">
        <f>面积清单!E136</f>
        <v>66.040000000000006</v>
      </c>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3"/>
      <c r="AV147" s="1798">
        <f t="shared" si="91"/>
        <v>0</v>
      </c>
      <c r="AW147" s="1798">
        <f t="shared" si="92"/>
        <v>0</v>
      </c>
      <c r="AX147" s="1798" t="str">
        <f t="shared" si="93"/>
        <v>7-1714</v>
      </c>
      <c r="AY147" s="41">
        <f t="shared" si="68"/>
        <v>22.67</v>
      </c>
      <c r="AZ147" s="34">
        <f t="shared" si="69"/>
        <v>66.040000000000006</v>
      </c>
      <c r="BA147" s="34">
        <f t="shared" si="70"/>
        <v>66.040000000000006</v>
      </c>
      <c r="BB147" s="34">
        <f t="shared" si="71"/>
        <v>66.040000000000006</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1274" t="str">
        <f>面积清单!B137</f>
        <v>7-1715</v>
      </c>
      <c r="D148" s="2217" t="s">
        <v>3658</v>
      </c>
      <c r="E148" s="34">
        <f t="shared" si="90"/>
        <v>21.42</v>
      </c>
      <c r="F148" s="35"/>
      <c r="G148" s="36">
        <f t="shared" si="65"/>
        <v>80.73</v>
      </c>
      <c r="H148" s="37">
        <f t="shared" si="66"/>
        <v>80.73</v>
      </c>
      <c r="I148" s="2218">
        <f>面积清单!E137</f>
        <v>80.73</v>
      </c>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3"/>
      <c r="AV148" s="1798">
        <f t="shared" si="91"/>
        <v>0</v>
      </c>
      <c r="AW148" s="1798">
        <f t="shared" si="92"/>
        <v>0</v>
      </c>
      <c r="AX148" s="1798" t="str">
        <f t="shared" si="93"/>
        <v>7-1715</v>
      </c>
      <c r="AY148" s="41">
        <f t="shared" si="68"/>
        <v>27.71</v>
      </c>
      <c r="AZ148" s="34">
        <f t="shared" si="69"/>
        <v>80.73</v>
      </c>
      <c r="BA148" s="34">
        <f t="shared" si="70"/>
        <v>80.73</v>
      </c>
      <c r="BB148" s="34">
        <f t="shared" si="71"/>
        <v>80.73</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1274" t="str">
        <f>面积清单!B138</f>
        <v>7-1716</v>
      </c>
      <c r="D149" s="2217" t="s">
        <v>3658</v>
      </c>
      <c r="E149" s="34">
        <f t="shared" si="90"/>
        <v>13.84</v>
      </c>
      <c r="F149" s="35"/>
      <c r="G149" s="36">
        <f t="shared" si="65"/>
        <v>52.17</v>
      </c>
      <c r="H149" s="37">
        <f t="shared" si="66"/>
        <v>52.17</v>
      </c>
      <c r="I149" s="2218">
        <f>面积清单!E138</f>
        <v>52.17</v>
      </c>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3"/>
      <c r="AV149" s="1798">
        <f t="shared" si="91"/>
        <v>0</v>
      </c>
      <c r="AW149" s="1798">
        <f t="shared" si="92"/>
        <v>0</v>
      </c>
      <c r="AX149" s="1798" t="str">
        <f t="shared" si="93"/>
        <v>7-1716</v>
      </c>
      <c r="AY149" s="41">
        <f t="shared" si="68"/>
        <v>17.91</v>
      </c>
      <c r="AZ149" s="34">
        <f t="shared" si="69"/>
        <v>52.17</v>
      </c>
      <c r="BA149" s="34">
        <f t="shared" si="70"/>
        <v>52.17</v>
      </c>
      <c r="BB149" s="34">
        <f t="shared" si="71"/>
        <v>52.17</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1274" t="str">
        <f>面积清单!B139</f>
        <v>7-1717</v>
      </c>
      <c r="D150" s="2217" t="s">
        <v>3658</v>
      </c>
      <c r="E150" s="34">
        <f t="shared" si="90"/>
        <v>13.84</v>
      </c>
      <c r="F150" s="35"/>
      <c r="G150" s="36">
        <f t="shared" si="65"/>
        <v>52.17</v>
      </c>
      <c r="H150" s="37">
        <f t="shared" si="66"/>
        <v>52.17</v>
      </c>
      <c r="I150" s="2218">
        <f>面积清单!E139</f>
        <v>52.17</v>
      </c>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3"/>
      <c r="AV150" s="1798">
        <f t="shared" si="91"/>
        <v>0</v>
      </c>
      <c r="AW150" s="1798">
        <f t="shared" si="92"/>
        <v>0</v>
      </c>
      <c r="AX150" s="1798" t="str">
        <f t="shared" si="93"/>
        <v>7-1717</v>
      </c>
      <c r="AY150" s="41">
        <f t="shared" si="68"/>
        <v>17.91</v>
      </c>
      <c r="AZ150" s="34">
        <f t="shared" si="69"/>
        <v>52.17</v>
      </c>
      <c r="BA150" s="34">
        <f t="shared" si="70"/>
        <v>52.17</v>
      </c>
      <c r="BB150" s="34">
        <f t="shared" si="71"/>
        <v>52.17</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1274" t="str">
        <f>面积清单!B140</f>
        <v>7-1718</v>
      </c>
      <c r="D151" s="2217" t="s">
        <v>3658</v>
      </c>
      <c r="E151" s="34">
        <f t="shared" si="90"/>
        <v>13.84</v>
      </c>
      <c r="F151" s="35"/>
      <c r="G151" s="36">
        <f t="shared" si="65"/>
        <v>52.17</v>
      </c>
      <c r="H151" s="37">
        <f t="shared" si="66"/>
        <v>52.17</v>
      </c>
      <c r="I151" s="2218">
        <f>面积清单!E140</f>
        <v>52.17</v>
      </c>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3"/>
      <c r="AV151" s="1798">
        <f t="shared" si="91"/>
        <v>0</v>
      </c>
      <c r="AW151" s="1798">
        <f t="shared" si="92"/>
        <v>0</v>
      </c>
      <c r="AX151" s="1798" t="str">
        <f t="shared" si="93"/>
        <v>7-1718</v>
      </c>
      <c r="AY151" s="41">
        <f t="shared" si="68"/>
        <v>17.91</v>
      </c>
      <c r="AZ151" s="34">
        <f t="shared" si="69"/>
        <v>52.17</v>
      </c>
      <c r="BA151" s="34">
        <f t="shared" si="70"/>
        <v>52.17</v>
      </c>
      <c r="BB151" s="34">
        <f t="shared" si="71"/>
        <v>52.17</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1274" t="str">
        <f>面积清单!B141</f>
        <v>7-1719</v>
      </c>
      <c r="D152" s="2217" t="s">
        <v>3658</v>
      </c>
      <c r="E152" s="34">
        <f t="shared" si="90"/>
        <v>13.84</v>
      </c>
      <c r="F152" s="35"/>
      <c r="G152" s="36">
        <f t="shared" si="65"/>
        <v>52.17</v>
      </c>
      <c r="H152" s="37">
        <f t="shared" si="66"/>
        <v>52.17</v>
      </c>
      <c r="I152" s="2218">
        <f>面积清单!E141</f>
        <v>52.17</v>
      </c>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3"/>
      <c r="AV152" s="1798">
        <f t="shared" si="91"/>
        <v>0</v>
      </c>
      <c r="AW152" s="1798">
        <f t="shared" si="92"/>
        <v>0</v>
      </c>
      <c r="AX152" s="1798" t="str">
        <f t="shared" si="93"/>
        <v>7-1719</v>
      </c>
      <c r="AY152" s="41">
        <f t="shared" si="68"/>
        <v>17.91</v>
      </c>
      <c r="AZ152" s="34">
        <f t="shared" si="69"/>
        <v>52.17</v>
      </c>
      <c r="BA152" s="34">
        <f t="shared" si="70"/>
        <v>52.17</v>
      </c>
      <c r="BB152" s="34">
        <f t="shared" si="71"/>
        <v>52.17</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1274" t="str">
        <f>面积清单!B142</f>
        <v>7-1720</v>
      </c>
      <c r="D153" s="2217" t="s">
        <v>3658</v>
      </c>
      <c r="E153" s="34">
        <f t="shared" si="90"/>
        <v>13.84</v>
      </c>
      <c r="F153" s="35"/>
      <c r="G153" s="36">
        <f t="shared" si="65"/>
        <v>52.17</v>
      </c>
      <c r="H153" s="37">
        <f t="shared" si="66"/>
        <v>52.17</v>
      </c>
      <c r="I153" s="2218">
        <f>面积清单!E142</f>
        <v>52.17</v>
      </c>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3"/>
      <c r="AV153" s="1798">
        <f t="shared" si="91"/>
        <v>0</v>
      </c>
      <c r="AW153" s="1798">
        <f t="shared" si="92"/>
        <v>0</v>
      </c>
      <c r="AX153" s="1798" t="str">
        <f t="shared" si="93"/>
        <v>7-1720</v>
      </c>
      <c r="AY153" s="41">
        <f t="shared" si="68"/>
        <v>17.91</v>
      </c>
      <c r="AZ153" s="34">
        <f t="shared" si="69"/>
        <v>52.17</v>
      </c>
      <c r="BA153" s="34">
        <f t="shared" si="70"/>
        <v>52.17</v>
      </c>
      <c r="BB153" s="34">
        <f t="shared" si="71"/>
        <v>52.17</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1274" t="str">
        <f>面积清单!B143</f>
        <v>7-1721</v>
      </c>
      <c r="D154" s="2217" t="s">
        <v>3658</v>
      </c>
      <c r="E154" s="34">
        <f t="shared" si="90"/>
        <v>13.84</v>
      </c>
      <c r="F154" s="35"/>
      <c r="G154" s="36">
        <f t="shared" si="65"/>
        <v>52.17</v>
      </c>
      <c r="H154" s="37">
        <f t="shared" si="66"/>
        <v>52.17</v>
      </c>
      <c r="I154" s="2218">
        <f>面积清单!E143</f>
        <v>52.17</v>
      </c>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3"/>
      <c r="AV154" s="1798">
        <f t="shared" si="91"/>
        <v>0</v>
      </c>
      <c r="AW154" s="1798">
        <f t="shared" si="92"/>
        <v>0</v>
      </c>
      <c r="AX154" s="1798" t="str">
        <f t="shared" si="93"/>
        <v>7-1721</v>
      </c>
      <c r="AY154" s="41">
        <f t="shared" si="68"/>
        <v>17.91</v>
      </c>
      <c r="AZ154" s="34">
        <f t="shared" si="69"/>
        <v>52.17</v>
      </c>
      <c r="BA154" s="34">
        <f t="shared" si="70"/>
        <v>52.17</v>
      </c>
      <c r="BB154" s="34">
        <f t="shared" si="71"/>
        <v>52.17</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1274" t="str">
        <f>面积清单!B144</f>
        <v>7-1722</v>
      </c>
      <c r="D155" s="2217" t="s">
        <v>3658</v>
      </c>
      <c r="E155" s="34">
        <f t="shared" si="90"/>
        <v>13.84</v>
      </c>
      <c r="F155" s="35"/>
      <c r="G155" s="36">
        <f t="shared" si="65"/>
        <v>52.17</v>
      </c>
      <c r="H155" s="37">
        <f t="shared" si="66"/>
        <v>52.17</v>
      </c>
      <c r="I155" s="2218">
        <f>面积清单!E144</f>
        <v>52.17</v>
      </c>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3"/>
      <c r="AV155" s="1798">
        <f t="shared" si="91"/>
        <v>0</v>
      </c>
      <c r="AW155" s="1798">
        <f t="shared" si="92"/>
        <v>0</v>
      </c>
      <c r="AX155" s="1798" t="str">
        <f t="shared" si="93"/>
        <v>7-1722</v>
      </c>
      <c r="AY155" s="41">
        <f t="shared" si="68"/>
        <v>17.91</v>
      </c>
      <c r="AZ155" s="34">
        <f t="shared" si="69"/>
        <v>52.17</v>
      </c>
      <c r="BA155" s="34">
        <f t="shared" si="70"/>
        <v>52.17</v>
      </c>
      <c r="BB155" s="34">
        <f t="shared" si="71"/>
        <v>52.17</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1274" t="str">
        <f>面积清单!B145</f>
        <v>7-1723</v>
      </c>
      <c r="D156" s="2217" t="s">
        <v>3658</v>
      </c>
      <c r="E156" s="34">
        <f t="shared" si="90"/>
        <v>13.84</v>
      </c>
      <c r="F156" s="35"/>
      <c r="G156" s="36">
        <f t="shared" si="65"/>
        <v>52.17</v>
      </c>
      <c r="H156" s="37">
        <f t="shared" si="66"/>
        <v>52.17</v>
      </c>
      <c r="I156" s="2218">
        <f>面积清单!E145</f>
        <v>52.17</v>
      </c>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3"/>
      <c r="AV156" s="1798">
        <f t="shared" si="91"/>
        <v>0</v>
      </c>
      <c r="AW156" s="1798">
        <f t="shared" si="92"/>
        <v>0</v>
      </c>
      <c r="AX156" s="1798" t="str">
        <f t="shared" si="93"/>
        <v>7-1723</v>
      </c>
      <c r="AY156" s="41">
        <f t="shared" si="68"/>
        <v>17.91</v>
      </c>
      <c r="AZ156" s="34">
        <f t="shared" si="69"/>
        <v>52.17</v>
      </c>
      <c r="BA156" s="34">
        <f t="shared" si="70"/>
        <v>52.17</v>
      </c>
      <c r="BB156" s="34">
        <f t="shared" si="71"/>
        <v>52.17</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1274" t="str">
        <f>面积清单!B146</f>
        <v>7-1724</v>
      </c>
      <c r="D157" s="2217" t="s">
        <v>3658</v>
      </c>
      <c r="E157" s="34">
        <f t="shared" si="90"/>
        <v>13.84</v>
      </c>
      <c r="F157" s="35"/>
      <c r="G157" s="36">
        <f t="shared" si="65"/>
        <v>52.17</v>
      </c>
      <c r="H157" s="37">
        <f t="shared" si="66"/>
        <v>52.17</v>
      </c>
      <c r="I157" s="2218">
        <f>面积清单!E146</f>
        <v>52.17</v>
      </c>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3"/>
      <c r="AV157" s="1798">
        <f t="shared" si="91"/>
        <v>0</v>
      </c>
      <c r="AW157" s="1798">
        <f t="shared" si="92"/>
        <v>0</v>
      </c>
      <c r="AX157" s="1798" t="str">
        <f t="shared" si="93"/>
        <v>7-1724</v>
      </c>
      <c r="AY157" s="41">
        <f t="shared" si="68"/>
        <v>17.91</v>
      </c>
      <c r="AZ157" s="34">
        <f t="shared" si="69"/>
        <v>52.17</v>
      </c>
      <c r="BA157" s="34">
        <f t="shared" si="70"/>
        <v>52.17</v>
      </c>
      <c r="BB157" s="34">
        <f t="shared" si="71"/>
        <v>52.17</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1274" t="str">
        <f>面积清单!B147</f>
        <v>7-1725</v>
      </c>
      <c r="D158" s="2217" t="s">
        <v>3658</v>
      </c>
      <c r="E158" s="34">
        <f t="shared" si="90"/>
        <v>13.84</v>
      </c>
      <c r="F158" s="35"/>
      <c r="G158" s="36">
        <f t="shared" si="65"/>
        <v>52.17</v>
      </c>
      <c r="H158" s="37">
        <f t="shared" si="66"/>
        <v>52.17</v>
      </c>
      <c r="I158" s="2218">
        <f>面积清单!E147</f>
        <v>52.17</v>
      </c>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3"/>
      <c r="AV158" s="1798">
        <f t="shared" si="91"/>
        <v>0</v>
      </c>
      <c r="AW158" s="1798">
        <f t="shared" si="92"/>
        <v>0</v>
      </c>
      <c r="AX158" s="1798" t="str">
        <f t="shared" si="93"/>
        <v>7-1725</v>
      </c>
      <c r="AY158" s="41">
        <f t="shared" si="68"/>
        <v>17.91</v>
      </c>
      <c r="AZ158" s="34">
        <f t="shared" si="69"/>
        <v>52.17</v>
      </c>
      <c r="BA158" s="34">
        <f t="shared" si="70"/>
        <v>52.17</v>
      </c>
      <c r="BB158" s="34">
        <f t="shared" si="71"/>
        <v>52.17</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1274" t="str">
        <f>面积清单!B148</f>
        <v>7-1726</v>
      </c>
      <c r="D159" s="2217" t="s">
        <v>3658</v>
      </c>
      <c r="E159" s="34">
        <f t="shared" si="90"/>
        <v>21.42</v>
      </c>
      <c r="F159" s="35"/>
      <c r="G159" s="36">
        <f t="shared" si="65"/>
        <v>80.73</v>
      </c>
      <c r="H159" s="37">
        <f t="shared" si="66"/>
        <v>80.73</v>
      </c>
      <c r="I159" s="2218">
        <f>面积清单!E148</f>
        <v>80.73</v>
      </c>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3"/>
      <c r="AV159" s="1798">
        <f t="shared" si="91"/>
        <v>0</v>
      </c>
      <c r="AW159" s="1798">
        <f t="shared" si="92"/>
        <v>0</v>
      </c>
      <c r="AX159" s="1798" t="str">
        <f t="shared" si="93"/>
        <v>7-1726</v>
      </c>
      <c r="AY159" s="41">
        <f t="shared" si="68"/>
        <v>27.71</v>
      </c>
      <c r="AZ159" s="34">
        <f t="shared" si="69"/>
        <v>80.73</v>
      </c>
      <c r="BA159" s="34">
        <f t="shared" si="70"/>
        <v>80.73</v>
      </c>
      <c r="BB159" s="34">
        <f t="shared" si="71"/>
        <v>80.73</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1274" t="str">
        <f>面积清单!B149</f>
        <v>7-1801</v>
      </c>
      <c r="D160" s="2217" t="s">
        <v>3658</v>
      </c>
      <c r="E160" s="34">
        <f t="shared" si="90"/>
        <v>21.42</v>
      </c>
      <c r="F160" s="35"/>
      <c r="G160" s="36">
        <f t="shared" si="65"/>
        <v>80.73</v>
      </c>
      <c r="H160" s="37">
        <f t="shared" si="66"/>
        <v>80.73</v>
      </c>
      <c r="I160" s="2218">
        <f>面积清单!E149</f>
        <v>80.73</v>
      </c>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3"/>
      <c r="AV160" s="1798">
        <f t="shared" si="91"/>
        <v>0</v>
      </c>
      <c r="AW160" s="1798">
        <f t="shared" si="92"/>
        <v>0</v>
      </c>
      <c r="AX160" s="1798" t="str">
        <f t="shared" si="93"/>
        <v>7-1801</v>
      </c>
      <c r="AY160" s="41">
        <f t="shared" si="68"/>
        <v>27.71</v>
      </c>
      <c r="AZ160" s="34">
        <f t="shared" si="69"/>
        <v>80.73</v>
      </c>
      <c r="BA160" s="34">
        <f t="shared" si="70"/>
        <v>80.73</v>
      </c>
      <c r="BB160" s="34">
        <f t="shared" si="71"/>
        <v>80.73</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1274" t="str">
        <f>面积清单!B150</f>
        <v>7-1802</v>
      </c>
      <c r="D161" s="2217" t="s">
        <v>3658</v>
      </c>
      <c r="E161" s="34">
        <f t="shared" si="90"/>
        <v>13.84</v>
      </c>
      <c r="F161" s="35"/>
      <c r="G161" s="36">
        <f t="shared" si="65"/>
        <v>52.17</v>
      </c>
      <c r="H161" s="37">
        <f t="shared" si="66"/>
        <v>52.17</v>
      </c>
      <c r="I161" s="2218">
        <f>面积清单!E150</f>
        <v>52.17</v>
      </c>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3"/>
      <c r="AV161" s="1798">
        <f t="shared" si="91"/>
        <v>0</v>
      </c>
      <c r="AW161" s="1798">
        <f t="shared" si="92"/>
        <v>0</v>
      </c>
      <c r="AX161" s="1798" t="str">
        <f t="shared" si="93"/>
        <v>7-1802</v>
      </c>
      <c r="AY161" s="41">
        <f t="shared" si="68"/>
        <v>17.91</v>
      </c>
      <c r="AZ161" s="34">
        <f t="shared" si="69"/>
        <v>52.17</v>
      </c>
      <c r="BA161" s="34">
        <f t="shared" si="70"/>
        <v>52.17</v>
      </c>
      <c r="BB161" s="34">
        <f t="shared" si="71"/>
        <v>52.17</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1274" t="str">
        <f>面积清单!B151</f>
        <v>7-1803</v>
      </c>
      <c r="D162" s="2217" t="s">
        <v>3658</v>
      </c>
      <c r="E162" s="34">
        <f t="shared" si="90"/>
        <v>13.84</v>
      </c>
      <c r="F162" s="35"/>
      <c r="G162" s="36">
        <f t="shared" si="65"/>
        <v>52.17</v>
      </c>
      <c r="H162" s="37">
        <f t="shared" si="66"/>
        <v>52.17</v>
      </c>
      <c r="I162" s="2218">
        <f>面积清单!E151</f>
        <v>52.17</v>
      </c>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3"/>
      <c r="AV162" s="1798">
        <f t="shared" si="91"/>
        <v>0</v>
      </c>
      <c r="AW162" s="1798">
        <f t="shared" si="92"/>
        <v>0</v>
      </c>
      <c r="AX162" s="1798" t="str">
        <f t="shared" si="93"/>
        <v>7-1803</v>
      </c>
      <c r="AY162" s="41">
        <f t="shared" si="68"/>
        <v>17.91</v>
      </c>
      <c r="AZ162" s="34">
        <f t="shared" si="69"/>
        <v>52.17</v>
      </c>
      <c r="BA162" s="34">
        <f t="shared" si="70"/>
        <v>52.17</v>
      </c>
      <c r="BB162" s="34">
        <f t="shared" si="71"/>
        <v>52.17</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1274" t="str">
        <f>面积清单!B152</f>
        <v>7-1804</v>
      </c>
      <c r="D163" s="2217" t="s">
        <v>3658</v>
      </c>
      <c r="E163" s="34">
        <f t="shared" si="90"/>
        <v>13.84</v>
      </c>
      <c r="F163" s="35"/>
      <c r="G163" s="36">
        <f t="shared" si="65"/>
        <v>52.17</v>
      </c>
      <c r="H163" s="37">
        <f t="shared" si="66"/>
        <v>52.17</v>
      </c>
      <c r="I163" s="2218">
        <f>面积清单!E152</f>
        <v>52.17</v>
      </c>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3"/>
      <c r="AV163" s="1798">
        <f t="shared" si="91"/>
        <v>0</v>
      </c>
      <c r="AW163" s="1798">
        <f t="shared" si="92"/>
        <v>0</v>
      </c>
      <c r="AX163" s="1798" t="str">
        <f t="shared" si="93"/>
        <v>7-1804</v>
      </c>
      <c r="AY163" s="41">
        <f t="shared" si="68"/>
        <v>17.91</v>
      </c>
      <c r="AZ163" s="34">
        <f t="shared" si="69"/>
        <v>52.17</v>
      </c>
      <c r="BA163" s="34">
        <f t="shared" si="70"/>
        <v>52.17</v>
      </c>
      <c r="BB163" s="34">
        <f t="shared" si="71"/>
        <v>52.17</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1274" t="str">
        <f>面积清单!B153</f>
        <v>7-1805</v>
      </c>
      <c r="D164" s="2217" t="s">
        <v>3658</v>
      </c>
      <c r="E164" s="34">
        <f t="shared" si="90"/>
        <v>13.84</v>
      </c>
      <c r="F164" s="35"/>
      <c r="G164" s="36">
        <f t="shared" si="65"/>
        <v>52.17</v>
      </c>
      <c r="H164" s="37">
        <f t="shared" si="66"/>
        <v>52.17</v>
      </c>
      <c r="I164" s="2218">
        <f>面积清单!E153</f>
        <v>52.17</v>
      </c>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3"/>
      <c r="AV164" s="1798">
        <f t="shared" si="91"/>
        <v>0</v>
      </c>
      <c r="AW164" s="1798">
        <f t="shared" si="92"/>
        <v>0</v>
      </c>
      <c r="AX164" s="1798" t="str">
        <f t="shared" si="93"/>
        <v>7-1805</v>
      </c>
      <c r="AY164" s="41">
        <f t="shared" si="68"/>
        <v>17.91</v>
      </c>
      <c r="AZ164" s="34">
        <f t="shared" si="69"/>
        <v>52.17</v>
      </c>
      <c r="BA164" s="34">
        <f t="shared" si="70"/>
        <v>52.17</v>
      </c>
      <c r="BB164" s="34">
        <f t="shared" si="71"/>
        <v>52.17</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1274" t="str">
        <f>面积清单!B154</f>
        <v>7-1806</v>
      </c>
      <c r="D165" s="2217" t="s">
        <v>3658</v>
      </c>
      <c r="E165" s="34">
        <f t="shared" si="90"/>
        <v>13.84</v>
      </c>
      <c r="F165" s="35"/>
      <c r="G165" s="36">
        <f t="shared" si="65"/>
        <v>52.17</v>
      </c>
      <c r="H165" s="37">
        <f t="shared" si="66"/>
        <v>52.17</v>
      </c>
      <c r="I165" s="2218">
        <f>面积清单!E154</f>
        <v>52.17</v>
      </c>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3"/>
      <c r="AV165" s="1798">
        <f t="shared" si="91"/>
        <v>0</v>
      </c>
      <c r="AW165" s="1798">
        <f t="shared" si="92"/>
        <v>0</v>
      </c>
      <c r="AX165" s="1798" t="str">
        <f t="shared" si="93"/>
        <v>7-1806</v>
      </c>
      <c r="AY165" s="41">
        <f t="shared" si="68"/>
        <v>17.91</v>
      </c>
      <c r="AZ165" s="34">
        <f t="shared" si="69"/>
        <v>52.17</v>
      </c>
      <c r="BA165" s="34">
        <f t="shared" si="70"/>
        <v>52.17</v>
      </c>
      <c r="BB165" s="34">
        <f t="shared" si="71"/>
        <v>52.17</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1274" t="str">
        <f>面积清单!B155</f>
        <v>7-1807</v>
      </c>
      <c r="D166" s="2217" t="s">
        <v>3658</v>
      </c>
      <c r="E166" s="34">
        <f t="shared" si="90"/>
        <v>13.84</v>
      </c>
      <c r="F166" s="35"/>
      <c r="G166" s="36">
        <f t="shared" si="65"/>
        <v>52.17</v>
      </c>
      <c r="H166" s="37">
        <f t="shared" si="66"/>
        <v>52.17</v>
      </c>
      <c r="I166" s="2218">
        <f>面积清单!E155</f>
        <v>52.17</v>
      </c>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3"/>
      <c r="AV166" s="1798">
        <f t="shared" si="91"/>
        <v>0</v>
      </c>
      <c r="AW166" s="1798">
        <f t="shared" si="92"/>
        <v>0</v>
      </c>
      <c r="AX166" s="1798" t="str">
        <f t="shared" si="93"/>
        <v>7-1807</v>
      </c>
      <c r="AY166" s="41">
        <f t="shared" si="68"/>
        <v>17.91</v>
      </c>
      <c r="AZ166" s="34">
        <f t="shared" si="69"/>
        <v>52.17</v>
      </c>
      <c r="BA166" s="34">
        <f t="shared" si="70"/>
        <v>52.17</v>
      </c>
      <c r="BB166" s="34">
        <f t="shared" si="71"/>
        <v>52.17</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1274" t="str">
        <f>面积清单!B156</f>
        <v>7-1808</v>
      </c>
      <c r="D167" s="2217" t="s">
        <v>3658</v>
      </c>
      <c r="E167" s="34">
        <f t="shared" si="90"/>
        <v>13.84</v>
      </c>
      <c r="F167" s="35"/>
      <c r="G167" s="36">
        <f t="shared" si="65"/>
        <v>52.17</v>
      </c>
      <c r="H167" s="37">
        <f t="shared" si="66"/>
        <v>52.17</v>
      </c>
      <c r="I167" s="2218">
        <f>面积清单!E156</f>
        <v>52.17</v>
      </c>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3"/>
      <c r="AV167" s="1798">
        <f t="shared" si="91"/>
        <v>0</v>
      </c>
      <c r="AW167" s="1798">
        <f t="shared" si="92"/>
        <v>0</v>
      </c>
      <c r="AX167" s="1798" t="str">
        <f t="shared" si="93"/>
        <v>7-1808</v>
      </c>
      <c r="AY167" s="41">
        <f t="shared" si="68"/>
        <v>17.91</v>
      </c>
      <c r="AZ167" s="34">
        <f t="shared" si="69"/>
        <v>52.17</v>
      </c>
      <c r="BA167" s="34">
        <f t="shared" si="70"/>
        <v>52.17</v>
      </c>
      <c r="BB167" s="34">
        <f t="shared" si="71"/>
        <v>52.17</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1274" t="str">
        <f>面积清单!B157</f>
        <v>7-1809</v>
      </c>
      <c r="D168" s="2217" t="s">
        <v>3658</v>
      </c>
      <c r="E168" s="34">
        <f t="shared" si="90"/>
        <v>13.84</v>
      </c>
      <c r="F168" s="35"/>
      <c r="G168" s="36">
        <f t="shared" si="65"/>
        <v>52.17</v>
      </c>
      <c r="H168" s="37">
        <f t="shared" si="66"/>
        <v>52.17</v>
      </c>
      <c r="I168" s="2218">
        <f>面积清单!E157</f>
        <v>52.17</v>
      </c>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3"/>
      <c r="AV168" s="1798">
        <f t="shared" si="91"/>
        <v>0</v>
      </c>
      <c r="AW168" s="1798">
        <f t="shared" si="92"/>
        <v>0</v>
      </c>
      <c r="AX168" s="1798" t="str">
        <f t="shared" si="93"/>
        <v>7-1809</v>
      </c>
      <c r="AY168" s="41">
        <f t="shared" si="68"/>
        <v>17.91</v>
      </c>
      <c r="AZ168" s="34">
        <f t="shared" si="69"/>
        <v>52.17</v>
      </c>
      <c r="BA168" s="34">
        <f t="shared" si="70"/>
        <v>52.17</v>
      </c>
      <c r="BB168" s="34">
        <f t="shared" si="71"/>
        <v>52.17</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1274" t="str">
        <f>面积清单!B158</f>
        <v>7-1810</v>
      </c>
      <c r="D169" s="2217" t="s">
        <v>3658</v>
      </c>
      <c r="E169" s="34">
        <f t="shared" si="90"/>
        <v>13.84</v>
      </c>
      <c r="F169" s="35"/>
      <c r="G169" s="36">
        <f t="shared" si="65"/>
        <v>52.17</v>
      </c>
      <c r="H169" s="37">
        <f t="shared" si="66"/>
        <v>52.17</v>
      </c>
      <c r="I169" s="2218">
        <f>面积清单!E158</f>
        <v>52.17</v>
      </c>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3"/>
      <c r="AV169" s="1798">
        <f t="shared" si="91"/>
        <v>0</v>
      </c>
      <c r="AW169" s="1798">
        <f t="shared" si="92"/>
        <v>0</v>
      </c>
      <c r="AX169" s="1798" t="str">
        <f t="shared" si="93"/>
        <v>7-1810</v>
      </c>
      <c r="AY169" s="41">
        <f t="shared" si="68"/>
        <v>17.91</v>
      </c>
      <c r="AZ169" s="34">
        <f t="shared" si="69"/>
        <v>52.17</v>
      </c>
      <c r="BA169" s="34">
        <f t="shared" si="70"/>
        <v>52.17</v>
      </c>
      <c r="BB169" s="34">
        <f t="shared" si="71"/>
        <v>52.17</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1274" t="str">
        <f>面积清单!B159</f>
        <v>7-1811</v>
      </c>
      <c r="D170" s="2217" t="s">
        <v>3658</v>
      </c>
      <c r="E170" s="34">
        <f t="shared" si="90"/>
        <v>13.84</v>
      </c>
      <c r="F170" s="35"/>
      <c r="G170" s="36">
        <f t="shared" si="65"/>
        <v>52.17</v>
      </c>
      <c r="H170" s="37">
        <f t="shared" si="66"/>
        <v>52.17</v>
      </c>
      <c r="I170" s="2218">
        <f>面积清单!E159</f>
        <v>52.17</v>
      </c>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3"/>
      <c r="AV170" s="1798">
        <f t="shared" si="91"/>
        <v>0</v>
      </c>
      <c r="AW170" s="1798">
        <f t="shared" si="92"/>
        <v>0</v>
      </c>
      <c r="AX170" s="1798" t="str">
        <f t="shared" si="93"/>
        <v>7-1811</v>
      </c>
      <c r="AY170" s="41">
        <f t="shared" si="68"/>
        <v>17.91</v>
      </c>
      <c r="AZ170" s="34">
        <f t="shared" si="69"/>
        <v>52.17</v>
      </c>
      <c r="BA170" s="34">
        <f t="shared" si="70"/>
        <v>52.17</v>
      </c>
      <c r="BB170" s="34">
        <f t="shared" si="71"/>
        <v>52.17</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1274" t="str">
        <f>面积清单!B160</f>
        <v>7-1812</v>
      </c>
      <c r="D171" s="2217" t="s">
        <v>3658</v>
      </c>
      <c r="E171" s="34">
        <f t="shared" si="90"/>
        <v>21.42</v>
      </c>
      <c r="F171" s="35"/>
      <c r="G171" s="36">
        <f t="shared" si="65"/>
        <v>80.73</v>
      </c>
      <c r="H171" s="37">
        <f t="shared" si="66"/>
        <v>80.73</v>
      </c>
      <c r="I171" s="2218">
        <f>面积清单!E160</f>
        <v>80.73</v>
      </c>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3"/>
      <c r="AV171" s="1798">
        <f t="shared" si="91"/>
        <v>0</v>
      </c>
      <c r="AW171" s="1798">
        <f t="shared" si="92"/>
        <v>0</v>
      </c>
      <c r="AX171" s="1798" t="str">
        <f t="shared" si="93"/>
        <v>7-1812</v>
      </c>
      <c r="AY171" s="41">
        <f t="shared" si="68"/>
        <v>27.71</v>
      </c>
      <c r="AZ171" s="34">
        <f t="shared" si="69"/>
        <v>80.73</v>
      </c>
      <c r="BA171" s="34">
        <f t="shared" si="70"/>
        <v>80.73</v>
      </c>
      <c r="BB171" s="34">
        <f t="shared" si="71"/>
        <v>80.73</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1274" t="str">
        <f>面积清单!B161</f>
        <v>7-1813</v>
      </c>
      <c r="D172" s="2217" t="s">
        <v>3658</v>
      </c>
      <c r="E172" s="34">
        <f t="shared" si="90"/>
        <v>17.52</v>
      </c>
      <c r="F172" s="35"/>
      <c r="G172" s="36">
        <f t="shared" si="65"/>
        <v>66.040000000000006</v>
      </c>
      <c r="H172" s="37">
        <f t="shared" si="66"/>
        <v>66.040000000000006</v>
      </c>
      <c r="I172" s="2218">
        <f>面积清单!E161</f>
        <v>66.040000000000006</v>
      </c>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3"/>
      <c r="AV172" s="1798">
        <f t="shared" si="91"/>
        <v>0</v>
      </c>
      <c r="AW172" s="1798">
        <f t="shared" si="92"/>
        <v>0</v>
      </c>
      <c r="AX172" s="1798" t="str">
        <f t="shared" si="93"/>
        <v>7-1813</v>
      </c>
      <c r="AY172" s="41">
        <f t="shared" si="68"/>
        <v>22.67</v>
      </c>
      <c r="AZ172" s="34">
        <f t="shared" si="69"/>
        <v>66.040000000000006</v>
      </c>
      <c r="BA172" s="34">
        <f t="shared" si="70"/>
        <v>66.040000000000006</v>
      </c>
      <c r="BB172" s="34">
        <f t="shared" si="71"/>
        <v>66.040000000000006</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1274" t="str">
        <f>面积清单!B162</f>
        <v>7-1814</v>
      </c>
      <c r="D173" s="2217" t="s">
        <v>3658</v>
      </c>
      <c r="E173" s="34">
        <f t="shared" si="90"/>
        <v>17.52</v>
      </c>
      <c r="F173" s="35"/>
      <c r="G173" s="36">
        <f t="shared" si="65"/>
        <v>66.040000000000006</v>
      </c>
      <c r="H173" s="37">
        <f t="shared" si="66"/>
        <v>66.040000000000006</v>
      </c>
      <c r="I173" s="2218">
        <f>面积清单!E162</f>
        <v>66.040000000000006</v>
      </c>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3"/>
      <c r="AV173" s="1798">
        <f t="shared" si="91"/>
        <v>0</v>
      </c>
      <c r="AW173" s="1798">
        <f t="shared" si="92"/>
        <v>0</v>
      </c>
      <c r="AX173" s="1798" t="str">
        <f t="shared" si="93"/>
        <v>7-1814</v>
      </c>
      <c r="AY173" s="41">
        <f t="shared" si="68"/>
        <v>22.67</v>
      </c>
      <c r="AZ173" s="34">
        <f t="shared" si="69"/>
        <v>66.040000000000006</v>
      </c>
      <c r="BA173" s="34">
        <f t="shared" si="70"/>
        <v>66.040000000000006</v>
      </c>
      <c r="BB173" s="34">
        <f t="shared" si="71"/>
        <v>66.040000000000006</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1274" t="str">
        <f>面积清单!B163</f>
        <v>7-1815</v>
      </c>
      <c r="D174" s="2217" t="s">
        <v>3658</v>
      </c>
      <c r="E174" s="34">
        <f t="shared" si="90"/>
        <v>21.42</v>
      </c>
      <c r="F174" s="35"/>
      <c r="G174" s="36">
        <f t="shared" ref="G174:G205" si="94">H174+AC174+AT174</f>
        <v>80.73</v>
      </c>
      <c r="H174" s="37">
        <f t="shared" ref="H174:H205" si="95">SUMIF(I$12:AB$12,"总值",I174:AB174)</f>
        <v>80.73</v>
      </c>
      <c r="I174" s="2218">
        <f>面积清单!E163</f>
        <v>80.73</v>
      </c>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3"/>
      <c r="AV174" s="1798">
        <f t="shared" si="91"/>
        <v>0</v>
      </c>
      <c r="AW174" s="1798">
        <f t="shared" si="92"/>
        <v>0</v>
      </c>
      <c r="AX174" s="1798" t="str">
        <f t="shared" si="93"/>
        <v>7-1815</v>
      </c>
      <c r="AY174" s="41">
        <f t="shared" ref="AY174:AY205" si="97">ROUND($AY$6*AZ174/$AZ$5,2)</f>
        <v>27.71</v>
      </c>
      <c r="AZ174" s="34">
        <f t="shared" ref="AZ174:AZ205" si="98">BA174+BL174</f>
        <v>80.73</v>
      </c>
      <c r="BA174" s="34">
        <f t="shared" ref="BA174:BA205" si="99">SUM(BB174:BK174)</f>
        <v>80.73</v>
      </c>
      <c r="BB174" s="34">
        <f t="shared" ref="BB174:BB207" si="100">IF($D174="是",I174-J174,0)</f>
        <v>80.73</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1274" t="str">
        <f>面积清单!B164</f>
        <v>7-1816</v>
      </c>
      <c r="D175" s="2217" t="s">
        <v>3658</v>
      </c>
      <c r="E175" s="34">
        <f t="shared" si="90"/>
        <v>13.84</v>
      </c>
      <c r="F175" s="35"/>
      <c r="G175" s="36">
        <f t="shared" si="94"/>
        <v>52.17</v>
      </c>
      <c r="H175" s="37">
        <f t="shared" si="95"/>
        <v>52.17</v>
      </c>
      <c r="I175" s="2218">
        <f>面积清单!E164</f>
        <v>52.17</v>
      </c>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3"/>
      <c r="AV175" s="1798">
        <f t="shared" si="91"/>
        <v>0</v>
      </c>
      <c r="AW175" s="1798">
        <f t="shared" si="92"/>
        <v>0</v>
      </c>
      <c r="AX175" s="1798" t="str">
        <f t="shared" si="93"/>
        <v>7-1816</v>
      </c>
      <c r="AY175" s="41">
        <f t="shared" si="97"/>
        <v>17.91</v>
      </c>
      <c r="AZ175" s="34">
        <f t="shared" si="98"/>
        <v>52.17</v>
      </c>
      <c r="BA175" s="34">
        <f t="shared" si="99"/>
        <v>52.17</v>
      </c>
      <c r="BB175" s="34">
        <f t="shared" si="100"/>
        <v>52.17</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1274" t="str">
        <f>面积清单!B165</f>
        <v>7-1817</v>
      </c>
      <c r="D176" s="2217" t="s">
        <v>3658</v>
      </c>
      <c r="E176" s="34">
        <f t="shared" si="90"/>
        <v>13.84</v>
      </c>
      <c r="F176" s="35"/>
      <c r="G176" s="36">
        <f t="shared" si="94"/>
        <v>52.17</v>
      </c>
      <c r="H176" s="37">
        <f t="shared" si="95"/>
        <v>52.17</v>
      </c>
      <c r="I176" s="2218">
        <f>面积清单!E165</f>
        <v>52.17</v>
      </c>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3"/>
      <c r="AV176" s="1798">
        <f t="shared" si="91"/>
        <v>0</v>
      </c>
      <c r="AW176" s="1798">
        <f t="shared" si="92"/>
        <v>0</v>
      </c>
      <c r="AX176" s="1798" t="str">
        <f t="shared" si="93"/>
        <v>7-1817</v>
      </c>
      <c r="AY176" s="41">
        <f t="shared" si="97"/>
        <v>17.91</v>
      </c>
      <c r="AZ176" s="34">
        <f t="shared" si="98"/>
        <v>52.17</v>
      </c>
      <c r="BA176" s="34">
        <f t="shared" si="99"/>
        <v>52.17</v>
      </c>
      <c r="BB176" s="34">
        <f t="shared" si="100"/>
        <v>52.17</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1274" t="str">
        <f>面积清单!B166</f>
        <v>7-1818</v>
      </c>
      <c r="D177" s="2217" t="s">
        <v>3658</v>
      </c>
      <c r="E177" s="34">
        <f t="shared" ref="E177:E207" si="119">IF($C$3="是",ROUND($A$3*G177/$B$3,2),ROUND($A$3*(G177-AT177)/$B$3,2))</f>
        <v>13.84</v>
      </c>
      <c r="F177" s="35"/>
      <c r="G177" s="36">
        <f t="shared" si="94"/>
        <v>52.17</v>
      </c>
      <c r="H177" s="37">
        <f t="shared" si="95"/>
        <v>52.17</v>
      </c>
      <c r="I177" s="2218">
        <f>面积清单!E166</f>
        <v>52.17</v>
      </c>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3"/>
      <c r="AV177" s="1798">
        <f t="shared" ref="AV177:AV207" si="120">A177</f>
        <v>0</v>
      </c>
      <c r="AW177" s="1798">
        <f t="shared" ref="AW177:AW207" si="121">B177</f>
        <v>0</v>
      </c>
      <c r="AX177" s="1798" t="str">
        <f t="shared" ref="AX177:AX207" si="122">C177</f>
        <v>7-1818</v>
      </c>
      <c r="AY177" s="41">
        <f t="shared" si="97"/>
        <v>17.91</v>
      </c>
      <c r="AZ177" s="34">
        <f t="shared" si="98"/>
        <v>52.17</v>
      </c>
      <c r="BA177" s="34">
        <f t="shared" si="99"/>
        <v>52.17</v>
      </c>
      <c r="BB177" s="34">
        <f t="shared" si="100"/>
        <v>52.17</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1274" t="str">
        <f>面积清单!B167</f>
        <v>7-1819</v>
      </c>
      <c r="D178" s="2217" t="s">
        <v>3658</v>
      </c>
      <c r="E178" s="34">
        <f t="shared" si="119"/>
        <v>13.84</v>
      </c>
      <c r="F178" s="35"/>
      <c r="G178" s="36">
        <f t="shared" si="94"/>
        <v>52.17</v>
      </c>
      <c r="H178" s="37">
        <f t="shared" si="95"/>
        <v>52.17</v>
      </c>
      <c r="I178" s="2218">
        <f>面积清单!E167</f>
        <v>52.17</v>
      </c>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3"/>
      <c r="AV178" s="1798">
        <f t="shared" si="120"/>
        <v>0</v>
      </c>
      <c r="AW178" s="1798">
        <f t="shared" si="121"/>
        <v>0</v>
      </c>
      <c r="AX178" s="1798" t="str">
        <f t="shared" si="122"/>
        <v>7-1819</v>
      </c>
      <c r="AY178" s="41">
        <f t="shared" si="97"/>
        <v>17.91</v>
      </c>
      <c r="AZ178" s="34">
        <f t="shared" si="98"/>
        <v>52.17</v>
      </c>
      <c r="BA178" s="34">
        <f t="shared" si="99"/>
        <v>52.17</v>
      </c>
      <c r="BB178" s="34">
        <f t="shared" si="100"/>
        <v>52.17</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1274" t="str">
        <f>面积清单!B168</f>
        <v>7-1820</v>
      </c>
      <c r="D179" s="2217" t="s">
        <v>3658</v>
      </c>
      <c r="E179" s="34">
        <f t="shared" si="119"/>
        <v>13.84</v>
      </c>
      <c r="F179" s="35"/>
      <c r="G179" s="36">
        <f t="shared" si="94"/>
        <v>52.17</v>
      </c>
      <c r="H179" s="37">
        <f t="shared" si="95"/>
        <v>52.17</v>
      </c>
      <c r="I179" s="2218">
        <f>面积清单!E168</f>
        <v>52.17</v>
      </c>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3"/>
      <c r="AV179" s="1798">
        <f t="shared" si="120"/>
        <v>0</v>
      </c>
      <c r="AW179" s="1798">
        <f t="shared" si="121"/>
        <v>0</v>
      </c>
      <c r="AX179" s="1798" t="str">
        <f t="shared" si="122"/>
        <v>7-1820</v>
      </c>
      <c r="AY179" s="41">
        <f t="shared" si="97"/>
        <v>17.91</v>
      </c>
      <c r="AZ179" s="34">
        <f t="shared" si="98"/>
        <v>52.17</v>
      </c>
      <c r="BA179" s="34">
        <f t="shared" si="99"/>
        <v>52.17</v>
      </c>
      <c r="BB179" s="34">
        <f t="shared" si="100"/>
        <v>52.17</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1274" t="str">
        <f>面积清单!B169</f>
        <v>7-1821</v>
      </c>
      <c r="D180" s="2217" t="s">
        <v>3658</v>
      </c>
      <c r="E180" s="34">
        <f t="shared" si="119"/>
        <v>13.84</v>
      </c>
      <c r="F180" s="35"/>
      <c r="G180" s="36">
        <f t="shared" si="94"/>
        <v>52.17</v>
      </c>
      <c r="H180" s="37">
        <f t="shared" si="95"/>
        <v>52.17</v>
      </c>
      <c r="I180" s="2218">
        <f>面积清单!E169</f>
        <v>52.17</v>
      </c>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3"/>
      <c r="AV180" s="1798">
        <f t="shared" si="120"/>
        <v>0</v>
      </c>
      <c r="AW180" s="1798">
        <f t="shared" si="121"/>
        <v>0</v>
      </c>
      <c r="AX180" s="1798" t="str">
        <f t="shared" si="122"/>
        <v>7-1821</v>
      </c>
      <c r="AY180" s="41">
        <f t="shared" si="97"/>
        <v>17.91</v>
      </c>
      <c r="AZ180" s="34">
        <f t="shared" si="98"/>
        <v>52.17</v>
      </c>
      <c r="BA180" s="34">
        <f t="shared" si="99"/>
        <v>52.17</v>
      </c>
      <c r="BB180" s="34">
        <f t="shared" si="100"/>
        <v>52.17</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1274" t="str">
        <f>面积清单!B170</f>
        <v>7-1822</v>
      </c>
      <c r="D181" s="2217" t="s">
        <v>3658</v>
      </c>
      <c r="E181" s="34">
        <f t="shared" si="119"/>
        <v>13.84</v>
      </c>
      <c r="F181" s="35"/>
      <c r="G181" s="36">
        <f t="shared" si="94"/>
        <v>52.17</v>
      </c>
      <c r="H181" s="37">
        <f t="shared" si="95"/>
        <v>52.17</v>
      </c>
      <c r="I181" s="2218">
        <f>面积清单!E170</f>
        <v>52.17</v>
      </c>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3"/>
      <c r="AV181" s="1798">
        <f t="shared" si="120"/>
        <v>0</v>
      </c>
      <c r="AW181" s="1798">
        <f t="shared" si="121"/>
        <v>0</v>
      </c>
      <c r="AX181" s="1798" t="str">
        <f t="shared" si="122"/>
        <v>7-1822</v>
      </c>
      <c r="AY181" s="41">
        <f t="shared" si="97"/>
        <v>17.91</v>
      </c>
      <c r="AZ181" s="34">
        <f t="shared" si="98"/>
        <v>52.17</v>
      </c>
      <c r="BA181" s="34">
        <f t="shared" si="99"/>
        <v>52.17</v>
      </c>
      <c r="BB181" s="34">
        <f t="shared" si="100"/>
        <v>52.17</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1274" t="str">
        <f>面积清单!B171</f>
        <v>7-1823</v>
      </c>
      <c r="D182" s="2217" t="s">
        <v>3658</v>
      </c>
      <c r="E182" s="34">
        <f t="shared" si="119"/>
        <v>13.84</v>
      </c>
      <c r="F182" s="35"/>
      <c r="G182" s="36">
        <f t="shared" si="94"/>
        <v>52.17</v>
      </c>
      <c r="H182" s="37">
        <f t="shared" si="95"/>
        <v>52.17</v>
      </c>
      <c r="I182" s="2218">
        <f>面积清单!E171</f>
        <v>52.17</v>
      </c>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3"/>
      <c r="AV182" s="1798">
        <f t="shared" si="120"/>
        <v>0</v>
      </c>
      <c r="AW182" s="1798">
        <f t="shared" si="121"/>
        <v>0</v>
      </c>
      <c r="AX182" s="1798" t="str">
        <f t="shared" si="122"/>
        <v>7-1823</v>
      </c>
      <c r="AY182" s="41">
        <f t="shared" si="97"/>
        <v>17.91</v>
      </c>
      <c r="AZ182" s="34">
        <f t="shared" si="98"/>
        <v>52.17</v>
      </c>
      <c r="BA182" s="34">
        <f t="shared" si="99"/>
        <v>52.17</v>
      </c>
      <c r="BB182" s="34">
        <f t="shared" si="100"/>
        <v>52.17</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1274" t="str">
        <f>面积清单!B172</f>
        <v>7-1824</v>
      </c>
      <c r="D183" s="2217" t="s">
        <v>3658</v>
      </c>
      <c r="E183" s="34">
        <f t="shared" si="119"/>
        <v>13.84</v>
      </c>
      <c r="F183" s="35"/>
      <c r="G183" s="36">
        <f t="shared" si="94"/>
        <v>52.17</v>
      </c>
      <c r="H183" s="37">
        <f t="shared" si="95"/>
        <v>52.17</v>
      </c>
      <c r="I183" s="2218">
        <f>面积清单!E172</f>
        <v>52.17</v>
      </c>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3"/>
      <c r="AV183" s="1798">
        <f t="shared" si="120"/>
        <v>0</v>
      </c>
      <c r="AW183" s="1798">
        <f t="shared" si="121"/>
        <v>0</v>
      </c>
      <c r="AX183" s="1798" t="str">
        <f t="shared" si="122"/>
        <v>7-1824</v>
      </c>
      <c r="AY183" s="41">
        <f t="shared" si="97"/>
        <v>17.91</v>
      </c>
      <c r="AZ183" s="34">
        <f t="shared" si="98"/>
        <v>52.17</v>
      </c>
      <c r="BA183" s="34">
        <f t="shared" si="99"/>
        <v>52.17</v>
      </c>
      <c r="BB183" s="34">
        <f t="shared" si="100"/>
        <v>52.17</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1274" t="str">
        <f>面积清单!B173</f>
        <v>7-1825</v>
      </c>
      <c r="D184" s="2217" t="s">
        <v>3658</v>
      </c>
      <c r="E184" s="34">
        <f t="shared" si="119"/>
        <v>13.84</v>
      </c>
      <c r="F184" s="35"/>
      <c r="G184" s="36">
        <f t="shared" si="94"/>
        <v>52.17</v>
      </c>
      <c r="H184" s="37">
        <f t="shared" si="95"/>
        <v>52.17</v>
      </c>
      <c r="I184" s="2218">
        <f>面积清单!E173</f>
        <v>52.17</v>
      </c>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3"/>
      <c r="AV184" s="1798">
        <f t="shared" si="120"/>
        <v>0</v>
      </c>
      <c r="AW184" s="1798">
        <f t="shared" si="121"/>
        <v>0</v>
      </c>
      <c r="AX184" s="1798" t="str">
        <f t="shared" si="122"/>
        <v>7-1825</v>
      </c>
      <c r="AY184" s="41">
        <f t="shared" si="97"/>
        <v>17.91</v>
      </c>
      <c r="AZ184" s="34">
        <f t="shared" si="98"/>
        <v>52.17</v>
      </c>
      <c r="BA184" s="34">
        <f t="shared" si="99"/>
        <v>52.17</v>
      </c>
      <c r="BB184" s="34">
        <f t="shared" si="100"/>
        <v>52.17</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1274" t="str">
        <f>面积清单!B174</f>
        <v>7-1826</v>
      </c>
      <c r="D185" s="2217" t="s">
        <v>3658</v>
      </c>
      <c r="E185" s="34">
        <f t="shared" si="119"/>
        <v>21.42</v>
      </c>
      <c r="F185" s="35"/>
      <c r="G185" s="36">
        <f t="shared" si="94"/>
        <v>80.73</v>
      </c>
      <c r="H185" s="37">
        <f t="shared" si="95"/>
        <v>80.73</v>
      </c>
      <c r="I185" s="2218">
        <f>面积清单!E174</f>
        <v>80.73</v>
      </c>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3"/>
      <c r="AV185" s="1798">
        <f t="shared" si="120"/>
        <v>0</v>
      </c>
      <c r="AW185" s="1798">
        <f t="shared" si="121"/>
        <v>0</v>
      </c>
      <c r="AX185" s="1798" t="str">
        <f t="shared" si="122"/>
        <v>7-1826</v>
      </c>
      <c r="AY185" s="41">
        <f t="shared" si="97"/>
        <v>27.71</v>
      </c>
      <c r="AZ185" s="34">
        <f t="shared" si="98"/>
        <v>80.73</v>
      </c>
      <c r="BA185" s="34">
        <f t="shared" si="99"/>
        <v>80.73</v>
      </c>
      <c r="BB185" s="34">
        <f t="shared" si="100"/>
        <v>80.73</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1274" t="str">
        <f>面积清单!B175</f>
        <v>7-1827</v>
      </c>
      <c r="D186" s="2217" t="s">
        <v>3658</v>
      </c>
      <c r="E186" s="34">
        <f t="shared" si="119"/>
        <v>24.7</v>
      </c>
      <c r="F186" s="35"/>
      <c r="G186" s="36">
        <f t="shared" si="94"/>
        <v>93.08</v>
      </c>
      <c r="H186" s="37">
        <f t="shared" si="95"/>
        <v>93.08</v>
      </c>
      <c r="I186" s="2218">
        <f>面积清单!E175</f>
        <v>93.08</v>
      </c>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3"/>
      <c r="AV186" s="1798">
        <f t="shared" si="120"/>
        <v>0</v>
      </c>
      <c r="AW186" s="1798">
        <f t="shared" si="121"/>
        <v>0</v>
      </c>
      <c r="AX186" s="1798" t="str">
        <f t="shared" si="122"/>
        <v>7-1827</v>
      </c>
      <c r="AY186" s="41">
        <f t="shared" si="97"/>
        <v>31.95</v>
      </c>
      <c r="AZ186" s="34">
        <f t="shared" si="98"/>
        <v>93.08</v>
      </c>
      <c r="BA186" s="34">
        <f t="shared" si="99"/>
        <v>93.08</v>
      </c>
      <c r="BB186" s="34">
        <f t="shared" si="100"/>
        <v>93.08</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1274" t="str">
        <f>面积清单!B176</f>
        <v>7-1828</v>
      </c>
      <c r="D187" s="2217" t="s">
        <v>3658</v>
      </c>
      <c r="E187" s="34">
        <f t="shared" si="119"/>
        <v>24.7</v>
      </c>
      <c r="F187" s="35"/>
      <c r="G187" s="36">
        <f t="shared" si="94"/>
        <v>93.08</v>
      </c>
      <c r="H187" s="37">
        <f t="shared" si="95"/>
        <v>93.08</v>
      </c>
      <c r="I187" s="2218">
        <f>面积清单!E176</f>
        <v>93.08</v>
      </c>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3"/>
      <c r="AV187" s="1798">
        <f t="shared" si="120"/>
        <v>0</v>
      </c>
      <c r="AW187" s="1798">
        <f t="shared" si="121"/>
        <v>0</v>
      </c>
      <c r="AX187" s="1798" t="str">
        <f t="shared" si="122"/>
        <v>7-1828</v>
      </c>
      <c r="AY187" s="41">
        <f t="shared" si="97"/>
        <v>31.95</v>
      </c>
      <c r="AZ187" s="34">
        <f t="shared" si="98"/>
        <v>93.08</v>
      </c>
      <c r="BA187" s="34">
        <f t="shared" si="99"/>
        <v>93.08</v>
      </c>
      <c r="BB187" s="34">
        <f t="shared" si="100"/>
        <v>93.08</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1274" t="str">
        <f>面积清单!B177</f>
        <v>7-1901</v>
      </c>
      <c r="D188" s="2217" t="s">
        <v>3658</v>
      </c>
      <c r="E188" s="34">
        <f t="shared" si="119"/>
        <v>21.42</v>
      </c>
      <c r="F188" s="35"/>
      <c r="G188" s="36">
        <f t="shared" si="94"/>
        <v>80.73</v>
      </c>
      <c r="H188" s="37">
        <f t="shared" si="95"/>
        <v>80.73</v>
      </c>
      <c r="I188" s="2218">
        <f>面积清单!E177</f>
        <v>80.73</v>
      </c>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3"/>
      <c r="AV188" s="1798">
        <f t="shared" si="120"/>
        <v>0</v>
      </c>
      <c r="AW188" s="1798">
        <f t="shared" si="121"/>
        <v>0</v>
      </c>
      <c r="AX188" s="1798" t="str">
        <f t="shared" si="122"/>
        <v>7-1901</v>
      </c>
      <c r="AY188" s="41">
        <f t="shared" si="97"/>
        <v>27.71</v>
      </c>
      <c r="AZ188" s="34">
        <f t="shared" si="98"/>
        <v>80.73</v>
      </c>
      <c r="BA188" s="34">
        <f t="shared" si="99"/>
        <v>80.73</v>
      </c>
      <c r="BB188" s="34">
        <f t="shared" si="100"/>
        <v>80.73</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1274" t="str">
        <f>面积清单!B178</f>
        <v>7-1902</v>
      </c>
      <c r="D189" s="2217" t="s">
        <v>3658</v>
      </c>
      <c r="E189" s="34">
        <f t="shared" si="119"/>
        <v>13.84</v>
      </c>
      <c r="F189" s="35"/>
      <c r="G189" s="36">
        <f t="shared" si="94"/>
        <v>52.17</v>
      </c>
      <c r="H189" s="37">
        <f t="shared" si="95"/>
        <v>52.17</v>
      </c>
      <c r="I189" s="2218">
        <f>面积清单!E178</f>
        <v>52.17</v>
      </c>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3"/>
      <c r="AV189" s="1798">
        <f t="shared" si="120"/>
        <v>0</v>
      </c>
      <c r="AW189" s="1798">
        <f t="shared" si="121"/>
        <v>0</v>
      </c>
      <c r="AX189" s="1798" t="str">
        <f t="shared" si="122"/>
        <v>7-1902</v>
      </c>
      <c r="AY189" s="41">
        <f t="shared" si="97"/>
        <v>17.91</v>
      </c>
      <c r="AZ189" s="34">
        <f t="shared" si="98"/>
        <v>52.17</v>
      </c>
      <c r="BA189" s="34">
        <f t="shared" si="99"/>
        <v>52.17</v>
      </c>
      <c r="BB189" s="34">
        <f t="shared" si="100"/>
        <v>52.17</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1274" t="str">
        <f>面积清单!B179</f>
        <v>7-1903</v>
      </c>
      <c r="D190" s="2217" t="s">
        <v>3658</v>
      </c>
      <c r="E190" s="34">
        <f t="shared" si="119"/>
        <v>13.84</v>
      </c>
      <c r="F190" s="35"/>
      <c r="G190" s="36">
        <f t="shared" si="94"/>
        <v>52.17</v>
      </c>
      <c r="H190" s="37">
        <f t="shared" si="95"/>
        <v>52.17</v>
      </c>
      <c r="I190" s="2218">
        <f>面积清单!E179</f>
        <v>52.17</v>
      </c>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3"/>
      <c r="AV190" s="1798">
        <f t="shared" si="120"/>
        <v>0</v>
      </c>
      <c r="AW190" s="1798">
        <f t="shared" si="121"/>
        <v>0</v>
      </c>
      <c r="AX190" s="1798" t="str">
        <f t="shared" si="122"/>
        <v>7-1903</v>
      </c>
      <c r="AY190" s="41">
        <f t="shared" si="97"/>
        <v>17.91</v>
      </c>
      <c r="AZ190" s="34">
        <f t="shared" si="98"/>
        <v>52.17</v>
      </c>
      <c r="BA190" s="34">
        <f t="shared" si="99"/>
        <v>52.17</v>
      </c>
      <c r="BB190" s="34">
        <f t="shared" si="100"/>
        <v>52.17</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1274" t="str">
        <f>面积清单!B180</f>
        <v>7-1904</v>
      </c>
      <c r="D191" s="2217" t="s">
        <v>3658</v>
      </c>
      <c r="E191" s="34">
        <f t="shared" si="119"/>
        <v>13.84</v>
      </c>
      <c r="F191" s="35"/>
      <c r="G191" s="36">
        <f t="shared" si="94"/>
        <v>52.17</v>
      </c>
      <c r="H191" s="37">
        <f t="shared" si="95"/>
        <v>52.17</v>
      </c>
      <c r="I191" s="2218">
        <f>面积清单!E180</f>
        <v>52.17</v>
      </c>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3"/>
      <c r="AV191" s="1798">
        <f t="shared" si="120"/>
        <v>0</v>
      </c>
      <c r="AW191" s="1798">
        <f t="shared" si="121"/>
        <v>0</v>
      </c>
      <c r="AX191" s="1798" t="str">
        <f t="shared" si="122"/>
        <v>7-1904</v>
      </c>
      <c r="AY191" s="41">
        <f t="shared" si="97"/>
        <v>17.91</v>
      </c>
      <c r="AZ191" s="34">
        <f t="shared" si="98"/>
        <v>52.17</v>
      </c>
      <c r="BA191" s="34">
        <f t="shared" si="99"/>
        <v>52.17</v>
      </c>
      <c r="BB191" s="34">
        <f t="shared" si="100"/>
        <v>52.17</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1274" t="str">
        <f>面积清单!B181</f>
        <v>7-1905</v>
      </c>
      <c r="D192" s="2217" t="s">
        <v>3658</v>
      </c>
      <c r="E192" s="34">
        <f t="shared" si="119"/>
        <v>13.84</v>
      </c>
      <c r="F192" s="35"/>
      <c r="G192" s="36">
        <f t="shared" si="94"/>
        <v>52.17</v>
      </c>
      <c r="H192" s="37">
        <f t="shared" si="95"/>
        <v>52.17</v>
      </c>
      <c r="I192" s="2218">
        <f>面积清单!E181</f>
        <v>52.17</v>
      </c>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3"/>
      <c r="AV192" s="1798">
        <f t="shared" si="120"/>
        <v>0</v>
      </c>
      <c r="AW192" s="1798">
        <f t="shared" si="121"/>
        <v>0</v>
      </c>
      <c r="AX192" s="1798" t="str">
        <f t="shared" si="122"/>
        <v>7-1905</v>
      </c>
      <c r="AY192" s="41">
        <f t="shared" si="97"/>
        <v>17.91</v>
      </c>
      <c r="AZ192" s="34">
        <f t="shared" si="98"/>
        <v>52.17</v>
      </c>
      <c r="BA192" s="34">
        <f t="shared" si="99"/>
        <v>52.17</v>
      </c>
      <c r="BB192" s="34">
        <f t="shared" si="100"/>
        <v>52.17</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1274" t="str">
        <f>面积清单!B182</f>
        <v>7-1906</v>
      </c>
      <c r="D193" s="2217" t="s">
        <v>3658</v>
      </c>
      <c r="E193" s="34">
        <f t="shared" si="119"/>
        <v>13.84</v>
      </c>
      <c r="F193" s="35"/>
      <c r="G193" s="36">
        <f t="shared" si="94"/>
        <v>52.17</v>
      </c>
      <c r="H193" s="37">
        <f t="shared" si="95"/>
        <v>52.17</v>
      </c>
      <c r="I193" s="2218">
        <f>面积清单!E182</f>
        <v>52.17</v>
      </c>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3"/>
      <c r="AV193" s="1798">
        <f t="shared" si="120"/>
        <v>0</v>
      </c>
      <c r="AW193" s="1798">
        <f t="shared" si="121"/>
        <v>0</v>
      </c>
      <c r="AX193" s="1798" t="str">
        <f t="shared" si="122"/>
        <v>7-1906</v>
      </c>
      <c r="AY193" s="41">
        <f t="shared" si="97"/>
        <v>17.91</v>
      </c>
      <c r="AZ193" s="34">
        <f t="shared" si="98"/>
        <v>52.17</v>
      </c>
      <c r="BA193" s="34">
        <f t="shared" si="99"/>
        <v>52.17</v>
      </c>
      <c r="BB193" s="34">
        <f t="shared" si="100"/>
        <v>52.17</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1274" t="str">
        <f>面积清单!B183</f>
        <v>7-1907</v>
      </c>
      <c r="D194" s="2217" t="s">
        <v>3658</v>
      </c>
      <c r="E194" s="34">
        <f t="shared" si="119"/>
        <v>13.84</v>
      </c>
      <c r="F194" s="35"/>
      <c r="G194" s="36">
        <f t="shared" si="94"/>
        <v>52.17</v>
      </c>
      <c r="H194" s="37">
        <f t="shared" si="95"/>
        <v>52.17</v>
      </c>
      <c r="I194" s="2218">
        <f>面积清单!E183</f>
        <v>52.17</v>
      </c>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3"/>
      <c r="AV194" s="1798">
        <f t="shared" si="120"/>
        <v>0</v>
      </c>
      <c r="AW194" s="1798">
        <f t="shared" si="121"/>
        <v>0</v>
      </c>
      <c r="AX194" s="1798" t="str">
        <f t="shared" si="122"/>
        <v>7-1907</v>
      </c>
      <c r="AY194" s="41">
        <f t="shared" si="97"/>
        <v>17.91</v>
      </c>
      <c r="AZ194" s="34">
        <f t="shared" si="98"/>
        <v>52.17</v>
      </c>
      <c r="BA194" s="34">
        <f t="shared" si="99"/>
        <v>52.17</v>
      </c>
      <c r="BB194" s="34">
        <f t="shared" si="100"/>
        <v>52.17</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1274" t="str">
        <f>面积清单!B184</f>
        <v>7-1908</v>
      </c>
      <c r="D195" s="2217" t="s">
        <v>3658</v>
      </c>
      <c r="E195" s="34">
        <f t="shared" si="119"/>
        <v>13.84</v>
      </c>
      <c r="F195" s="35"/>
      <c r="G195" s="36">
        <f t="shared" si="94"/>
        <v>52.17</v>
      </c>
      <c r="H195" s="37">
        <f t="shared" si="95"/>
        <v>52.17</v>
      </c>
      <c r="I195" s="2218">
        <f>面积清单!E184</f>
        <v>52.17</v>
      </c>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3"/>
      <c r="AV195" s="1798">
        <f t="shared" si="120"/>
        <v>0</v>
      </c>
      <c r="AW195" s="1798">
        <f t="shared" si="121"/>
        <v>0</v>
      </c>
      <c r="AX195" s="1798" t="str">
        <f t="shared" si="122"/>
        <v>7-1908</v>
      </c>
      <c r="AY195" s="41">
        <f t="shared" si="97"/>
        <v>17.91</v>
      </c>
      <c r="AZ195" s="34">
        <f t="shared" si="98"/>
        <v>52.17</v>
      </c>
      <c r="BA195" s="34">
        <f t="shared" si="99"/>
        <v>52.17</v>
      </c>
      <c r="BB195" s="34">
        <f t="shared" si="100"/>
        <v>52.17</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1274" t="str">
        <f>面积清单!B185</f>
        <v>7-1909</v>
      </c>
      <c r="D196" s="2217" t="s">
        <v>3658</v>
      </c>
      <c r="E196" s="34">
        <f t="shared" si="119"/>
        <v>13.84</v>
      </c>
      <c r="F196" s="35"/>
      <c r="G196" s="36">
        <f t="shared" si="94"/>
        <v>52.17</v>
      </c>
      <c r="H196" s="37">
        <f t="shared" si="95"/>
        <v>52.17</v>
      </c>
      <c r="I196" s="2218">
        <f>面积清单!E185</f>
        <v>52.17</v>
      </c>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3"/>
      <c r="AV196" s="1798">
        <f t="shared" si="120"/>
        <v>0</v>
      </c>
      <c r="AW196" s="1798">
        <f t="shared" si="121"/>
        <v>0</v>
      </c>
      <c r="AX196" s="1798" t="str">
        <f t="shared" si="122"/>
        <v>7-1909</v>
      </c>
      <c r="AY196" s="41">
        <f t="shared" si="97"/>
        <v>17.91</v>
      </c>
      <c r="AZ196" s="34">
        <f t="shared" si="98"/>
        <v>52.17</v>
      </c>
      <c r="BA196" s="34">
        <f t="shared" si="99"/>
        <v>52.17</v>
      </c>
      <c r="BB196" s="34">
        <f t="shared" si="100"/>
        <v>52.17</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1274" t="str">
        <f>面积清单!B186</f>
        <v>7-1910</v>
      </c>
      <c r="D197" s="2217" t="s">
        <v>3658</v>
      </c>
      <c r="E197" s="34">
        <f t="shared" si="119"/>
        <v>13.84</v>
      </c>
      <c r="F197" s="35"/>
      <c r="G197" s="36">
        <f t="shared" si="94"/>
        <v>52.17</v>
      </c>
      <c r="H197" s="37">
        <f t="shared" si="95"/>
        <v>52.17</v>
      </c>
      <c r="I197" s="2218">
        <f>面积清单!E186</f>
        <v>52.17</v>
      </c>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3"/>
      <c r="AV197" s="1798">
        <f t="shared" si="120"/>
        <v>0</v>
      </c>
      <c r="AW197" s="1798">
        <f t="shared" si="121"/>
        <v>0</v>
      </c>
      <c r="AX197" s="1798" t="str">
        <f t="shared" si="122"/>
        <v>7-1910</v>
      </c>
      <c r="AY197" s="41">
        <f t="shared" si="97"/>
        <v>17.91</v>
      </c>
      <c r="AZ197" s="34">
        <f t="shared" si="98"/>
        <v>52.17</v>
      </c>
      <c r="BA197" s="34">
        <f t="shared" si="99"/>
        <v>52.17</v>
      </c>
      <c r="BB197" s="34">
        <f t="shared" si="100"/>
        <v>52.17</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1274" t="str">
        <f>面积清单!B187</f>
        <v>7-1911</v>
      </c>
      <c r="D198" s="2217" t="s">
        <v>3658</v>
      </c>
      <c r="E198" s="34">
        <f t="shared" si="119"/>
        <v>13.84</v>
      </c>
      <c r="F198" s="35"/>
      <c r="G198" s="36">
        <f t="shared" si="94"/>
        <v>52.17</v>
      </c>
      <c r="H198" s="37">
        <f t="shared" si="95"/>
        <v>52.17</v>
      </c>
      <c r="I198" s="2218">
        <f>面积清单!E187</f>
        <v>52.17</v>
      </c>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3"/>
      <c r="AV198" s="1798">
        <f t="shared" si="120"/>
        <v>0</v>
      </c>
      <c r="AW198" s="1798">
        <f t="shared" si="121"/>
        <v>0</v>
      </c>
      <c r="AX198" s="1798" t="str">
        <f t="shared" si="122"/>
        <v>7-1911</v>
      </c>
      <c r="AY198" s="41">
        <f t="shared" si="97"/>
        <v>17.91</v>
      </c>
      <c r="AZ198" s="34">
        <f t="shared" si="98"/>
        <v>52.17</v>
      </c>
      <c r="BA198" s="34">
        <f t="shared" si="99"/>
        <v>52.17</v>
      </c>
      <c r="BB198" s="34">
        <f t="shared" si="100"/>
        <v>52.17</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1274" t="str">
        <f>面积清单!B188</f>
        <v>7-1912</v>
      </c>
      <c r="D199" s="2217" t="s">
        <v>3658</v>
      </c>
      <c r="E199" s="34">
        <f t="shared" si="119"/>
        <v>21.42</v>
      </c>
      <c r="F199" s="35"/>
      <c r="G199" s="36">
        <f t="shared" si="94"/>
        <v>80.73</v>
      </c>
      <c r="H199" s="37">
        <f t="shared" si="95"/>
        <v>80.73</v>
      </c>
      <c r="I199" s="2218">
        <f>面积清单!E188</f>
        <v>80.73</v>
      </c>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3"/>
      <c r="AV199" s="1798">
        <f t="shared" si="120"/>
        <v>0</v>
      </c>
      <c r="AW199" s="1798">
        <f t="shared" si="121"/>
        <v>0</v>
      </c>
      <c r="AX199" s="1798" t="str">
        <f t="shared" si="122"/>
        <v>7-1912</v>
      </c>
      <c r="AY199" s="41">
        <f t="shared" si="97"/>
        <v>27.71</v>
      </c>
      <c r="AZ199" s="34">
        <f t="shared" si="98"/>
        <v>80.73</v>
      </c>
      <c r="BA199" s="34">
        <f t="shared" si="99"/>
        <v>80.73</v>
      </c>
      <c r="BB199" s="34">
        <f t="shared" si="100"/>
        <v>80.73</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1274" t="str">
        <f>面积清单!B189</f>
        <v>7-1913</v>
      </c>
      <c r="D200" s="2217" t="s">
        <v>3658</v>
      </c>
      <c r="E200" s="34">
        <f t="shared" si="119"/>
        <v>17.52</v>
      </c>
      <c r="F200" s="35"/>
      <c r="G200" s="36">
        <f t="shared" si="94"/>
        <v>66.040000000000006</v>
      </c>
      <c r="H200" s="37">
        <f t="shared" si="95"/>
        <v>66.040000000000006</v>
      </c>
      <c r="I200" s="2218">
        <f>面积清单!E189</f>
        <v>66.040000000000006</v>
      </c>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3"/>
      <c r="AV200" s="1798">
        <f t="shared" si="120"/>
        <v>0</v>
      </c>
      <c r="AW200" s="1798">
        <f t="shared" si="121"/>
        <v>0</v>
      </c>
      <c r="AX200" s="1798" t="str">
        <f t="shared" si="122"/>
        <v>7-1913</v>
      </c>
      <c r="AY200" s="41">
        <f t="shared" si="97"/>
        <v>22.67</v>
      </c>
      <c r="AZ200" s="34">
        <f t="shared" si="98"/>
        <v>66.040000000000006</v>
      </c>
      <c r="BA200" s="34">
        <f t="shared" si="99"/>
        <v>66.040000000000006</v>
      </c>
      <c r="BB200" s="34">
        <f t="shared" si="100"/>
        <v>66.040000000000006</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1274" t="str">
        <f>面积清单!B190</f>
        <v>7-1914</v>
      </c>
      <c r="D201" s="2217" t="s">
        <v>3658</v>
      </c>
      <c r="E201" s="34">
        <f t="shared" si="119"/>
        <v>17.52</v>
      </c>
      <c r="F201" s="35"/>
      <c r="G201" s="36">
        <f t="shared" si="94"/>
        <v>66.040000000000006</v>
      </c>
      <c r="H201" s="37">
        <f t="shared" si="95"/>
        <v>66.040000000000006</v>
      </c>
      <c r="I201" s="2218">
        <f>面积清单!E190</f>
        <v>66.040000000000006</v>
      </c>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3"/>
      <c r="AV201" s="1798">
        <f t="shared" si="120"/>
        <v>0</v>
      </c>
      <c r="AW201" s="1798">
        <f t="shared" si="121"/>
        <v>0</v>
      </c>
      <c r="AX201" s="1798" t="str">
        <f t="shared" si="122"/>
        <v>7-1914</v>
      </c>
      <c r="AY201" s="41">
        <f t="shared" si="97"/>
        <v>22.67</v>
      </c>
      <c r="AZ201" s="34">
        <f t="shared" si="98"/>
        <v>66.040000000000006</v>
      </c>
      <c r="BA201" s="34">
        <f t="shared" si="99"/>
        <v>66.040000000000006</v>
      </c>
      <c r="BB201" s="34">
        <f t="shared" si="100"/>
        <v>66.040000000000006</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1274" t="str">
        <f>面积清单!B191</f>
        <v>7-1915</v>
      </c>
      <c r="D202" s="2217" t="s">
        <v>3658</v>
      </c>
      <c r="E202" s="34">
        <f t="shared" si="119"/>
        <v>21.42</v>
      </c>
      <c r="F202" s="35"/>
      <c r="G202" s="36">
        <f t="shared" si="94"/>
        <v>80.73</v>
      </c>
      <c r="H202" s="37">
        <f t="shared" si="95"/>
        <v>80.73</v>
      </c>
      <c r="I202" s="2218">
        <f>面积清单!E191</f>
        <v>80.73</v>
      </c>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3"/>
      <c r="AV202" s="1798">
        <f t="shared" si="120"/>
        <v>0</v>
      </c>
      <c r="AW202" s="1798">
        <f t="shared" si="121"/>
        <v>0</v>
      </c>
      <c r="AX202" s="1798" t="str">
        <f t="shared" si="122"/>
        <v>7-1915</v>
      </c>
      <c r="AY202" s="41">
        <f t="shared" si="97"/>
        <v>27.71</v>
      </c>
      <c r="AZ202" s="34">
        <f t="shared" si="98"/>
        <v>80.73</v>
      </c>
      <c r="BA202" s="34">
        <f t="shared" si="99"/>
        <v>80.73</v>
      </c>
      <c r="BB202" s="34">
        <f t="shared" si="100"/>
        <v>80.73</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1274" t="str">
        <f>面积清单!B192</f>
        <v>7-1916</v>
      </c>
      <c r="D203" s="2217" t="s">
        <v>3658</v>
      </c>
      <c r="E203" s="34">
        <f t="shared" si="119"/>
        <v>13.84</v>
      </c>
      <c r="F203" s="35"/>
      <c r="G203" s="36">
        <f t="shared" si="94"/>
        <v>52.17</v>
      </c>
      <c r="H203" s="37">
        <f t="shared" si="95"/>
        <v>52.17</v>
      </c>
      <c r="I203" s="2218">
        <f>面积清单!E192</f>
        <v>52.17</v>
      </c>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3"/>
      <c r="AV203" s="1798">
        <f t="shared" si="120"/>
        <v>0</v>
      </c>
      <c r="AW203" s="1798">
        <f t="shared" si="121"/>
        <v>0</v>
      </c>
      <c r="AX203" s="1798" t="str">
        <f t="shared" si="122"/>
        <v>7-1916</v>
      </c>
      <c r="AY203" s="41">
        <f t="shared" si="97"/>
        <v>17.91</v>
      </c>
      <c r="AZ203" s="34">
        <f t="shared" si="98"/>
        <v>52.17</v>
      </c>
      <c r="BA203" s="34">
        <f t="shared" si="99"/>
        <v>52.17</v>
      </c>
      <c r="BB203" s="34">
        <f t="shared" si="100"/>
        <v>52.17</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1274" t="str">
        <f>面积清单!B193</f>
        <v>7-1917</v>
      </c>
      <c r="D204" s="2217" t="s">
        <v>3658</v>
      </c>
      <c r="E204" s="34">
        <f t="shared" si="119"/>
        <v>13.84</v>
      </c>
      <c r="F204" s="35"/>
      <c r="G204" s="36">
        <f t="shared" si="94"/>
        <v>52.17</v>
      </c>
      <c r="H204" s="37">
        <f t="shared" si="95"/>
        <v>52.17</v>
      </c>
      <c r="I204" s="2218">
        <f>面积清单!E193</f>
        <v>52.17</v>
      </c>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3"/>
      <c r="AV204" s="1798">
        <f t="shared" si="120"/>
        <v>0</v>
      </c>
      <c r="AW204" s="1798">
        <f t="shared" si="121"/>
        <v>0</v>
      </c>
      <c r="AX204" s="1798" t="str">
        <f t="shared" si="122"/>
        <v>7-1917</v>
      </c>
      <c r="AY204" s="41">
        <f t="shared" si="97"/>
        <v>17.91</v>
      </c>
      <c r="AZ204" s="34">
        <f t="shared" si="98"/>
        <v>52.17</v>
      </c>
      <c r="BA204" s="34">
        <f t="shared" si="99"/>
        <v>52.17</v>
      </c>
      <c r="BB204" s="34">
        <f t="shared" si="100"/>
        <v>52.17</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1274" t="str">
        <f>面积清单!B194</f>
        <v>7-1918</v>
      </c>
      <c r="D205" s="2217" t="s">
        <v>3658</v>
      </c>
      <c r="E205" s="34">
        <f t="shared" si="119"/>
        <v>13.84</v>
      </c>
      <c r="F205" s="43"/>
      <c r="G205" s="36">
        <f t="shared" si="94"/>
        <v>52.17</v>
      </c>
      <c r="H205" s="37">
        <f t="shared" si="95"/>
        <v>52.17</v>
      </c>
      <c r="I205" s="2218">
        <f>面积清单!E194</f>
        <v>52.17</v>
      </c>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8"/>
      <c r="AV205" s="1798">
        <f t="shared" si="120"/>
        <v>0</v>
      </c>
      <c r="AW205" s="1798">
        <f t="shared" si="121"/>
        <v>0</v>
      </c>
      <c r="AX205" s="1798" t="str">
        <f t="shared" si="122"/>
        <v>7-1918</v>
      </c>
      <c r="AY205" s="41">
        <f t="shared" si="97"/>
        <v>17.91</v>
      </c>
      <c r="AZ205" s="34">
        <f t="shared" si="98"/>
        <v>52.17</v>
      </c>
      <c r="BA205" s="34">
        <f t="shared" si="99"/>
        <v>52.17</v>
      </c>
      <c r="BB205" s="34">
        <f t="shared" si="100"/>
        <v>52.17</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1274" t="str">
        <f>面积清单!B195</f>
        <v>7-1919</v>
      </c>
      <c r="D206" s="2217" t="s">
        <v>3658</v>
      </c>
      <c r="E206" s="34">
        <f t="shared" si="119"/>
        <v>13.84</v>
      </c>
      <c r="F206" s="43"/>
      <c r="G206" s="36">
        <f>H206+AC206+AT206</f>
        <v>52.17</v>
      </c>
      <c r="H206" s="37">
        <f>SUMIF(I$12:AB$12,"总值",I206:AB206)</f>
        <v>52.17</v>
      </c>
      <c r="I206" s="2218">
        <f>面积清单!E195</f>
        <v>52.17</v>
      </c>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8"/>
      <c r="AV206" s="1798">
        <f t="shared" si="120"/>
        <v>0</v>
      </c>
      <c r="AW206" s="1798">
        <f t="shared" si="121"/>
        <v>0</v>
      </c>
      <c r="AX206" s="1798" t="str">
        <f t="shared" si="122"/>
        <v>7-1919</v>
      </c>
      <c r="AY206" s="41">
        <f>ROUND($AY$6*AZ206/$AZ$5,2)</f>
        <v>17.91</v>
      </c>
      <c r="AZ206" s="34">
        <f>BA206+BL206</f>
        <v>52.17</v>
      </c>
      <c r="BA206" s="34">
        <f>SUM(BB206:BK206)</f>
        <v>52.17</v>
      </c>
      <c r="BB206" s="34">
        <f t="shared" si="100"/>
        <v>52.17</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1274" t="str">
        <f>面积清单!B196</f>
        <v>7-1920</v>
      </c>
      <c r="D207" s="2217" t="s">
        <v>3658</v>
      </c>
      <c r="E207" s="34">
        <f t="shared" si="119"/>
        <v>13.84</v>
      </c>
      <c r="F207" s="43"/>
      <c r="G207" s="36">
        <f>H207+AC207+AT207</f>
        <v>52.17</v>
      </c>
      <c r="H207" s="37">
        <f>SUMIF(I$12:AB$12,"总值",I207:AB207)</f>
        <v>52.17</v>
      </c>
      <c r="I207" s="2218">
        <f>面积清单!E196</f>
        <v>52.17</v>
      </c>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8"/>
      <c r="AV207" s="1798">
        <f t="shared" si="120"/>
        <v>0</v>
      </c>
      <c r="AW207" s="1798">
        <f t="shared" si="121"/>
        <v>0</v>
      </c>
      <c r="AX207" s="1798" t="str">
        <f t="shared" si="122"/>
        <v>7-1920</v>
      </c>
      <c r="AY207" s="41">
        <f>ROUND($AY$6*AZ207/$AZ$5,2)</f>
        <v>17.91</v>
      </c>
      <c r="AZ207" s="34">
        <f>BA207+BL207</f>
        <v>52.17</v>
      </c>
      <c r="BA207" s="34">
        <f>SUM(BB207:BK207)</f>
        <v>52.17</v>
      </c>
      <c r="BB207" s="34">
        <f t="shared" si="100"/>
        <v>52.17</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1274" t="str">
        <f>面积清单!B197</f>
        <v>7-1921</v>
      </c>
      <c r="D208" s="2217" t="s">
        <v>3658</v>
      </c>
      <c r="E208" s="34">
        <f t="shared" ref="E208:E302" si="123">IF($C$3="是",ROUND($A$3*G208/$B$3,2),ROUND($A$3*(G208-AT208)/$B$3,2))</f>
        <v>13.84</v>
      </c>
      <c r="F208" s="35"/>
      <c r="G208" s="36">
        <f t="shared" ref="G208:G299" si="124">H208+AC208+AT208</f>
        <v>52.17</v>
      </c>
      <c r="H208" s="37">
        <f t="shared" ref="H208:H299" si="125">SUMIF(I$12:AB$12,"总值",I208:AB208)</f>
        <v>52.17</v>
      </c>
      <c r="I208" s="2218">
        <f>面积清单!E197</f>
        <v>52.17</v>
      </c>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3"/>
      <c r="AV208" s="1798">
        <f t="shared" ref="AV208:AV302" si="127">A208</f>
        <v>0</v>
      </c>
      <c r="AW208" s="1798">
        <f t="shared" ref="AW208:AW302" si="128">B208</f>
        <v>0</v>
      </c>
      <c r="AX208" s="1798" t="str">
        <f t="shared" ref="AX208:AX302" si="129">C208</f>
        <v>7-1921</v>
      </c>
      <c r="AY208" s="41">
        <f t="shared" ref="AY208:AY299" si="130">ROUND($AY$6*AZ208/$AZ$5,2)</f>
        <v>17.91</v>
      </c>
      <c r="AZ208" s="34">
        <f t="shared" ref="AZ208:AZ299" si="131">BA208+BL208</f>
        <v>52.17</v>
      </c>
      <c r="BA208" s="34">
        <f t="shared" ref="BA208:BA299" si="132">SUM(BB208:BK208)</f>
        <v>52.17</v>
      </c>
      <c r="BB208" s="34">
        <f t="shared" ref="BB208:BB299" si="133">IF($D208="是",I208-J208,0)</f>
        <v>52.17</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1274" t="str">
        <f>面积清单!B198</f>
        <v>7-1922</v>
      </c>
      <c r="D209" s="2217" t="s">
        <v>3658</v>
      </c>
      <c r="E209" s="34">
        <f t="shared" si="123"/>
        <v>13.84</v>
      </c>
      <c r="F209" s="35"/>
      <c r="G209" s="36">
        <f t="shared" si="124"/>
        <v>52.17</v>
      </c>
      <c r="H209" s="37">
        <f t="shared" si="125"/>
        <v>52.17</v>
      </c>
      <c r="I209" s="2218">
        <f>面积清单!E198</f>
        <v>52.17</v>
      </c>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3"/>
      <c r="AV209" s="1798">
        <f t="shared" si="127"/>
        <v>0</v>
      </c>
      <c r="AW209" s="1798">
        <f t="shared" si="128"/>
        <v>0</v>
      </c>
      <c r="AX209" s="1798" t="str">
        <f t="shared" si="129"/>
        <v>7-1922</v>
      </c>
      <c r="AY209" s="41">
        <f t="shared" si="130"/>
        <v>17.91</v>
      </c>
      <c r="AZ209" s="34">
        <f t="shared" si="131"/>
        <v>52.17</v>
      </c>
      <c r="BA209" s="34">
        <f t="shared" si="132"/>
        <v>52.17</v>
      </c>
      <c r="BB209" s="34">
        <f t="shared" si="133"/>
        <v>52.17</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1274" t="str">
        <f>面积清单!B199</f>
        <v>7-1923</v>
      </c>
      <c r="D210" s="2217" t="s">
        <v>3658</v>
      </c>
      <c r="E210" s="34">
        <f t="shared" si="123"/>
        <v>13.84</v>
      </c>
      <c r="F210" s="35"/>
      <c r="G210" s="36">
        <f t="shared" si="124"/>
        <v>52.17</v>
      </c>
      <c r="H210" s="37">
        <f t="shared" si="125"/>
        <v>52.17</v>
      </c>
      <c r="I210" s="2218">
        <f>面积清单!E199</f>
        <v>52.17</v>
      </c>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3"/>
      <c r="AV210" s="1798">
        <f t="shared" si="127"/>
        <v>0</v>
      </c>
      <c r="AW210" s="1798">
        <f t="shared" si="128"/>
        <v>0</v>
      </c>
      <c r="AX210" s="1798" t="str">
        <f t="shared" si="129"/>
        <v>7-1923</v>
      </c>
      <c r="AY210" s="41">
        <f t="shared" si="130"/>
        <v>17.91</v>
      </c>
      <c r="AZ210" s="34">
        <f t="shared" si="131"/>
        <v>52.17</v>
      </c>
      <c r="BA210" s="34">
        <f t="shared" si="132"/>
        <v>52.17</v>
      </c>
      <c r="BB210" s="34">
        <f t="shared" si="133"/>
        <v>52.17</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1274" t="str">
        <f>面积清单!B200</f>
        <v>7-1924</v>
      </c>
      <c r="D211" s="2217" t="s">
        <v>3658</v>
      </c>
      <c r="E211" s="34">
        <f t="shared" si="123"/>
        <v>13.84</v>
      </c>
      <c r="F211" s="35"/>
      <c r="G211" s="36">
        <f t="shared" si="124"/>
        <v>52.17</v>
      </c>
      <c r="H211" s="37">
        <f t="shared" si="125"/>
        <v>52.17</v>
      </c>
      <c r="I211" s="2218">
        <f>面积清单!E200</f>
        <v>52.17</v>
      </c>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3"/>
      <c r="AV211" s="1798">
        <f t="shared" si="127"/>
        <v>0</v>
      </c>
      <c r="AW211" s="1798">
        <f t="shared" si="128"/>
        <v>0</v>
      </c>
      <c r="AX211" s="1798" t="str">
        <f t="shared" si="129"/>
        <v>7-1924</v>
      </c>
      <c r="AY211" s="41">
        <f t="shared" si="130"/>
        <v>17.91</v>
      </c>
      <c r="AZ211" s="34">
        <f t="shared" si="131"/>
        <v>52.17</v>
      </c>
      <c r="BA211" s="34">
        <f t="shared" si="132"/>
        <v>52.17</v>
      </c>
      <c r="BB211" s="34">
        <f t="shared" si="133"/>
        <v>52.17</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1274" t="str">
        <f>面积清单!B201</f>
        <v>7-1925</v>
      </c>
      <c r="D212" s="2217" t="s">
        <v>3658</v>
      </c>
      <c r="E212" s="34">
        <f t="shared" si="123"/>
        <v>13.84</v>
      </c>
      <c r="F212" s="35"/>
      <c r="G212" s="36">
        <f t="shared" si="124"/>
        <v>52.17</v>
      </c>
      <c r="H212" s="37">
        <f t="shared" si="125"/>
        <v>52.17</v>
      </c>
      <c r="I212" s="2218">
        <f>面积清单!E201</f>
        <v>52.17</v>
      </c>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3"/>
      <c r="AV212" s="1798">
        <f t="shared" si="127"/>
        <v>0</v>
      </c>
      <c r="AW212" s="1798">
        <f t="shared" si="128"/>
        <v>0</v>
      </c>
      <c r="AX212" s="1798" t="str">
        <f t="shared" si="129"/>
        <v>7-1925</v>
      </c>
      <c r="AY212" s="41">
        <f t="shared" si="130"/>
        <v>17.91</v>
      </c>
      <c r="AZ212" s="34">
        <f t="shared" si="131"/>
        <v>52.17</v>
      </c>
      <c r="BA212" s="34">
        <f t="shared" si="132"/>
        <v>52.17</v>
      </c>
      <c r="BB212" s="34">
        <f t="shared" si="133"/>
        <v>52.17</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1274" t="str">
        <f>面积清单!B202</f>
        <v>7-1926</v>
      </c>
      <c r="D213" s="2217" t="s">
        <v>3658</v>
      </c>
      <c r="E213" s="34">
        <f t="shared" si="123"/>
        <v>21.42</v>
      </c>
      <c r="F213" s="35"/>
      <c r="G213" s="36">
        <f t="shared" si="124"/>
        <v>80.73</v>
      </c>
      <c r="H213" s="37">
        <f t="shared" si="125"/>
        <v>80.73</v>
      </c>
      <c r="I213" s="2218">
        <f>面积清单!E202</f>
        <v>80.73</v>
      </c>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3"/>
      <c r="AV213" s="1798">
        <f t="shared" si="127"/>
        <v>0</v>
      </c>
      <c r="AW213" s="1798">
        <f t="shared" si="128"/>
        <v>0</v>
      </c>
      <c r="AX213" s="1798" t="str">
        <f t="shared" si="129"/>
        <v>7-1926</v>
      </c>
      <c r="AY213" s="41">
        <f t="shared" si="130"/>
        <v>27.71</v>
      </c>
      <c r="AZ213" s="34">
        <f t="shared" si="131"/>
        <v>80.73</v>
      </c>
      <c r="BA213" s="34">
        <f t="shared" si="132"/>
        <v>80.73</v>
      </c>
      <c r="BB213" s="34">
        <f t="shared" si="133"/>
        <v>80.73</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1274" t="str">
        <f>面积清单!B203</f>
        <v>7-1927</v>
      </c>
      <c r="D214" s="2217" t="s">
        <v>3658</v>
      </c>
      <c r="E214" s="34">
        <f t="shared" si="123"/>
        <v>24.7</v>
      </c>
      <c r="F214" s="35"/>
      <c r="G214" s="36">
        <f t="shared" si="124"/>
        <v>93.08</v>
      </c>
      <c r="H214" s="37">
        <f t="shared" si="125"/>
        <v>93.08</v>
      </c>
      <c r="I214" s="2218">
        <f>面积清单!E203</f>
        <v>93.08</v>
      </c>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3"/>
      <c r="AV214" s="1798">
        <f t="shared" si="127"/>
        <v>0</v>
      </c>
      <c r="AW214" s="1798">
        <f t="shared" si="128"/>
        <v>0</v>
      </c>
      <c r="AX214" s="1798" t="str">
        <f t="shared" si="129"/>
        <v>7-1927</v>
      </c>
      <c r="AY214" s="41">
        <f t="shared" si="130"/>
        <v>31.95</v>
      </c>
      <c r="AZ214" s="34">
        <f t="shared" si="131"/>
        <v>93.08</v>
      </c>
      <c r="BA214" s="34">
        <f t="shared" si="132"/>
        <v>93.08</v>
      </c>
      <c r="BB214" s="34">
        <f t="shared" si="133"/>
        <v>93.08</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1274" t="str">
        <f>面积清单!B204</f>
        <v>7-1928</v>
      </c>
      <c r="D215" s="2217" t="s">
        <v>3658</v>
      </c>
      <c r="E215" s="34">
        <f t="shared" si="123"/>
        <v>24.7</v>
      </c>
      <c r="F215" s="35"/>
      <c r="G215" s="36">
        <f t="shared" si="124"/>
        <v>93.08</v>
      </c>
      <c r="H215" s="37">
        <f t="shared" si="125"/>
        <v>93.08</v>
      </c>
      <c r="I215" s="2218">
        <f>面积清单!E204</f>
        <v>93.08</v>
      </c>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3"/>
      <c r="AV215" s="1798">
        <f t="shared" si="127"/>
        <v>0</v>
      </c>
      <c r="AW215" s="1798">
        <f t="shared" si="128"/>
        <v>0</v>
      </c>
      <c r="AX215" s="1798" t="str">
        <f t="shared" si="129"/>
        <v>7-1928</v>
      </c>
      <c r="AY215" s="41">
        <f t="shared" si="130"/>
        <v>31.95</v>
      </c>
      <c r="AZ215" s="34">
        <f t="shared" si="131"/>
        <v>93.08</v>
      </c>
      <c r="BA215" s="34">
        <f t="shared" si="132"/>
        <v>93.08</v>
      </c>
      <c r="BB215" s="34">
        <f t="shared" si="133"/>
        <v>93.08</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1274" t="str">
        <f>面积清单!B205</f>
        <v>7-2001</v>
      </c>
      <c r="D216" s="2217" t="s">
        <v>3658</v>
      </c>
      <c r="E216" s="34">
        <f t="shared" si="123"/>
        <v>21.42</v>
      </c>
      <c r="F216" s="35"/>
      <c r="G216" s="36">
        <f t="shared" si="124"/>
        <v>80.73</v>
      </c>
      <c r="H216" s="37">
        <f t="shared" si="125"/>
        <v>80.73</v>
      </c>
      <c r="I216" s="2218">
        <f>面积清单!E205</f>
        <v>80.73</v>
      </c>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3"/>
      <c r="AV216" s="1798">
        <f t="shared" si="127"/>
        <v>0</v>
      </c>
      <c r="AW216" s="1798">
        <f t="shared" si="128"/>
        <v>0</v>
      </c>
      <c r="AX216" s="1798" t="str">
        <f t="shared" si="129"/>
        <v>7-2001</v>
      </c>
      <c r="AY216" s="41">
        <f t="shared" si="130"/>
        <v>27.71</v>
      </c>
      <c r="AZ216" s="34">
        <f t="shared" si="131"/>
        <v>80.73</v>
      </c>
      <c r="BA216" s="34">
        <f t="shared" si="132"/>
        <v>80.73</v>
      </c>
      <c r="BB216" s="34">
        <f t="shared" si="133"/>
        <v>80.73</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1274" t="str">
        <f>面积清单!B206</f>
        <v>7-2002</v>
      </c>
      <c r="D217" s="2217" t="s">
        <v>3658</v>
      </c>
      <c r="E217" s="34">
        <f t="shared" si="123"/>
        <v>13.84</v>
      </c>
      <c r="F217" s="35"/>
      <c r="G217" s="36">
        <f t="shared" si="124"/>
        <v>52.17</v>
      </c>
      <c r="H217" s="37">
        <f t="shared" si="125"/>
        <v>52.17</v>
      </c>
      <c r="I217" s="2218">
        <f>面积清单!E206</f>
        <v>52.17</v>
      </c>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3"/>
      <c r="AV217" s="1798">
        <f t="shared" si="127"/>
        <v>0</v>
      </c>
      <c r="AW217" s="1798">
        <f t="shared" si="128"/>
        <v>0</v>
      </c>
      <c r="AX217" s="1798" t="str">
        <f t="shared" si="129"/>
        <v>7-2002</v>
      </c>
      <c r="AY217" s="41">
        <f t="shared" si="130"/>
        <v>17.91</v>
      </c>
      <c r="AZ217" s="34">
        <f t="shared" si="131"/>
        <v>52.17</v>
      </c>
      <c r="BA217" s="34">
        <f t="shared" si="132"/>
        <v>52.17</v>
      </c>
      <c r="BB217" s="34">
        <f t="shared" si="133"/>
        <v>52.17</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1274" t="str">
        <f>面积清单!B207</f>
        <v>7-2003</v>
      </c>
      <c r="D218" s="2217" t="s">
        <v>3658</v>
      </c>
      <c r="E218" s="34">
        <f t="shared" si="123"/>
        <v>13.84</v>
      </c>
      <c r="F218" s="35"/>
      <c r="G218" s="36">
        <f t="shared" si="124"/>
        <v>52.17</v>
      </c>
      <c r="H218" s="37">
        <f t="shared" si="125"/>
        <v>52.17</v>
      </c>
      <c r="I218" s="2218">
        <f>面积清单!E207</f>
        <v>52.17</v>
      </c>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3"/>
      <c r="AV218" s="1798">
        <f t="shared" si="127"/>
        <v>0</v>
      </c>
      <c r="AW218" s="1798">
        <f t="shared" si="128"/>
        <v>0</v>
      </c>
      <c r="AX218" s="1798" t="str">
        <f t="shared" si="129"/>
        <v>7-2003</v>
      </c>
      <c r="AY218" s="41">
        <f t="shared" si="130"/>
        <v>17.91</v>
      </c>
      <c r="AZ218" s="34">
        <f t="shared" si="131"/>
        <v>52.17</v>
      </c>
      <c r="BA218" s="34">
        <f t="shared" si="132"/>
        <v>52.17</v>
      </c>
      <c r="BB218" s="34">
        <f t="shared" si="133"/>
        <v>52.17</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1274" t="str">
        <f>面积清单!B208</f>
        <v>7-2004</v>
      </c>
      <c r="D219" s="2217" t="s">
        <v>3658</v>
      </c>
      <c r="E219" s="34">
        <f t="shared" si="123"/>
        <v>13.84</v>
      </c>
      <c r="F219" s="35"/>
      <c r="G219" s="36">
        <f t="shared" si="124"/>
        <v>52.17</v>
      </c>
      <c r="H219" s="37">
        <f t="shared" si="125"/>
        <v>52.17</v>
      </c>
      <c r="I219" s="2218">
        <f>面积清单!E208</f>
        <v>52.17</v>
      </c>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3"/>
      <c r="AV219" s="1798">
        <f t="shared" si="127"/>
        <v>0</v>
      </c>
      <c r="AW219" s="1798">
        <f t="shared" si="128"/>
        <v>0</v>
      </c>
      <c r="AX219" s="1798" t="str">
        <f t="shared" si="129"/>
        <v>7-2004</v>
      </c>
      <c r="AY219" s="41">
        <f t="shared" si="130"/>
        <v>17.91</v>
      </c>
      <c r="AZ219" s="34">
        <f t="shared" si="131"/>
        <v>52.17</v>
      </c>
      <c r="BA219" s="34">
        <f t="shared" si="132"/>
        <v>52.17</v>
      </c>
      <c r="BB219" s="34">
        <f t="shared" si="133"/>
        <v>52.17</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1274" t="str">
        <f>面积清单!B209</f>
        <v>7-2005</v>
      </c>
      <c r="D220" s="2217" t="s">
        <v>3658</v>
      </c>
      <c r="E220" s="34">
        <f t="shared" si="123"/>
        <v>13.84</v>
      </c>
      <c r="F220" s="35"/>
      <c r="G220" s="36">
        <f t="shared" si="124"/>
        <v>52.17</v>
      </c>
      <c r="H220" s="37">
        <f t="shared" si="125"/>
        <v>52.17</v>
      </c>
      <c r="I220" s="2218">
        <f>面积清单!E209</f>
        <v>52.17</v>
      </c>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3"/>
      <c r="AV220" s="1798">
        <f t="shared" si="127"/>
        <v>0</v>
      </c>
      <c r="AW220" s="1798">
        <f t="shared" si="128"/>
        <v>0</v>
      </c>
      <c r="AX220" s="1798" t="str">
        <f t="shared" si="129"/>
        <v>7-2005</v>
      </c>
      <c r="AY220" s="41">
        <f t="shared" si="130"/>
        <v>17.91</v>
      </c>
      <c r="AZ220" s="34">
        <f t="shared" si="131"/>
        <v>52.17</v>
      </c>
      <c r="BA220" s="34">
        <f t="shared" si="132"/>
        <v>52.17</v>
      </c>
      <c r="BB220" s="34">
        <f t="shared" si="133"/>
        <v>52.17</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1274" t="str">
        <f>面积清单!B210</f>
        <v>7-2006</v>
      </c>
      <c r="D221" s="2217" t="s">
        <v>3658</v>
      </c>
      <c r="E221" s="34">
        <f t="shared" si="123"/>
        <v>13.84</v>
      </c>
      <c r="F221" s="35"/>
      <c r="G221" s="36">
        <f t="shared" si="124"/>
        <v>52.17</v>
      </c>
      <c r="H221" s="37">
        <f t="shared" si="125"/>
        <v>52.17</v>
      </c>
      <c r="I221" s="2218">
        <f>面积清单!E210</f>
        <v>52.17</v>
      </c>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3"/>
      <c r="AV221" s="1798">
        <f t="shared" si="127"/>
        <v>0</v>
      </c>
      <c r="AW221" s="1798">
        <f t="shared" si="128"/>
        <v>0</v>
      </c>
      <c r="AX221" s="1798" t="str">
        <f t="shared" si="129"/>
        <v>7-2006</v>
      </c>
      <c r="AY221" s="41">
        <f t="shared" si="130"/>
        <v>17.91</v>
      </c>
      <c r="AZ221" s="34">
        <f t="shared" si="131"/>
        <v>52.17</v>
      </c>
      <c r="BA221" s="34">
        <f t="shared" si="132"/>
        <v>52.17</v>
      </c>
      <c r="BB221" s="34">
        <f t="shared" si="133"/>
        <v>52.17</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1274" t="str">
        <f>面积清单!B211</f>
        <v>7-2007</v>
      </c>
      <c r="D222" s="2217" t="s">
        <v>3658</v>
      </c>
      <c r="E222" s="34">
        <f t="shared" si="123"/>
        <v>13.84</v>
      </c>
      <c r="F222" s="35"/>
      <c r="G222" s="36">
        <f t="shared" si="124"/>
        <v>52.17</v>
      </c>
      <c r="H222" s="37">
        <f t="shared" si="125"/>
        <v>52.17</v>
      </c>
      <c r="I222" s="2218">
        <f>面积清单!E211</f>
        <v>52.17</v>
      </c>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3"/>
      <c r="AV222" s="1798">
        <f t="shared" si="127"/>
        <v>0</v>
      </c>
      <c r="AW222" s="1798">
        <f t="shared" si="128"/>
        <v>0</v>
      </c>
      <c r="AX222" s="1798" t="str">
        <f t="shared" si="129"/>
        <v>7-2007</v>
      </c>
      <c r="AY222" s="41">
        <f t="shared" si="130"/>
        <v>17.91</v>
      </c>
      <c r="AZ222" s="34">
        <f t="shared" si="131"/>
        <v>52.17</v>
      </c>
      <c r="BA222" s="34">
        <f t="shared" si="132"/>
        <v>52.17</v>
      </c>
      <c r="BB222" s="34">
        <f t="shared" si="133"/>
        <v>52.17</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1274" t="str">
        <f>面积清单!B212</f>
        <v>7-2008</v>
      </c>
      <c r="D223" s="2217" t="s">
        <v>3658</v>
      </c>
      <c r="E223" s="34">
        <f t="shared" si="123"/>
        <v>13.84</v>
      </c>
      <c r="F223" s="35"/>
      <c r="G223" s="36">
        <f t="shared" si="124"/>
        <v>52.17</v>
      </c>
      <c r="H223" s="37">
        <f t="shared" si="125"/>
        <v>52.17</v>
      </c>
      <c r="I223" s="2218">
        <f>面积清单!E212</f>
        <v>52.17</v>
      </c>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3"/>
      <c r="AV223" s="1798">
        <f t="shared" si="127"/>
        <v>0</v>
      </c>
      <c r="AW223" s="1798">
        <f t="shared" si="128"/>
        <v>0</v>
      </c>
      <c r="AX223" s="1798" t="str">
        <f t="shared" si="129"/>
        <v>7-2008</v>
      </c>
      <c r="AY223" s="41">
        <f t="shared" si="130"/>
        <v>17.91</v>
      </c>
      <c r="AZ223" s="34">
        <f t="shared" si="131"/>
        <v>52.17</v>
      </c>
      <c r="BA223" s="34">
        <f t="shared" si="132"/>
        <v>52.17</v>
      </c>
      <c r="BB223" s="34">
        <f t="shared" si="133"/>
        <v>52.17</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1274" t="str">
        <f>面积清单!B213</f>
        <v>7-2009</v>
      </c>
      <c r="D224" s="2217" t="s">
        <v>3658</v>
      </c>
      <c r="E224" s="34">
        <f t="shared" si="123"/>
        <v>13.84</v>
      </c>
      <c r="F224" s="35"/>
      <c r="G224" s="36">
        <f t="shared" si="124"/>
        <v>52.17</v>
      </c>
      <c r="H224" s="37">
        <f t="shared" si="125"/>
        <v>52.17</v>
      </c>
      <c r="I224" s="2218">
        <f>面积清单!E213</f>
        <v>52.17</v>
      </c>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3"/>
      <c r="AV224" s="1798">
        <f t="shared" si="127"/>
        <v>0</v>
      </c>
      <c r="AW224" s="1798">
        <f t="shared" si="128"/>
        <v>0</v>
      </c>
      <c r="AX224" s="1798" t="str">
        <f t="shared" si="129"/>
        <v>7-2009</v>
      </c>
      <c r="AY224" s="41">
        <f t="shared" si="130"/>
        <v>17.91</v>
      </c>
      <c r="AZ224" s="34">
        <f t="shared" si="131"/>
        <v>52.17</v>
      </c>
      <c r="BA224" s="34">
        <f t="shared" si="132"/>
        <v>52.17</v>
      </c>
      <c r="BB224" s="34">
        <f t="shared" si="133"/>
        <v>52.17</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1274" t="str">
        <f>面积清单!B214</f>
        <v>7-2010</v>
      </c>
      <c r="D225" s="2217" t="s">
        <v>3658</v>
      </c>
      <c r="E225" s="34">
        <f t="shared" si="123"/>
        <v>13.84</v>
      </c>
      <c r="F225" s="35"/>
      <c r="G225" s="36">
        <f t="shared" si="124"/>
        <v>52.17</v>
      </c>
      <c r="H225" s="37">
        <f t="shared" si="125"/>
        <v>52.17</v>
      </c>
      <c r="I225" s="2218">
        <f>面积清单!E214</f>
        <v>52.17</v>
      </c>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3"/>
      <c r="AV225" s="1798">
        <f t="shared" si="127"/>
        <v>0</v>
      </c>
      <c r="AW225" s="1798">
        <f t="shared" si="128"/>
        <v>0</v>
      </c>
      <c r="AX225" s="1798" t="str">
        <f t="shared" si="129"/>
        <v>7-2010</v>
      </c>
      <c r="AY225" s="41">
        <f t="shared" si="130"/>
        <v>17.91</v>
      </c>
      <c r="AZ225" s="34">
        <f t="shared" si="131"/>
        <v>52.17</v>
      </c>
      <c r="BA225" s="34">
        <f t="shared" si="132"/>
        <v>52.17</v>
      </c>
      <c r="BB225" s="34">
        <f t="shared" si="133"/>
        <v>52.17</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1274" t="str">
        <f>面积清单!B215</f>
        <v>7-2011</v>
      </c>
      <c r="D226" s="2217" t="s">
        <v>3658</v>
      </c>
      <c r="E226" s="34">
        <f t="shared" si="123"/>
        <v>13.84</v>
      </c>
      <c r="F226" s="35"/>
      <c r="G226" s="36">
        <f t="shared" si="124"/>
        <v>52.17</v>
      </c>
      <c r="H226" s="37">
        <f t="shared" si="125"/>
        <v>52.17</v>
      </c>
      <c r="I226" s="2218">
        <f>面积清单!E215</f>
        <v>52.17</v>
      </c>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3"/>
      <c r="AV226" s="1798">
        <f t="shared" si="127"/>
        <v>0</v>
      </c>
      <c r="AW226" s="1798">
        <f t="shared" si="128"/>
        <v>0</v>
      </c>
      <c r="AX226" s="1798" t="str">
        <f t="shared" si="129"/>
        <v>7-2011</v>
      </c>
      <c r="AY226" s="41">
        <f t="shared" si="130"/>
        <v>17.91</v>
      </c>
      <c r="AZ226" s="34">
        <f t="shared" si="131"/>
        <v>52.17</v>
      </c>
      <c r="BA226" s="34">
        <f t="shared" si="132"/>
        <v>52.17</v>
      </c>
      <c r="BB226" s="34">
        <f t="shared" si="133"/>
        <v>52.17</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1274" t="str">
        <f>面积清单!B216</f>
        <v>7-2012</v>
      </c>
      <c r="D227" s="2217" t="s">
        <v>3658</v>
      </c>
      <c r="E227" s="34">
        <f t="shared" si="123"/>
        <v>21.42</v>
      </c>
      <c r="F227" s="35"/>
      <c r="G227" s="36">
        <f t="shared" si="124"/>
        <v>80.73</v>
      </c>
      <c r="H227" s="37">
        <f t="shared" si="125"/>
        <v>80.73</v>
      </c>
      <c r="I227" s="2218">
        <f>面积清单!E216</f>
        <v>80.73</v>
      </c>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3"/>
      <c r="AV227" s="1798">
        <f t="shared" si="127"/>
        <v>0</v>
      </c>
      <c r="AW227" s="1798">
        <f t="shared" si="128"/>
        <v>0</v>
      </c>
      <c r="AX227" s="1798" t="str">
        <f t="shared" si="129"/>
        <v>7-2012</v>
      </c>
      <c r="AY227" s="41">
        <f t="shared" si="130"/>
        <v>27.71</v>
      </c>
      <c r="AZ227" s="34">
        <f t="shared" si="131"/>
        <v>80.73</v>
      </c>
      <c r="BA227" s="34">
        <f t="shared" si="132"/>
        <v>80.73</v>
      </c>
      <c r="BB227" s="34">
        <f t="shared" si="133"/>
        <v>80.73</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1274" t="str">
        <f>面积清单!B217</f>
        <v>7-2013</v>
      </c>
      <c r="D228" s="2217" t="s">
        <v>3658</v>
      </c>
      <c r="E228" s="34">
        <f t="shared" si="123"/>
        <v>17.52</v>
      </c>
      <c r="F228" s="35"/>
      <c r="G228" s="36">
        <f t="shared" si="124"/>
        <v>66.040000000000006</v>
      </c>
      <c r="H228" s="37">
        <f t="shared" si="125"/>
        <v>66.040000000000006</v>
      </c>
      <c r="I228" s="2218">
        <f>面积清单!E217</f>
        <v>66.040000000000006</v>
      </c>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3"/>
      <c r="AV228" s="1798">
        <f t="shared" si="127"/>
        <v>0</v>
      </c>
      <c r="AW228" s="1798">
        <f t="shared" si="128"/>
        <v>0</v>
      </c>
      <c r="AX228" s="1798" t="str">
        <f t="shared" si="129"/>
        <v>7-2013</v>
      </c>
      <c r="AY228" s="41">
        <f t="shared" si="130"/>
        <v>22.67</v>
      </c>
      <c r="AZ228" s="34">
        <f t="shared" si="131"/>
        <v>66.040000000000006</v>
      </c>
      <c r="BA228" s="34">
        <f t="shared" si="132"/>
        <v>66.040000000000006</v>
      </c>
      <c r="BB228" s="34">
        <f t="shared" si="133"/>
        <v>66.040000000000006</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1274" t="str">
        <f>面积清单!B218</f>
        <v>7-2014</v>
      </c>
      <c r="D229" s="2217" t="s">
        <v>3658</v>
      </c>
      <c r="E229" s="34">
        <f t="shared" si="123"/>
        <v>17.52</v>
      </c>
      <c r="F229" s="35"/>
      <c r="G229" s="36">
        <f t="shared" si="124"/>
        <v>66.040000000000006</v>
      </c>
      <c r="H229" s="37">
        <f t="shared" si="125"/>
        <v>66.040000000000006</v>
      </c>
      <c r="I229" s="2218">
        <f>面积清单!E218</f>
        <v>66.040000000000006</v>
      </c>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3"/>
      <c r="AV229" s="1798">
        <f t="shared" si="127"/>
        <v>0</v>
      </c>
      <c r="AW229" s="1798">
        <f t="shared" si="128"/>
        <v>0</v>
      </c>
      <c r="AX229" s="1798" t="str">
        <f t="shared" si="129"/>
        <v>7-2014</v>
      </c>
      <c r="AY229" s="41">
        <f t="shared" si="130"/>
        <v>22.67</v>
      </c>
      <c r="AZ229" s="34">
        <f t="shared" si="131"/>
        <v>66.040000000000006</v>
      </c>
      <c r="BA229" s="34">
        <f t="shared" si="132"/>
        <v>66.040000000000006</v>
      </c>
      <c r="BB229" s="34">
        <f t="shared" si="133"/>
        <v>66.040000000000006</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1274" t="str">
        <f>面积清单!B219</f>
        <v>7-2015</v>
      </c>
      <c r="D230" s="2217" t="s">
        <v>3658</v>
      </c>
      <c r="E230" s="34">
        <f t="shared" si="123"/>
        <v>21.42</v>
      </c>
      <c r="F230" s="35"/>
      <c r="G230" s="36">
        <f t="shared" si="124"/>
        <v>80.73</v>
      </c>
      <c r="H230" s="37">
        <f t="shared" si="125"/>
        <v>80.73</v>
      </c>
      <c r="I230" s="2218">
        <f>面积清单!E219</f>
        <v>80.73</v>
      </c>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3"/>
      <c r="AV230" s="1798">
        <f t="shared" si="127"/>
        <v>0</v>
      </c>
      <c r="AW230" s="1798">
        <f t="shared" si="128"/>
        <v>0</v>
      </c>
      <c r="AX230" s="1798" t="str">
        <f t="shared" si="129"/>
        <v>7-2015</v>
      </c>
      <c r="AY230" s="41">
        <f t="shared" si="130"/>
        <v>27.71</v>
      </c>
      <c r="AZ230" s="34">
        <f t="shared" si="131"/>
        <v>80.73</v>
      </c>
      <c r="BA230" s="34">
        <f t="shared" si="132"/>
        <v>80.73</v>
      </c>
      <c r="BB230" s="34">
        <f t="shared" si="133"/>
        <v>80.73</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1274" t="str">
        <f>面积清单!B220</f>
        <v>7-2016</v>
      </c>
      <c r="D231" s="2217" t="s">
        <v>3658</v>
      </c>
      <c r="E231" s="34">
        <f t="shared" si="123"/>
        <v>13.84</v>
      </c>
      <c r="F231" s="35"/>
      <c r="G231" s="36">
        <f t="shared" si="124"/>
        <v>52.17</v>
      </c>
      <c r="H231" s="37">
        <f t="shared" si="125"/>
        <v>52.17</v>
      </c>
      <c r="I231" s="2218">
        <f>面积清单!E220</f>
        <v>52.17</v>
      </c>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3"/>
      <c r="AV231" s="1798">
        <f t="shared" si="127"/>
        <v>0</v>
      </c>
      <c r="AW231" s="1798">
        <f t="shared" si="128"/>
        <v>0</v>
      </c>
      <c r="AX231" s="1798" t="str">
        <f t="shared" si="129"/>
        <v>7-2016</v>
      </c>
      <c r="AY231" s="41">
        <f t="shared" si="130"/>
        <v>17.91</v>
      </c>
      <c r="AZ231" s="34">
        <f t="shared" si="131"/>
        <v>52.17</v>
      </c>
      <c r="BA231" s="34">
        <f t="shared" si="132"/>
        <v>52.17</v>
      </c>
      <c r="BB231" s="34">
        <f t="shared" si="133"/>
        <v>52.17</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1274" t="str">
        <f>面积清单!B221</f>
        <v>7-2017</v>
      </c>
      <c r="D232" s="2217" t="s">
        <v>3658</v>
      </c>
      <c r="E232" s="34">
        <f t="shared" si="123"/>
        <v>13.84</v>
      </c>
      <c r="F232" s="35"/>
      <c r="G232" s="36">
        <f t="shared" si="124"/>
        <v>52.17</v>
      </c>
      <c r="H232" s="37">
        <f t="shared" si="125"/>
        <v>52.17</v>
      </c>
      <c r="I232" s="2218">
        <f>面积清单!E221</f>
        <v>52.17</v>
      </c>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3"/>
      <c r="AV232" s="1798">
        <f t="shared" si="127"/>
        <v>0</v>
      </c>
      <c r="AW232" s="1798">
        <f t="shared" si="128"/>
        <v>0</v>
      </c>
      <c r="AX232" s="1798" t="str">
        <f t="shared" si="129"/>
        <v>7-2017</v>
      </c>
      <c r="AY232" s="41">
        <f t="shared" si="130"/>
        <v>17.91</v>
      </c>
      <c r="AZ232" s="34">
        <f t="shared" si="131"/>
        <v>52.17</v>
      </c>
      <c r="BA232" s="34">
        <f t="shared" si="132"/>
        <v>52.17</v>
      </c>
      <c r="BB232" s="34">
        <f t="shared" si="133"/>
        <v>52.17</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1274" t="str">
        <f>面积清单!B222</f>
        <v>7-2018</v>
      </c>
      <c r="D233" s="2217" t="s">
        <v>3658</v>
      </c>
      <c r="E233" s="34">
        <f t="shared" si="123"/>
        <v>13.84</v>
      </c>
      <c r="F233" s="35"/>
      <c r="G233" s="36">
        <f t="shared" si="124"/>
        <v>52.17</v>
      </c>
      <c r="H233" s="37">
        <f t="shared" si="125"/>
        <v>52.17</v>
      </c>
      <c r="I233" s="2218">
        <f>面积清单!E222</f>
        <v>52.17</v>
      </c>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3"/>
      <c r="AV233" s="1798">
        <f t="shared" si="127"/>
        <v>0</v>
      </c>
      <c r="AW233" s="1798">
        <f t="shared" si="128"/>
        <v>0</v>
      </c>
      <c r="AX233" s="1798" t="str">
        <f t="shared" si="129"/>
        <v>7-2018</v>
      </c>
      <c r="AY233" s="41">
        <f t="shared" si="130"/>
        <v>17.91</v>
      </c>
      <c r="AZ233" s="34">
        <f t="shared" si="131"/>
        <v>52.17</v>
      </c>
      <c r="BA233" s="34">
        <f t="shared" si="132"/>
        <v>52.17</v>
      </c>
      <c r="BB233" s="34">
        <f t="shared" si="133"/>
        <v>52.17</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1274" t="str">
        <f>面积清单!B223</f>
        <v>7-2019</v>
      </c>
      <c r="D234" s="2217" t="s">
        <v>3658</v>
      </c>
      <c r="E234" s="34">
        <f t="shared" si="123"/>
        <v>13.84</v>
      </c>
      <c r="F234" s="35"/>
      <c r="G234" s="36">
        <f t="shared" si="124"/>
        <v>52.17</v>
      </c>
      <c r="H234" s="37">
        <f t="shared" si="125"/>
        <v>52.17</v>
      </c>
      <c r="I234" s="2218">
        <f>面积清单!E223</f>
        <v>52.17</v>
      </c>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3"/>
      <c r="AV234" s="1798">
        <f t="shared" si="127"/>
        <v>0</v>
      </c>
      <c r="AW234" s="1798">
        <f t="shared" si="128"/>
        <v>0</v>
      </c>
      <c r="AX234" s="1798" t="str">
        <f t="shared" si="129"/>
        <v>7-2019</v>
      </c>
      <c r="AY234" s="41">
        <f t="shared" si="130"/>
        <v>17.91</v>
      </c>
      <c r="AZ234" s="34">
        <f t="shared" si="131"/>
        <v>52.17</v>
      </c>
      <c r="BA234" s="34">
        <f t="shared" si="132"/>
        <v>52.17</v>
      </c>
      <c r="BB234" s="34">
        <f t="shared" si="133"/>
        <v>52.17</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1274" t="str">
        <f>面积清单!B224</f>
        <v>7-2020</v>
      </c>
      <c r="D235" s="2217" t="s">
        <v>3658</v>
      </c>
      <c r="E235" s="34">
        <f t="shared" si="123"/>
        <v>13.84</v>
      </c>
      <c r="F235" s="35"/>
      <c r="G235" s="36">
        <f t="shared" si="124"/>
        <v>52.17</v>
      </c>
      <c r="H235" s="37">
        <f t="shared" si="125"/>
        <v>52.17</v>
      </c>
      <c r="I235" s="2218">
        <f>面积清单!E224</f>
        <v>52.17</v>
      </c>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3"/>
      <c r="AV235" s="1798">
        <f t="shared" si="127"/>
        <v>0</v>
      </c>
      <c r="AW235" s="1798">
        <f t="shared" si="128"/>
        <v>0</v>
      </c>
      <c r="AX235" s="1798" t="str">
        <f t="shared" si="129"/>
        <v>7-2020</v>
      </c>
      <c r="AY235" s="41">
        <f t="shared" si="130"/>
        <v>17.91</v>
      </c>
      <c r="AZ235" s="34">
        <f t="shared" si="131"/>
        <v>52.17</v>
      </c>
      <c r="BA235" s="34">
        <f t="shared" si="132"/>
        <v>52.17</v>
      </c>
      <c r="BB235" s="34">
        <f t="shared" si="133"/>
        <v>52.17</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1274" t="str">
        <f>面积清单!B225</f>
        <v>7-2021</v>
      </c>
      <c r="D236" s="2217" t="s">
        <v>3658</v>
      </c>
      <c r="E236" s="34">
        <f t="shared" si="123"/>
        <v>13.84</v>
      </c>
      <c r="F236" s="35"/>
      <c r="G236" s="36">
        <f t="shared" si="124"/>
        <v>52.17</v>
      </c>
      <c r="H236" s="37">
        <f t="shared" si="125"/>
        <v>52.17</v>
      </c>
      <c r="I236" s="2218">
        <f>面积清单!E225</f>
        <v>52.17</v>
      </c>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3"/>
      <c r="AV236" s="1798">
        <f t="shared" si="127"/>
        <v>0</v>
      </c>
      <c r="AW236" s="1798">
        <f t="shared" si="128"/>
        <v>0</v>
      </c>
      <c r="AX236" s="1798" t="str">
        <f t="shared" si="129"/>
        <v>7-2021</v>
      </c>
      <c r="AY236" s="41">
        <f t="shared" si="130"/>
        <v>17.91</v>
      </c>
      <c r="AZ236" s="34">
        <f t="shared" si="131"/>
        <v>52.17</v>
      </c>
      <c r="BA236" s="34">
        <f t="shared" si="132"/>
        <v>52.17</v>
      </c>
      <c r="BB236" s="34">
        <f t="shared" si="133"/>
        <v>52.17</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1274" t="str">
        <f>面积清单!B226</f>
        <v>7-2022</v>
      </c>
      <c r="D237" s="2217" t="s">
        <v>3658</v>
      </c>
      <c r="E237" s="34">
        <f t="shared" si="123"/>
        <v>13.84</v>
      </c>
      <c r="F237" s="35"/>
      <c r="G237" s="36">
        <f t="shared" si="124"/>
        <v>52.17</v>
      </c>
      <c r="H237" s="37">
        <f t="shared" si="125"/>
        <v>52.17</v>
      </c>
      <c r="I237" s="2218">
        <f>面积清单!E226</f>
        <v>52.17</v>
      </c>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3"/>
      <c r="AV237" s="1798">
        <f t="shared" si="127"/>
        <v>0</v>
      </c>
      <c r="AW237" s="1798">
        <f t="shared" si="128"/>
        <v>0</v>
      </c>
      <c r="AX237" s="1798" t="str">
        <f t="shared" si="129"/>
        <v>7-2022</v>
      </c>
      <c r="AY237" s="41">
        <f t="shared" si="130"/>
        <v>17.91</v>
      </c>
      <c r="AZ237" s="34">
        <f t="shared" si="131"/>
        <v>52.17</v>
      </c>
      <c r="BA237" s="34">
        <f t="shared" si="132"/>
        <v>52.17</v>
      </c>
      <c r="BB237" s="34">
        <f t="shared" si="133"/>
        <v>52.17</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1274" t="str">
        <f>面积清单!B227</f>
        <v>7-2023</v>
      </c>
      <c r="D238" s="2217" t="s">
        <v>3658</v>
      </c>
      <c r="E238" s="34">
        <f t="shared" si="123"/>
        <v>13.84</v>
      </c>
      <c r="F238" s="35"/>
      <c r="G238" s="36">
        <f t="shared" si="124"/>
        <v>52.17</v>
      </c>
      <c r="H238" s="37">
        <f t="shared" si="125"/>
        <v>52.17</v>
      </c>
      <c r="I238" s="2218">
        <f>面积清单!E227</f>
        <v>52.17</v>
      </c>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3"/>
      <c r="AV238" s="1798">
        <f t="shared" si="127"/>
        <v>0</v>
      </c>
      <c r="AW238" s="1798">
        <f t="shared" si="128"/>
        <v>0</v>
      </c>
      <c r="AX238" s="1798" t="str">
        <f t="shared" si="129"/>
        <v>7-2023</v>
      </c>
      <c r="AY238" s="41">
        <f t="shared" si="130"/>
        <v>17.91</v>
      </c>
      <c r="AZ238" s="34">
        <f t="shared" si="131"/>
        <v>52.17</v>
      </c>
      <c r="BA238" s="34">
        <f t="shared" si="132"/>
        <v>52.17</v>
      </c>
      <c r="BB238" s="34">
        <f t="shared" si="133"/>
        <v>52.17</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1274" t="str">
        <f>面积清单!B228</f>
        <v>7-2024</v>
      </c>
      <c r="D239" s="2217" t="s">
        <v>3658</v>
      </c>
      <c r="E239" s="34">
        <f t="shared" si="123"/>
        <v>13.84</v>
      </c>
      <c r="F239" s="35"/>
      <c r="G239" s="36">
        <f t="shared" si="124"/>
        <v>52.17</v>
      </c>
      <c r="H239" s="37">
        <f t="shared" si="125"/>
        <v>52.17</v>
      </c>
      <c r="I239" s="2218">
        <f>面积清单!E228</f>
        <v>52.17</v>
      </c>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3"/>
      <c r="AV239" s="1798">
        <f t="shared" si="127"/>
        <v>0</v>
      </c>
      <c r="AW239" s="1798">
        <f t="shared" si="128"/>
        <v>0</v>
      </c>
      <c r="AX239" s="1798" t="str">
        <f t="shared" si="129"/>
        <v>7-2024</v>
      </c>
      <c r="AY239" s="41">
        <f t="shared" si="130"/>
        <v>17.91</v>
      </c>
      <c r="AZ239" s="34">
        <f t="shared" si="131"/>
        <v>52.17</v>
      </c>
      <c r="BA239" s="34">
        <f t="shared" si="132"/>
        <v>52.17</v>
      </c>
      <c r="BB239" s="34">
        <f t="shared" si="133"/>
        <v>52.17</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1274" t="str">
        <f>面积清单!B229</f>
        <v>7-2025</v>
      </c>
      <c r="D240" s="2217" t="s">
        <v>3658</v>
      </c>
      <c r="E240" s="34">
        <f t="shared" si="123"/>
        <v>13.84</v>
      </c>
      <c r="F240" s="35"/>
      <c r="G240" s="36">
        <f t="shared" si="124"/>
        <v>52.17</v>
      </c>
      <c r="H240" s="37">
        <f t="shared" si="125"/>
        <v>52.17</v>
      </c>
      <c r="I240" s="2218">
        <f>面积清单!E229</f>
        <v>52.17</v>
      </c>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3"/>
      <c r="AV240" s="1798">
        <f t="shared" si="127"/>
        <v>0</v>
      </c>
      <c r="AW240" s="1798">
        <f t="shared" si="128"/>
        <v>0</v>
      </c>
      <c r="AX240" s="1798" t="str">
        <f t="shared" si="129"/>
        <v>7-2025</v>
      </c>
      <c r="AY240" s="41">
        <f t="shared" si="130"/>
        <v>17.91</v>
      </c>
      <c r="AZ240" s="34">
        <f t="shared" si="131"/>
        <v>52.17</v>
      </c>
      <c r="BA240" s="34">
        <f t="shared" si="132"/>
        <v>52.17</v>
      </c>
      <c r="BB240" s="34">
        <f t="shared" si="133"/>
        <v>52.17</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1274" t="str">
        <f>面积清单!B230</f>
        <v>7-2026</v>
      </c>
      <c r="D241" s="2217" t="s">
        <v>3658</v>
      </c>
      <c r="E241" s="34">
        <f t="shared" si="123"/>
        <v>21.42</v>
      </c>
      <c r="F241" s="35"/>
      <c r="G241" s="36">
        <f t="shared" si="124"/>
        <v>80.73</v>
      </c>
      <c r="H241" s="37">
        <f t="shared" si="125"/>
        <v>80.73</v>
      </c>
      <c r="I241" s="2218">
        <f>面积清单!E230</f>
        <v>80.73</v>
      </c>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3"/>
      <c r="AV241" s="1798">
        <f t="shared" si="127"/>
        <v>0</v>
      </c>
      <c r="AW241" s="1798">
        <f t="shared" si="128"/>
        <v>0</v>
      </c>
      <c r="AX241" s="1798" t="str">
        <f t="shared" si="129"/>
        <v>7-2026</v>
      </c>
      <c r="AY241" s="41">
        <f t="shared" si="130"/>
        <v>27.71</v>
      </c>
      <c r="AZ241" s="34">
        <f t="shared" si="131"/>
        <v>80.73</v>
      </c>
      <c r="BA241" s="34">
        <f t="shared" si="132"/>
        <v>80.73</v>
      </c>
      <c r="BB241" s="34">
        <f t="shared" si="133"/>
        <v>80.73</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1274" t="str">
        <f>面积清单!B231</f>
        <v>7-2027</v>
      </c>
      <c r="D242" s="2217" t="s">
        <v>3658</v>
      </c>
      <c r="E242" s="34">
        <f t="shared" si="123"/>
        <v>24.7</v>
      </c>
      <c r="F242" s="35"/>
      <c r="G242" s="36">
        <f t="shared" si="124"/>
        <v>93.08</v>
      </c>
      <c r="H242" s="37">
        <f t="shared" si="125"/>
        <v>93.08</v>
      </c>
      <c r="I242" s="2218">
        <f>面积清单!E231</f>
        <v>93.08</v>
      </c>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3"/>
      <c r="AV242" s="1798">
        <f t="shared" si="127"/>
        <v>0</v>
      </c>
      <c r="AW242" s="1798">
        <f t="shared" si="128"/>
        <v>0</v>
      </c>
      <c r="AX242" s="1798" t="str">
        <f t="shared" si="129"/>
        <v>7-2027</v>
      </c>
      <c r="AY242" s="41">
        <f t="shared" si="130"/>
        <v>31.95</v>
      </c>
      <c r="AZ242" s="34">
        <f t="shared" si="131"/>
        <v>93.08</v>
      </c>
      <c r="BA242" s="34">
        <f t="shared" si="132"/>
        <v>93.08</v>
      </c>
      <c r="BB242" s="34">
        <f t="shared" si="133"/>
        <v>93.08</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1274" t="str">
        <f>面积清单!B232</f>
        <v>7-2028</v>
      </c>
      <c r="D243" s="2217" t="s">
        <v>3658</v>
      </c>
      <c r="E243" s="34">
        <f t="shared" si="123"/>
        <v>24.7</v>
      </c>
      <c r="F243" s="35"/>
      <c r="G243" s="36">
        <f t="shared" si="124"/>
        <v>93.08</v>
      </c>
      <c r="H243" s="37">
        <f t="shared" si="125"/>
        <v>93.08</v>
      </c>
      <c r="I243" s="2218">
        <f>面积清单!E232</f>
        <v>93.08</v>
      </c>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3"/>
      <c r="AV243" s="1798">
        <f t="shared" si="127"/>
        <v>0</v>
      </c>
      <c r="AW243" s="1798">
        <f t="shared" si="128"/>
        <v>0</v>
      </c>
      <c r="AX243" s="1798" t="str">
        <f t="shared" si="129"/>
        <v>7-2028</v>
      </c>
      <c r="AY243" s="41">
        <f t="shared" si="130"/>
        <v>31.95</v>
      </c>
      <c r="AZ243" s="34">
        <f t="shared" si="131"/>
        <v>93.08</v>
      </c>
      <c r="BA243" s="34">
        <f t="shared" si="132"/>
        <v>93.08</v>
      </c>
      <c r="BB243" s="34">
        <f t="shared" si="133"/>
        <v>93.08</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1274" t="str">
        <f>面积清单!B233</f>
        <v>7-2101</v>
      </c>
      <c r="D244" s="2217" t="s">
        <v>3658</v>
      </c>
      <c r="E244" s="34">
        <f t="shared" si="123"/>
        <v>21.42</v>
      </c>
      <c r="F244" s="35"/>
      <c r="G244" s="36">
        <f t="shared" si="124"/>
        <v>80.73</v>
      </c>
      <c r="H244" s="37">
        <f t="shared" si="125"/>
        <v>80.73</v>
      </c>
      <c r="I244" s="2218">
        <f>面积清单!E233</f>
        <v>80.73</v>
      </c>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3"/>
      <c r="AV244" s="1798">
        <f t="shared" si="127"/>
        <v>0</v>
      </c>
      <c r="AW244" s="1798">
        <f t="shared" si="128"/>
        <v>0</v>
      </c>
      <c r="AX244" s="1798" t="str">
        <f t="shared" si="129"/>
        <v>7-2101</v>
      </c>
      <c r="AY244" s="41">
        <f t="shared" si="130"/>
        <v>27.71</v>
      </c>
      <c r="AZ244" s="34">
        <f t="shared" si="131"/>
        <v>80.73</v>
      </c>
      <c r="BA244" s="34">
        <f t="shared" si="132"/>
        <v>80.73</v>
      </c>
      <c r="BB244" s="34">
        <f t="shared" si="133"/>
        <v>80.73</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1274" t="str">
        <f>面积清单!B234</f>
        <v>7-2102</v>
      </c>
      <c r="D245" s="2217" t="s">
        <v>3658</v>
      </c>
      <c r="E245" s="34">
        <f t="shared" si="123"/>
        <v>13.84</v>
      </c>
      <c r="F245" s="35"/>
      <c r="G245" s="36">
        <f t="shared" si="124"/>
        <v>52.17</v>
      </c>
      <c r="H245" s="37">
        <f t="shared" si="125"/>
        <v>52.17</v>
      </c>
      <c r="I245" s="2218">
        <f>面积清单!E234</f>
        <v>52.17</v>
      </c>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3"/>
      <c r="AV245" s="1798">
        <f t="shared" si="127"/>
        <v>0</v>
      </c>
      <c r="AW245" s="1798">
        <f t="shared" si="128"/>
        <v>0</v>
      </c>
      <c r="AX245" s="1798" t="str">
        <f t="shared" si="129"/>
        <v>7-2102</v>
      </c>
      <c r="AY245" s="41">
        <f t="shared" si="130"/>
        <v>17.91</v>
      </c>
      <c r="AZ245" s="34">
        <f t="shared" si="131"/>
        <v>52.17</v>
      </c>
      <c r="BA245" s="34">
        <f t="shared" si="132"/>
        <v>52.17</v>
      </c>
      <c r="BB245" s="34">
        <f t="shared" si="133"/>
        <v>52.17</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1274" t="str">
        <f>面积清单!B235</f>
        <v>7-2103</v>
      </c>
      <c r="D246" s="2217" t="s">
        <v>3658</v>
      </c>
      <c r="E246" s="34">
        <f t="shared" si="123"/>
        <v>13.84</v>
      </c>
      <c r="F246" s="35"/>
      <c r="G246" s="36">
        <f t="shared" si="124"/>
        <v>52.17</v>
      </c>
      <c r="H246" s="37">
        <f t="shared" si="125"/>
        <v>52.17</v>
      </c>
      <c r="I246" s="2218">
        <f>面积清单!E235</f>
        <v>52.17</v>
      </c>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3"/>
      <c r="AV246" s="1798">
        <f t="shared" si="127"/>
        <v>0</v>
      </c>
      <c r="AW246" s="1798">
        <f t="shared" si="128"/>
        <v>0</v>
      </c>
      <c r="AX246" s="1798" t="str">
        <f t="shared" si="129"/>
        <v>7-2103</v>
      </c>
      <c r="AY246" s="41">
        <f t="shared" si="130"/>
        <v>17.91</v>
      </c>
      <c r="AZ246" s="34">
        <f t="shared" si="131"/>
        <v>52.17</v>
      </c>
      <c r="BA246" s="34">
        <f t="shared" si="132"/>
        <v>52.17</v>
      </c>
      <c r="BB246" s="34">
        <f t="shared" si="133"/>
        <v>52.17</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1274" t="str">
        <f>面积清单!B236</f>
        <v>7-2104</v>
      </c>
      <c r="D247" s="2217" t="s">
        <v>3658</v>
      </c>
      <c r="E247" s="34">
        <f t="shared" si="123"/>
        <v>13.84</v>
      </c>
      <c r="F247" s="35"/>
      <c r="G247" s="36">
        <f t="shared" si="124"/>
        <v>52.17</v>
      </c>
      <c r="H247" s="37">
        <f t="shared" si="125"/>
        <v>52.17</v>
      </c>
      <c r="I247" s="2218">
        <f>面积清单!E236</f>
        <v>52.17</v>
      </c>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3"/>
      <c r="AV247" s="1798">
        <f t="shared" si="127"/>
        <v>0</v>
      </c>
      <c r="AW247" s="1798">
        <f t="shared" si="128"/>
        <v>0</v>
      </c>
      <c r="AX247" s="1798" t="str">
        <f t="shared" si="129"/>
        <v>7-2104</v>
      </c>
      <c r="AY247" s="41">
        <f t="shared" si="130"/>
        <v>17.91</v>
      </c>
      <c r="AZ247" s="34">
        <f t="shared" si="131"/>
        <v>52.17</v>
      </c>
      <c r="BA247" s="34">
        <f t="shared" si="132"/>
        <v>52.17</v>
      </c>
      <c r="BB247" s="34">
        <f t="shared" si="133"/>
        <v>52.17</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1274" t="str">
        <f>面积清单!B237</f>
        <v>7-2105</v>
      </c>
      <c r="D248" s="2217" t="s">
        <v>3658</v>
      </c>
      <c r="E248" s="34">
        <f t="shared" si="123"/>
        <v>13.84</v>
      </c>
      <c r="F248" s="35"/>
      <c r="G248" s="36">
        <f t="shared" si="124"/>
        <v>52.17</v>
      </c>
      <c r="H248" s="37">
        <f t="shared" si="125"/>
        <v>52.17</v>
      </c>
      <c r="I248" s="2218">
        <f>面积清单!E237</f>
        <v>52.17</v>
      </c>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3"/>
      <c r="AV248" s="1798">
        <f t="shared" si="127"/>
        <v>0</v>
      </c>
      <c r="AW248" s="1798">
        <f t="shared" si="128"/>
        <v>0</v>
      </c>
      <c r="AX248" s="1798" t="str">
        <f t="shared" si="129"/>
        <v>7-2105</v>
      </c>
      <c r="AY248" s="41">
        <f t="shared" si="130"/>
        <v>17.91</v>
      </c>
      <c r="AZ248" s="34">
        <f t="shared" si="131"/>
        <v>52.17</v>
      </c>
      <c r="BA248" s="34">
        <f t="shared" si="132"/>
        <v>52.17</v>
      </c>
      <c r="BB248" s="34">
        <f t="shared" si="133"/>
        <v>52.17</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1274" t="str">
        <f>面积清单!B238</f>
        <v>7-2106</v>
      </c>
      <c r="D249" s="2217" t="s">
        <v>3658</v>
      </c>
      <c r="E249" s="34">
        <f t="shared" si="123"/>
        <v>13.84</v>
      </c>
      <c r="F249" s="35"/>
      <c r="G249" s="36">
        <f t="shared" si="124"/>
        <v>52.17</v>
      </c>
      <c r="H249" s="37">
        <f t="shared" si="125"/>
        <v>52.17</v>
      </c>
      <c r="I249" s="2218">
        <f>面积清单!E238</f>
        <v>52.17</v>
      </c>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3"/>
      <c r="AV249" s="1798">
        <f t="shared" si="127"/>
        <v>0</v>
      </c>
      <c r="AW249" s="1798">
        <f t="shared" si="128"/>
        <v>0</v>
      </c>
      <c r="AX249" s="1798" t="str">
        <f t="shared" si="129"/>
        <v>7-2106</v>
      </c>
      <c r="AY249" s="41">
        <f t="shared" si="130"/>
        <v>17.91</v>
      </c>
      <c r="AZ249" s="34">
        <f t="shared" si="131"/>
        <v>52.17</v>
      </c>
      <c r="BA249" s="34">
        <f t="shared" si="132"/>
        <v>52.17</v>
      </c>
      <c r="BB249" s="34">
        <f t="shared" si="133"/>
        <v>52.17</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1274" t="str">
        <f>面积清单!B239</f>
        <v>7-2107</v>
      </c>
      <c r="D250" s="2217" t="s">
        <v>3658</v>
      </c>
      <c r="E250" s="34">
        <f t="shared" si="123"/>
        <v>13.84</v>
      </c>
      <c r="F250" s="35"/>
      <c r="G250" s="36">
        <f t="shared" si="124"/>
        <v>52.17</v>
      </c>
      <c r="H250" s="37">
        <f t="shared" si="125"/>
        <v>52.17</v>
      </c>
      <c r="I250" s="2218">
        <f>面积清单!E239</f>
        <v>52.17</v>
      </c>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3"/>
      <c r="AV250" s="1798">
        <f t="shared" si="127"/>
        <v>0</v>
      </c>
      <c r="AW250" s="1798">
        <f t="shared" si="128"/>
        <v>0</v>
      </c>
      <c r="AX250" s="1798" t="str">
        <f t="shared" si="129"/>
        <v>7-2107</v>
      </c>
      <c r="AY250" s="41">
        <f t="shared" si="130"/>
        <v>17.91</v>
      </c>
      <c r="AZ250" s="34">
        <f t="shared" si="131"/>
        <v>52.17</v>
      </c>
      <c r="BA250" s="34">
        <f t="shared" si="132"/>
        <v>52.17</v>
      </c>
      <c r="BB250" s="34">
        <f t="shared" si="133"/>
        <v>52.17</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1274" t="str">
        <f>面积清单!B240</f>
        <v>7-2108</v>
      </c>
      <c r="D251" s="2217" t="s">
        <v>3658</v>
      </c>
      <c r="E251" s="34">
        <f t="shared" si="123"/>
        <v>13.84</v>
      </c>
      <c r="F251" s="35"/>
      <c r="G251" s="36">
        <f t="shared" si="124"/>
        <v>52.17</v>
      </c>
      <c r="H251" s="37">
        <f t="shared" si="125"/>
        <v>52.17</v>
      </c>
      <c r="I251" s="2218">
        <f>面积清单!E240</f>
        <v>52.17</v>
      </c>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3"/>
      <c r="AV251" s="1798">
        <f t="shared" si="127"/>
        <v>0</v>
      </c>
      <c r="AW251" s="1798">
        <f t="shared" si="128"/>
        <v>0</v>
      </c>
      <c r="AX251" s="1798" t="str">
        <f t="shared" si="129"/>
        <v>7-2108</v>
      </c>
      <c r="AY251" s="41">
        <f t="shared" si="130"/>
        <v>17.91</v>
      </c>
      <c r="AZ251" s="34">
        <f t="shared" si="131"/>
        <v>52.17</v>
      </c>
      <c r="BA251" s="34">
        <f t="shared" si="132"/>
        <v>52.17</v>
      </c>
      <c r="BB251" s="34">
        <f t="shared" si="133"/>
        <v>52.17</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1274" t="str">
        <f>面积清单!B241</f>
        <v>7-2109</v>
      </c>
      <c r="D252" s="2217" t="s">
        <v>3658</v>
      </c>
      <c r="E252" s="34">
        <f t="shared" si="123"/>
        <v>13.84</v>
      </c>
      <c r="F252" s="35"/>
      <c r="G252" s="36">
        <f t="shared" si="124"/>
        <v>52.17</v>
      </c>
      <c r="H252" s="37">
        <f t="shared" si="125"/>
        <v>52.17</v>
      </c>
      <c r="I252" s="2218">
        <f>面积清单!E241</f>
        <v>52.17</v>
      </c>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3"/>
      <c r="AV252" s="1798">
        <f t="shared" si="127"/>
        <v>0</v>
      </c>
      <c r="AW252" s="1798">
        <f t="shared" si="128"/>
        <v>0</v>
      </c>
      <c r="AX252" s="1798" t="str">
        <f t="shared" si="129"/>
        <v>7-2109</v>
      </c>
      <c r="AY252" s="41">
        <f t="shared" si="130"/>
        <v>17.91</v>
      </c>
      <c r="AZ252" s="34">
        <f t="shared" si="131"/>
        <v>52.17</v>
      </c>
      <c r="BA252" s="34">
        <f t="shared" si="132"/>
        <v>52.17</v>
      </c>
      <c r="BB252" s="34">
        <f t="shared" si="133"/>
        <v>52.17</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1274" t="str">
        <f>面积清单!B242</f>
        <v>7-2110</v>
      </c>
      <c r="D253" s="2217" t="s">
        <v>3658</v>
      </c>
      <c r="E253" s="34">
        <f t="shared" si="123"/>
        <v>13.84</v>
      </c>
      <c r="F253" s="35"/>
      <c r="G253" s="36">
        <f t="shared" si="124"/>
        <v>52.17</v>
      </c>
      <c r="H253" s="37">
        <f t="shared" si="125"/>
        <v>52.17</v>
      </c>
      <c r="I253" s="2218">
        <f>面积清单!E242</f>
        <v>52.17</v>
      </c>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3"/>
      <c r="AV253" s="1798">
        <f t="shared" si="127"/>
        <v>0</v>
      </c>
      <c r="AW253" s="1798">
        <f t="shared" si="128"/>
        <v>0</v>
      </c>
      <c r="AX253" s="1798" t="str">
        <f t="shared" si="129"/>
        <v>7-2110</v>
      </c>
      <c r="AY253" s="41">
        <f t="shared" si="130"/>
        <v>17.91</v>
      </c>
      <c r="AZ253" s="34">
        <f t="shared" si="131"/>
        <v>52.17</v>
      </c>
      <c r="BA253" s="34">
        <f t="shared" si="132"/>
        <v>52.17</v>
      </c>
      <c r="BB253" s="34">
        <f t="shared" si="133"/>
        <v>52.17</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1274" t="str">
        <f>面积清单!B243</f>
        <v>7-2111</v>
      </c>
      <c r="D254" s="2217" t="s">
        <v>3658</v>
      </c>
      <c r="E254" s="34">
        <f t="shared" si="123"/>
        <v>13.84</v>
      </c>
      <c r="F254" s="35"/>
      <c r="G254" s="36">
        <f t="shared" si="124"/>
        <v>52.17</v>
      </c>
      <c r="H254" s="37">
        <f t="shared" si="125"/>
        <v>52.17</v>
      </c>
      <c r="I254" s="2218">
        <f>面积清单!E243</f>
        <v>52.17</v>
      </c>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3"/>
      <c r="AV254" s="1798">
        <f t="shared" si="127"/>
        <v>0</v>
      </c>
      <c r="AW254" s="1798">
        <f t="shared" si="128"/>
        <v>0</v>
      </c>
      <c r="AX254" s="1798" t="str">
        <f t="shared" si="129"/>
        <v>7-2111</v>
      </c>
      <c r="AY254" s="41">
        <f t="shared" si="130"/>
        <v>17.91</v>
      </c>
      <c r="AZ254" s="34">
        <f t="shared" si="131"/>
        <v>52.17</v>
      </c>
      <c r="BA254" s="34">
        <f t="shared" si="132"/>
        <v>52.17</v>
      </c>
      <c r="BB254" s="34">
        <f t="shared" si="133"/>
        <v>52.17</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1274" t="str">
        <f>面积清单!B244</f>
        <v>7-2112</v>
      </c>
      <c r="D255" s="2217" t="s">
        <v>3658</v>
      </c>
      <c r="E255" s="34">
        <f t="shared" si="123"/>
        <v>21.42</v>
      </c>
      <c r="F255" s="35"/>
      <c r="G255" s="36">
        <f t="shared" si="124"/>
        <v>80.73</v>
      </c>
      <c r="H255" s="37">
        <f t="shared" si="125"/>
        <v>80.73</v>
      </c>
      <c r="I255" s="2218">
        <f>面积清单!E244</f>
        <v>80.73</v>
      </c>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3"/>
      <c r="AV255" s="1798">
        <f t="shared" si="127"/>
        <v>0</v>
      </c>
      <c r="AW255" s="1798">
        <f t="shared" si="128"/>
        <v>0</v>
      </c>
      <c r="AX255" s="1798" t="str">
        <f t="shared" si="129"/>
        <v>7-2112</v>
      </c>
      <c r="AY255" s="41">
        <f t="shared" si="130"/>
        <v>27.71</v>
      </c>
      <c r="AZ255" s="34">
        <f t="shared" si="131"/>
        <v>80.73</v>
      </c>
      <c r="BA255" s="34">
        <f t="shared" si="132"/>
        <v>80.73</v>
      </c>
      <c r="BB255" s="34">
        <f t="shared" si="133"/>
        <v>80.73</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1274" t="str">
        <f>面积清单!B245</f>
        <v>7-2113</v>
      </c>
      <c r="D256" s="2217" t="s">
        <v>3658</v>
      </c>
      <c r="E256" s="34">
        <f t="shared" si="123"/>
        <v>17.52</v>
      </c>
      <c r="F256" s="35"/>
      <c r="G256" s="36">
        <f t="shared" si="124"/>
        <v>66.040000000000006</v>
      </c>
      <c r="H256" s="37">
        <f t="shared" si="125"/>
        <v>66.040000000000006</v>
      </c>
      <c r="I256" s="2218">
        <f>面积清单!E245</f>
        <v>66.040000000000006</v>
      </c>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3"/>
      <c r="AV256" s="1798">
        <f t="shared" si="127"/>
        <v>0</v>
      </c>
      <c r="AW256" s="1798">
        <f t="shared" si="128"/>
        <v>0</v>
      </c>
      <c r="AX256" s="1798" t="str">
        <f t="shared" si="129"/>
        <v>7-2113</v>
      </c>
      <c r="AY256" s="41">
        <f t="shared" si="130"/>
        <v>22.67</v>
      </c>
      <c r="AZ256" s="34">
        <f t="shared" si="131"/>
        <v>66.040000000000006</v>
      </c>
      <c r="BA256" s="34">
        <f t="shared" si="132"/>
        <v>66.040000000000006</v>
      </c>
      <c r="BB256" s="34">
        <f t="shared" si="133"/>
        <v>66.040000000000006</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1274" t="str">
        <f>面积清单!B246</f>
        <v>7-2114</v>
      </c>
      <c r="D257" s="2217" t="s">
        <v>3658</v>
      </c>
      <c r="E257" s="34">
        <f t="shared" si="123"/>
        <v>17.52</v>
      </c>
      <c r="F257" s="35"/>
      <c r="G257" s="36">
        <f t="shared" si="124"/>
        <v>66.040000000000006</v>
      </c>
      <c r="H257" s="37">
        <f t="shared" si="125"/>
        <v>66.040000000000006</v>
      </c>
      <c r="I257" s="2218">
        <f>面积清单!E246</f>
        <v>66.040000000000006</v>
      </c>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3"/>
      <c r="AV257" s="1798">
        <f t="shared" si="127"/>
        <v>0</v>
      </c>
      <c r="AW257" s="1798">
        <f t="shared" si="128"/>
        <v>0</v>
      </c>
      <c r="AX257" s="1798" t="str">
        <f t="shared" si="129"/>
        <v>7-2114</v>
      </c>
      <c r="AY257" s="41">
        <f t="shared" si="130"/>
        <v>22.67</v>
      </c>
      <c r="AZ257" s="34">
        <f t="shared" si="131"/>
        <v>66.040000000000006</v>
      </c>
      <c r="BA257" s="34">
        <f t="shared" si="132"/>
        <v>66.040000000000006</v>
      </c>
      <c r="BB257" s="34">
        <f t="shared" si="133"/>
        <v>66.040000000000006</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1274" t="str">
        <f>面积清单!B247</f>
        <v>7-2115</v>
      </c>
      <c r="D258" s="2217" t="s">
        <v>3658</v>
      </c>
      <c r="E258" s="34">
        <f t="shared" si="123"/>
        <v>21.42</v>
      </c>
      <c r="F258" s="35"/>
      <c r="G258" s="36">
        <f t="shared" si="124"/>
        <v>80.73</v>
      </c>
      <c r="H258" s="37">
        <f t="shared" si="125"/>
        <v>80.73</v>
      </c>
      <c r="I258" s="2218">
        <f>面积清单!E247</f>
        <v>80.73</v>
      </c>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3"/>
      <c r="AV258" s="1798">
        <f t="shared" si="127"/>
        <v>0</v>
      </c>
      <c r="AW258" s="1798">
        <f t="shared" si="128"/>
        <v>0</v>
      </c>
      <c r="AX258" s="1798" t="str">
        <f t="shared" si="129"/>
        <v>7-2115</v>
      </c>
      <c r="AY258" s="41">
        <f t="shared" si="130"/>
        <v>27.71</v>
      </c>
      <c r="AZ258" s="34">
        <f t="shared" si="131"/>
        <v>80.73</v>
      </c>
      <c r="BA258" s="34">
        <f t="shared" si="132"/>
        <v>80.73</v>
      </c>
      <c r="BB258" s="34">
        <f t="shared" si="133"/>
        <v>80.73</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1274" t="str">
        <f>面积清单!B248</f>
        <v>7-2116</v>
      </c>
      <c r="D259" s="2217" t="s">
        <v>3658</v>
      </c>
      <c r="E259" s="34">
        <f t="shared" si="123"/>
        <v>13.84</v>
      </c>
      <c r="F259" s="35"/>
      <c r="G259" s="36">
        <f t="shared" si="124"/>
        <v>52.17</v>
      </c>
      <c r="H259" s="37">
        <f t="shared" si="125"/>
        <v>52.17</v>
      </c>
      <c r="I259" s="2218">
        <f>面积清单!E248</f>
        <v>52.17</v>
      </c>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3"/>
      <c r="AV259" s="1798">
        <f t="shared" si="127"/>
        <v>0</v>
      </c>
      <c r="AW259" s="1798">
        <f t="shared" si="128"/>
        <v>0</v>
      </c>
      <c r="AX259" s="1798" t="str">
        <f t="shared" si="129"/>
        <v>7-2116</v>
      </c>
      <c r="AY259" s="41">
        <f t="shared" si="130"/>
        <v>17.91</v>
      </c>
      <c r="AZ259" s="34">
        <f t="shared" si="131"/>
        <v>52.17</v>
      </c>
      <c r="BA259" s="34">
        <f t="shared" si="132"/>
        <v>52.17</v>
      </c>
      <c r="BB259" s="34">
        <f t="shared" si="133"/>
        <v>52.17</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1274" t="str">
        <f>面积清单!B249</f>
        <v>7-2117</v>
      </c>
      <c r="D260" s="2217" t="s">
        <v>3658</v>
      </c>
      <c r="E260" s="34">
        <f t="shared" si="123"/>
        <v>13.84</v>
      </c>
      <c r="F260" s="35"/>
      <c r="G260" s="36">
        <f t="shared" si="124"/>
        <v>52.17</v>
      </c>
      <c r="H260" s="37">
        <f t="shared" si="125"/>
        <v>52.17</v>
      </c>
      <c r="I260" s="2218">
        <f>面积清单!E249</f>
        <v>52.17</v>
      </c>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3"/>
      <c r="AV260" s="1798">
        <f t="shared" si="127"/>
        <v>0</v>
      </c>
      <c r="AW260" s="1798">
        <f t="shared" si="128"/>
        <v>0</v>
      </c>
      <c r="AX260" s="1798" t="str">
        <f t="shared" si="129"/>
        <v>7-2117</v>
      </c>
      <c r="AY260" s="41">
        <f t="shared" si="130"/>
        <v>17.91</v>
      </c>
      <c r="AZ260" s="34">
        <f t="shared" si="131"/>
        <v>52.17</v>
      </c>
      <c r="BA260" s="34">
        <f t="shared" si="132"/>
        <v>52.17</v>
      </c>
      <c r="BB260" s="34">
        <f t="shared" si="133"/>
        <v>52.17</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1274" t="str">
        <f>面积清单!B250</f>
        <v>7-2118</v>
      </c>
      <c r="D261" s="2217" t="s">
        <v>3658</v>
      </c>
      <c r="E261" s="34">
        <f t="shared" si="123"/>
        <v>13.84</v>
      </c>
      <c r="F261" s="35"/>
      <c r="G261" s="36">
        <f t="shared" si="124"/>
        <v>52.17</v>
      </c>
      <c r="H261" s="37">
        <f t="shared" si="125"/>
        <v>52.17</v>
      </c>
      <c r="I261" s="2218">
        <f>面积清单!E250</f>
        <v>52.17</v>
      </c>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3"/>
      <c r="AV261" s="1798">
        <f t="shared" si="127"/>
        <v>0</v>
      </c>
      <c r="AW261" s="1798">
        <f t="shared" si="128"/>
        <v>0</v>
      </c>
      <c r="AX261" s="1798" t="str">
        <f t="shared" si="129"/>
        <v>7-2118</v>
      </c>
      <c r="AY261" s="41">
        <f t="shared" si="130"/>
        <v>17.91</v>
      </c>
      <c r="AZ261" s="34">
        <f t="shared" si="131"/>
        <v>52.17</v>
      </c>
      <c r="BA261" s="34">
        <f t="shared" si="132"/>
        <v>52.17</v>
      </c>
      <c r="BB261" s="34">
        <f t="shared" si="133"/>
        <v>52.17</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1274" t="str">
        <f>面积清单!B251</f>
        <v>7-2119</v>
      </c>
      <c r="D262" s="2217" t="s">
        <v>3658</v>
      </c>
      <c r="E262" s="34">
        <f t="shared" si="123"/>
        <v>13.84</v>
      </c>
      <c r="F262" s="35"/>
      <c r="G262" s="36">
        <f t="shared" si="124"/>
        <v>52.17</v>
      </c>
      <c r="H262" s="37">
        <f t="shared" si="125"/>
        <v>52.17</v>
      </c>
      <c r="I262" s="2218">
        <f>面积清单!E251</f>
        <v>52.17</v>
      </c>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3"/>
      <c r="AV262" s="1798">
        <f t="shared" si="127"/>
        <v>0</v>
      </c>
      <c r="AW262" s="1798">
        <f t="shared" si="128"/>
        <v>0</v>
      </c>
      <c r="AX262" s="1798" t="str">
        <f t="shared" si="129"/>
        <v>7-2119</v>
      </c>
      <c r="AY262" s="41">
        <f t="shared" si="130"/>
        <v>17.91</v>
      </c>
      <c r="AZ262" s="34">
        <f t="shared" si="131"/>
        <v>52.17</v>
      </c>
      <c r="BA262" s="34">
        <f t="shared" si="132"/>
        <v>52.17</v>
      </c>
      <c r="BB262" s="34">
        <f t="shared" si="133"/>
        <v>52.17</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1274" t="str">
        <f>面积清单!B252</f>
        <v>7-2120</v>
      </c>
      <c r="D263" s="2217" t="s">
        <v>3658</v>
      </c>
      <c r="E263" s="34">
        <f t="shared" si="123"/>
        <v>13.84</v>
      </c>
      <c r="F263" s="35"/>
      <c r="G263" s="36">
        <f t="shared" si="124"/>
        <v>52.17</v>
      </c>
      <c r="H263" s="37">
        <f t="shared" si="125"/>
        <v>52.17</v>
      </c>
      <c r="I263" s="2218">
        <f>面积清单!E252</f>
        <v>52.17</v>
      </c>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3"/>
      <c r="AV263" s="1798">
        <f t="shared" si="127"/>
        <v>0</v>
      </c>
      <c r="AW263" s="1798">
        <f t="shared" si="128"/>
        <v>0</v>
      </c>
      <c r="AX263" s="1798" t="str">
        <f t="shared" si="129"/>
        <v>7-2120</v>
      </c>
      <c r="AY263" s="41">
        <f t="shared" si="130"/>
        <v>17.91</v>
      </c>
      <c r="AZ263" s="34">
        <f t="shared" si="131"/>
        <v>52.17</v>
      </c>
      <c r="BA263" s="34">
        <f t="shared" si="132"/>
        <v>52.17</v>
      </c>
      <c r="BB263" s="34">
        <f t="shared" si="133"/>
        <v>52.17</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1274" t="str">
        <f>面积清单!B253</f>
        <v>7-2121</v>
      </c>
      <c r="D264" s="2217" t="s">
        <v>3658</v>
      </c>
      <c r="E264" s="34">
        <f t="shared" si="123"/>
        <v>13.84</v>
      </c>
      <c r="F264" s="35"/>
      <c r="G264" s="36">
        <f t="shared" si="124"/>
        <v>52.17</v>
      </c>
      <c r="H264" s="37">
        <f t="shared" si="125"/>
        <v>52.17</v>
      </c>
      <c r="I264" s="2218">
        <f>面积清单!E253</f>
        <v>52.17</v>
      </c>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3"/>
      <c r="AV264" s="1798">
        <f t="shared" si="127"/>
        <v>0</v>
      </c>
      <c r="AW264" s="1798">
        <f t="shared" si="128"/>
        <v>0</v>
      </c>
      <c r="AX264" s="1798" t="str">
        <f t="shared" si="129"/>
        <v>7-2121</v>
      </c>
      <c r="AY264" s="41">
        <f t="shared" si="130"/>
        <v>17.91</v>
      </c>
      <c r="AZ264" s="34">
        <f t="shared" si="131"/>
        <v>52.17</v>
      </c>
      <c r="BA264" s="34">
        <f t="shared" si="132"/>
        <v>52.17</v>
      </c>
      <c r="BB264" s="34">
        <f t="shared" si="133"/>
        <v>52.17</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1274" t="str">
        <f>面积清单!B254</f>
        <v>7-2122</v>
      </c>
      <c r="D265" s="2217" t="s">
        <v>3658</v>
      </c>
      <c r="E265" s="34">
        <f t="shared" si="123"/>
        <v>13.84</v>
      </c>
      <c r="F265" s="35"/>
      <c r="G265" s="36">
        <f t="shared" si="124"/>
        <v>52.17</v>
      </c>
      <c r="H265" s="37">
        <f t="shared" si="125"/>
        <v>52.17</v>
      </c>
      <c r="I265" s="2218">
        <f>面积清单!E254</f>
        <v>52.17</v>
      </c>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3"/>
      <c r="AV265" s="1798">
        <f t="shared" si="127"/>
        <v>0</v>
      </c>
      <c r="AW265" s="1798">
        <f t="shared" si="128"/>
        <v>0</v>
      </c>
      <c r="AX265" s="1798" t="str">
        <f t="shared" si="129"/>
        <v>7-2122</v>
      </c>
      <c r="AY265" s="41">
        <f t="shared" si="130"/>
        <v>17.91</v>
      </c>
      <c r="AZ265" s="34">
        <f t="shared" si="131"/>
        <v>52.17</v>
      </c>
      <c r="BA265" s="34">
        <f t="shared" si="132"/>
        <v>52.17</v>
      </c>
      <c r="BB265" s="34">
        <f t="shared" si="133"/>
        <v>52.17</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1274" t="str">
        <f>面积清单!B255</f>
        <v>7-2123</v>
      </c>
      <c r="D266" s="2217" t="s">
        <v>3658</v>
      </c>
      <c r="E266" s="34">
        <f t="shared" si="123"/>
        <v>13.84</v>
      </c>
      <c r="F266" s="35"/>
      <c r="G266" s="36">
        <f t="shared" si="124"/>
        <v>52.17</v>
      </c>
      <c r="H266" s="37">
        <f t="shared" si="125"/>
        <v>52.17</v>
      </c>
      <c r="I266" s="2218">
        <f>面积清单!E255</f>
        <v>52.17</v>
      </c>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3"/>
      <c r="AV266" s="1798">
        <f t="shared" si="127"/>
        <v>0</v>
      </c>
      <c r="AW266" s="1798">
        <f t="shared" si="128"/>
        <v>0</v>
      </c>
      <c r="AX266" s="1798" t="str">
        <f t="shared" si="129"/>
        <v>7-2123</v>
      </c>
      <c r="AY266" s="41">
        <f t="shared" si="130"/>
        <v>17.91</v>
      </c>
      <c r="AZ266" s="34">
        <f t="shared" si="131"/>
        <v>52.17</v>
      </c>
      <c r="BA266" s="34">
        <f t="shared" si="132"/>
        <v>52.17</v>
      </c>
      <c r="BB266" s="34">
        <f t="shared" si="133"/>
        <v>52.17</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1274" t="str">
        <f>面积清单!B256</f>
        <v>7-2124</v>
      </c>
      <c r="D267" s="2217" t="s">
        <v>3658</v>
      </c>
      <c r="E267" s="34">
        <f t="shared" si="123"/>
        <v>13.84</v>
      </c>
      <c r="F267" s="35"/>
      <c r="G267" s="36">
        <f t="shared" si="124"/>
        <v>52.17</v>
      </c>
      <c r="H267" s="37">
        <f t="shared" si="125"/>
        <v>52.17</v>
      </c>
      <c r="I267" s="2218">
        <f>面积清单!E256</f>
        <v>52.17</v>
      </c>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3"/>
      <c r="AV267" s="1798">
        <f t="shared" si="127"/>
        <v>0</v>
      </c>
      <c r="AW267" s="1798">
        <f t="shared" si="128"/>
        <v>0</v>
      </c>
      <c r="AX267" s="1798" t="str">
        <f t="shared" si="129"/>
        <v>7-2124</v>
      </c>
      <c r="AY267" s="41">
        <f t="shared" si="130"/>
        <v>17.91</v>
      </c>
      <c r="AZ267" s="34">
        <f t="shared" si="131"/>
        <v>52.17</v>
      </c>
      <c r="BA267" s="34">
        <f t="shared" si="132"/>
        <v>52.17</v>
      </c>
      <c r="BB267" s="34">
        <f t="shared" si="133"/>
        <v>52.17</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1274" t="str">
        <f>面积清单!B257</f>
        <v>7-2125</v>
      </c>
      <c r="D268" s="2217" t="s">
        <v>3658</v>
      </c>
      <c r="E268" s="34">
        <f t="shared" si="123"/>
        <v>13.84</v>
      </c>
      <c r="F268" s="35"/>
      <c r="G268" s="36">
        <f t="shared" si="124"/>
        <v>52.17</v>
      </c>
      <c r="H268" s="37">
        <f t="shared" si="125"/>
        <v>52.17</v>
      </c>
      <c r="I268" s="2218">
        <f>面积清单!E257</f>
        <v>52.17</v>
      </c>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3"/>
      <c r="AV268" s="1798">
        <f t="shared" si="127"/>
        <v>0</v>
      </c>
      <c r="AW268" s="1798">
        <f t="shared" si="128"/>
        <v>0</v>
      </c>
      <c r="AX268" s="1798" t="str">
        <f t="shared" si="129"/>
        <v>7-2125</v>
      </c>
      <c r="AY268" s="41">
        <f t="shared" si="130"/>
        <v>17.91</v>
      </c>
      <c r="AZ268" s="34">
        <f t="shared" si="131"/>
        <v>52.17</v>
      </c>
      <c r="BA268" s="34">
        <f t="shared" si="132"/>
        <v>52.17</v>
      </c>
      <c r="BB268" s="34">
        <f t="shared" si="133"/>
        <v>52.17</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1274" t="str">
        <f>面积清单!B258</f>
        <v>7-2126</v>
      </c>
      <c r="D269" s="2217" t="s">
        <v>3658</v>
      </c>
      <c r="E269" s="34">
        <f t="shared" si="123"/>
        <v>21.42</v>
      </c>
      <c r="F269" s="35"/>
      <c r="G269" s="36">
        <f t="shared" si="124"/>
        <v>80.73</v>
      </c>
      <c r="H269" s="37">
        <f t="shared" si="125"/>
        <v>80.73</v>
      </c>
      <c r="I269" s="2218">
        <f>面积清单!E258</f>
        <v>80.73</v>
      </c>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3"/>
      <c r="AV269" s="1798">
        <f t="shared" si="127"/>
        <v>0</v>
      </c>
      <c r="AW269" s="1798">
        <f t="shared" si="128"/>
        <v>0</v>
      </c>
      <c r="AX269" s="1798" t="str">
        <f t="shared" si="129"/>
        <v>7-2126</v>
      </c>
      <c r="AY269" s="41">
        <f t="shared" si="130"/>
        <v>27.71</v>
      </c>
      <c r="AZ269" s="34">
        <f t="shared" si="131"/>
        <v>80.73</v>
      </c>
      <c r="BA269" s="34">
        <f t="shared" si="132"/>
        <v>80.73</v>
      </c>
      <c r="BB269" s="34">
        <f t="shared" si="133"/>
        <v>80.73</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1274" t="str">
        <f>面积清单!B259</f>
        <v>7-2127</v>
      </c>
      <c r="D270" s="2217" t="s">
        <v>3658</v>
      </c>
      <c r="E270" s="34">
        <f t="shared" si="123"/>
        <v>24.7</v>
      </c>
      <c r="F270" s="35"/>
      <c r="G270" s="36">
        <f t="shared" si="124"/>
        <v>93.08</v>
      </c>
      <c r="H270" s="37">
        <f t="shared" si="125"/>
        <v>93.08</v>
      </c>
      <c r="I270" s="2218">
        <f>面积清单!E259</f>
        <v>93.08</v>
      </c>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3"/>
      <c r="AV270" s="1798">
        <f t="shared" si="127"/>
        <v>0</v>
      </c>
      <c r="AW270" s="1798">
        <f t="shared" si="128"/>
        <v>0</v>
      </c>
      <c r="AX270" s="1798" t="str">
        <f t="shared" si="129"/>
        <v>7-2127</v>
      </c>
      <c r="AY270" s="41">
        <f t="shared" si="130"/>
        <v>31.95</v>
      </c>
      <c r="AZ270" s="34">
        <f t="shared" si="131"/>
        <v>93.08</v>
      </c>
      <c r="BA270" s="34">
        <f t="shared" si="132"/>
        <v>93.08</v>
      </c>
      <c r="BB270" s="34">
        <f t="shared" si="133"/>
        <v>93.08</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1274" t="str">
        <f>面积清单!B260</f>
        <v>7-2128</v>
      </c>
      <c r="D271" s="2217" t="s">
        <v>3658</v>
      </c>
      <c r="E271" s="34">
        <f t="shared" si="123"/>
        <v>24.7</v>
      </c>
      <c r="F271" s="35"/>
      <c r="G271" s="36">
        <f t="shared" si="124"/>
        <v>93.08</v>
      </c>
      <c r="H271" s="37">
        <f t="shared" si="125"/>
        <v>93.08</v>
      </c>
      <c r="I271" s="2218">
        <f>面积清单!E260</f>
        <v>93.08</v>
      </c>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3"/>
      <c r="AV271" s="1798">
        <f t="shared" si="127"/>
        <v>0</v>
      </c>
      <c r="AW271" s="1798">
        <f t="shared" si="128"/>
        <v>0</v>
      </c>
      <c r="AX271" s="1798" t="str">
        <f t="shared" si="129"/>
        <v>7-2128</v>
      </c>
      <c r="AY271" s="41">
        <f t="shared" si="130"/>
        <v>31.95</v>
      </c>
      <c r="AZ271" s="34">
        <f t="shared" si="131"/>
        <v>93.08</v>
      </c>
      <c r="BA271" s="34">
        <f t="shared" si="132"/>
        <v>93.08</v>
      </c>
      <c r="BB271" s="34">
        <f t="shared" si="133"/>
        <v>93.08</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1274" t="str">
        <f>面积清单!B261</f>
        <v>7-2201</v>
      </c>
      <c r="D272" s="2217" t="s">
        <v>3658</v>
      </c>
      <c r="E272" s="34">
        <f t="shared" si="123"/>
        <v>21.42</v>
      </c>
      <c r="F272" s="35"/>
      <c r="G272" s="36">
        <f t="shared" si="124"/>
        <v>80.73</v>
      </c>
      <c r="H272" s="37">
        <f t="shared" si="125"/>
        <v>80.73</v>
      </c>
      <c r="I272" s="2218">
        <f>面积清单!E261</f>
        <v>80.73</v>
      </c>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3"/>
      <c r="AV272" s="1798">
        <f t="shared" si="127"/>
        <v>0</v>
      </c>
      <c r="AW272" s="1798">
        <f t="shared" si="128"/>
        <v>0</v>
      </c>
      <c r="AX272" s="1798" t="str">
        <f t="shared" si="129"/>
        <v>7-2201</v>
      </c>
      <c r="AY272" s="41">
        <f t="shared" si="130"/>
        <v>27.71</v>
      </c>
      <c r="AZ272" s="34">
        <f t="shared" si="131"/>
        <v>80.73</v>
      </c>
      <c r="BA272" s="34">
        <f t="shared" si="132"/>
        <v>80.73</v>
      </c>
      <c r="BB272" s="34">
        <f t="shared" si="133"/>
        <v>80.73</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1274" t="str">
        <f>面积清单!B262</f>
        <v>7-2202</v>
      </c>
      <c r="D273" s="2217" t="s">
        <v>3658</v>
      </c>
      <c r="E273" s="34">
        <f t="shared" si="123"/>
        <v>13.84</v>
      </c>
      <c r="F273" s="35"/>
      <c r="G273" s="36">
        <f t="shared" si="124"/>
        <v>52.17</v>
      </c>
      <c r="H273" s="37">
        <f t="shared" si="125"/>
        <v>52.17</v>
      </c>
      <c r="I273" s="2218">
        <f>面积清单!E262</f>
        <v>52.17</v>
      </c>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3"/>
      <c r="AV273" s="1798">
        <f t="shared" si="127"/>
        <v>0</v>
      </c>
      <c r="AW273" s="1798">
        <f t="shared" si="128"/>
        <v>0</v>
      </c>
      <c r="AX273" s="1798" t="str">
        <f t="shared" si="129"/>
        <v>7-2202</v>
      </c>
      <c r="AY273" s="41">
        <f t="shared" si="130"/>
        <v>17.91</v>
      </c>
      <c r="AZ273" s="34">
        <f t="shared" si="131"/>
        <v>52.17</v>
      </c>
      <c r="BA273" s="34">
        <f t="shared" si="132"/>
        <v>52.17</v>
      </c>
      <c r="BB273" s="34">
        <f t="shared" si="133"/>
        <v>52.17</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1274" t="str">
        <f>面积清单!B263</f>
        <v>7-2203</v>
      </c>
      <c r="D274" s="2217" t="s">
        <v>3658</v>
      </c>
      <c r="E274" s="34">
        <f t="shared" si="123"/>
        <v>13.84</v>
      </c>
      <c r="F274" s="35"/>
      <c r="G274" s="36">
        <f t="shared" si="124"/>
        <v>52.17</v>
      </c>
      <c r="H274" s="37">
        <f t="shared" si="125"/>
        <v>52.17</v>
      </c>
      <c r="I274" s="2218">
        <f>面积清单!E263</f>
        <v>52.17</v>
      </c>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3"/>
      <c r="AV274" s="1798">
        <f t="shared" si="127"/>
        <v>0</v>
      </c>
      <c r="AW274" s="1798">
        <f t="shared" si="128"/>
        <v>0</v>
      </c>
      <c r="AX274" s="1798" t="str">
        <f t="shared" si="129"/>
        <v>7-2203</v>
      </c>
      <c r="AY274" s="41">
        <f t="shared" si="130"/>
        <v>17.91</v>
      </c>
      <c r="AZ274" s="34">
        <f t="shared" si="131"/>
        <v>52.17</v>
      </c>
      <c r="BA274" s="34">
        <f t="shared" si="132"/>
        <v>52.17</v>
      </c>
      <c r="BB274" s="34">
        <f t="shared" si="133"/>
        <v>52.17</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1274" t="str">
        <f>面积清单!B264</f>
        <v>7-2204</v>
      </c>
      <c r="D275" s="2217" t="s">
        <v>3658</v>
      </c>
      <c r="E275" s="34">
        <f t="shared" si="123"/>
        <v>13.84</v>
      </c>
      <c r="F275" s="35"/>
      <c r="G275" s="36">
        <f t="shared" si="124"/>
        <v>52.17</v>
      </c>
      <c r="H275" s="37">
        <f t="shared" si="125"/>
        <v>52.17</v>
      </c>
      <c r="I275" s="2218">
        <f>面积清单!E264</f>
        <v>52.17</v>
      </c>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3"/>
      <c r="AV275" s="1798">
        <f t="shared" si="127"/>
        <v>0</v>
      </c>
      <c r="AW275" s="1798">
        <f t="shared" si="128"/>
        <v>0</v>
      </c>
      <c r="AX275" s="1798" t="str">
        <f t="shared" si="129"/>
        <v>7-2204</v>
      </c>
      <c r="AY275" s="41">
        <f t="shared" si="130"/>
        <v>17.91</v>
      </c>
      <c r="AZ275" s="34">
        <f t="shared" si="131"/>
        <v>52.17</v>
      </c>
      <c r="BA275" s="34">
        <f t="shared" si="132"/>
        <v>52.17</v>
      </c>
      <c r="BB275" s="34">
        <f t="shared" si="133"/>
        <v>52.17</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1274" t="str">
        <f>面积清单!B265</f>
        <v>7-2205</v>
      </c>
      <c r="D276" s="2217" t="s">
        <v>3658</v>
      </c>
      <c r="E276" s="34">
        <f t="shared" si="123"/>
        <v>13.84</v>
      </c>
      <c r="F276" s="35"/>
      <c r="G276" s="36">
        <f t="shared" si="124"/>
        <v>52.17</v>
      </c>
      <c r="H276" s="37">
        <f t="shared" si="125"/>
        <v>52.17</v>
      </c>
      <c r="I276" s="2218">
        <f>面积清单!E265</f>
        <v>52.17</v>
      </c>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3"/>
      <c r="AV276" s="1798">
        <f t="shared" si="127"/>
        <v>0</v>
      </c>
      <c r="AW276" s="1798">
        <f t="shared" si="128"/>
        <v>0</v>
      </c>
      <c r="AX276" s="1798" t="str">
        <f t="shared" si="129"/>
        <v>7-2205</v>
      </c>
      <c r="AY276" s="41">
        <f t="shared" si="130"/>
        <v>17.91</v>
      </c>
      <c r="AZ276" s="34">
        <f t="shared" si="131"/>
        <v>52.17</v>
      </c>
      <c r="BA276" s="34">
        <f t="shared" si="132"/>
        <v>52.17</v>
      </c>
      <c r="BB276" s="34">
        <f t="shared" si="133"/>
        <v>52.17</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1274" t="str">
        <f>面积清单!B266</f>
        <v>7-2206</v>
      </c>
      <c r="D277" s="2217" t="s">
        <v>3658</v>
      </c>
      <c r="E277" s="34">
        <f t="shared" si="123"/>
        <v>13.84</v>
      </c>
      <c r="F277" s="35"/>
      <c r="G277" s="36">
        <f t="shared" si="124"/>
        <v>52.17</v>
      </c>
      <c r="H277" s="37">
        <f t="shared" si="125"/>
        <v>52.17</v>
      </c>
      <c r="I277" s="2218">
        <f>面积清单!E266</f>
        <v>52.17</v>
      </c>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3"/>
      <c r="AV277" s="1798">
        <f t="shared" si="127"/>
        <v>0</v>
      </c>
      <c r="AW277" s="1798">
        <f t="shared" si="128"/>
        <v>0</v>
      </c>
      <c r="AX277" s="1798" t="str">
        <f t="shared" si="129"/>
        <v>7-2206</v>
      </c>
      <c r="AY277" s="41">
        <f t="shared" si="130"/>
        <v>17.91</v>
      </c>
      <c r="AZ277" s="34">
        <f t="shared" si="131"/>
        <v>52.17</v>
      </c>
      <c r="BA277" s="34">
        <f t="shared" si="132"/>
        <v>52.17</v>
      </c>
      <c r="BB277" s="34">
        <f t="shared" si="133"/>
        <v>52.17</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1274" t="str">
        <f>面积清单!B267</f>
        <v>7-2207</v>
      </c>
      <c r="D278" s="2217" t="s">
        <v>3658</v>
      </c>
      <c r="E278" s="34">
        <f t="shared" si="123"/>
        <v>13.84</v>
      </c>
      <c r="F278" s="35"/>
      <c r="G278" s="36">
        <f t="shared" si="124"/>
        <v>52.17</v>
      </c>
      <c r="H278" s="37">
        <f t="shared" si="125"/>
        <v>52.17</v>
      </c>
      <c r="I278" s="2218">
        <f>面积清单!E267</f>
        <v>52.17</v>
      </c>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3"/>
      <c r="AV278" s="1798">
        <f t="shared" si="127"/>
        <v>0</v>
      </c>
      <c r="AW278" s="1798">
        <f t="shared" si="128"/>
        <v>0</v>
      </c>
      <c r="AX278" s="1798" t="str">
        <f t="shared" si="129"/>
        <v>7-2207</v>
      </c>
      <c r="AY278" s="41">
        <f t="shared" si="130"/>
        <v>17.91</v>
      </c>
      <c r="AZ278" s="34">
        <f t="shared" si="131"/>
        <v>52.17</v>
      </c>
      <c r="BA278" s="34">
        <f t="shared" si="132"/>
        <v>52.17</v>
      </c>
      <c r="BB278" s="34">
        <f t="shared" si="133"/>
        <v>52.17</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1274" t="str">
        <f>面积清单!B268</f>
        <v>7-2208</v>
      </c>
      <c r="D279" s="2217" t="s">
        <v>3658</v>
      </c>
      <c r="E279" s="34">
        <f t="shared" si="123"/>
        <v>13.84</v>
      </c>
      <c r="F279" s="35"/>
      <c r="G279" s="36">
        <f t="shared" si="124"/>
        <v>52.17</v>
      </c>
      <c r="H279" s="37">
        <f t="shared" si="125"/>
        <v>52.17</v>
      </c>
      <c r="I279" s="2218">
        <f>面积清单!E268</f>
        <v>52.17</v>
      </c>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3"/>
      <c r="AV279" s="1798">
        <f t="shared" si="127"/>
        <v>0</v>
      </c>
      <c r="AW279" s="1798">
        <f t="shared" si="128"/>
        <v>0</v>
      </c>
      <c r="AX279" s="1798" t="str">
        <f t="shared" si="129"/>
        <v>7-2208</v>
      </c>
      <c r="AY279" s="41">
        <f t="shared" si="130"/>
        <v>17.91</v>
      </c>
      <c r="AZ279" s="34">
        <f t="shared" si="131"/>
        <v>52.17</v>
      </c>
      <c r="BA279" s="34">
        <f t="shared" si="132"/>
        <v>52.17</v>
      </c>
      <c r="BB279" s="34">
        <f t="shared" si="133"/>
        <v>52.17</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1274" t="str">
        <f>面积清单!B269</f>
        <v>7-2209</v>
      </c>
      <c r="D280" s="2217" t="s">
        <v>3658</v>
      </c>
      <c r="E280" s="34">
        <f t="shared" si="123"/>
        <v>13.84</v>
      </c>
      <c r="F280" s="35"/>
      <c r="G280" s="36">
        <f t="shared" si="124"/>
        <v>52.17</v>
      </c>
      <c r="H280" s="37">
        <f t="shared" si="125"/>
        <v>52.17</v>
      </c>
      <c r="I280" s="2218">
        <f>面积清单!E269</f>
        <v>52.17</v>
      </c>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3"/>
      <c r="AV280" s="1798">
        <f t="shared" si="127"/>
        <v>0</v>
      </c>
      <c r="AW280" s="1798">
        <f t="shared" si="128"/>
        <v>0</v>
      </c>
      <c r="AX280" s="1798" t="str">
        <f t="shared" si="129"/>
        <v>7-2209</v>
      </c>
      <c r="AY280" s="41">
        <f t="shared" si="130"/>
        <v>17.91</v>
      </c>
      <c r="AZ280" s="34">
        <f t="shared" si="131"/>
        <v>52.17</v>
      </c>
      <c r="BA280" s="34">
        <f t="shared" si="132"/>
        <v>52.17</v>
      </c>
      <c r="BB280" s="34">
        <f t="shared" si="133"/>
        <v>52.17</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1274" t="str">
        <f>面积清单!B270</f>
        <v>7-2210</v>
      </c>
      <c r="D281" s="2217" t="s">
        <v>3658</v>
      </c>
      <c r="E281" s="34">
        <f t="shared" si="123"/>
        <v>13.84</v>
      </c>
      <c r="F281" s="35"/>
      <c r="G281" s="36">
        <f t="shared" si="124"/>
        <v>52.17</v>
      </c>
      <c r="H281" s="37">
        <f t="shared" si="125"/>
        <v>52.17</v>
      </c>
      <c r="I281" s="2218">
        <f>面积清单!E270</f>
        <v>52.17</v>
      </c>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3"/>
      <c r="AV281" s="1798">
        <f t="shared" si="127"/>
        <v>0</v>
      </c>
      <c r="AW281" s="1798">
        <f t="shared" si="128"/>
        <v>0</v>
      </c>
      <c r="AX281" s="1798" t="str">
        <f t="shared" si="129"/>
        <v>7-2210</v>
      </c>
      <c r="AY281" s="41">
        <f t="shared" si="130"/>
        <v>17.91</v>
      </c>
      <c r="AZ281" s="34">
        <f t="shared" si="131"/>
        <v>52.17</v>
      </c>
      <c r="BA281" s="34">
        <f t="shared" si="132"/>
        <v>52.17</v>
      </c>
      <c r="BB281" s="34">
        <f t="shared" si="133"/>
        <v>52.17</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1274" t="str">
        <f>面积清单!B271</f>
        <v>7-2211</v>
      </c>
      <c r="D282" s="2217" t="s">
        <v>3658</v>
      </c>
      <c r="E282" s="34">
        <f t="shared" si="123"/>
        <v>13.84</v>
      </c>
      <c r="F282" s="35"/>
      <c r="G282" s="36">
        <f t="shared" si="124"/>
        <v>52.17</v>
      </c>
      <c r="H282" s="37">
        <f t="shared" si="125"/>
        <v>52.17</v>
      </c>
      <c r="I282" s="2218">
        <f>面积清单!E271</f>
        <v>52.17</v>
      </c>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3"/>
      <c r="AV282" s="1798">
        <f t="shared" si="127"/>
        <v>0</v>
      </c>
      <c r="AW282" s="1798">
        <f t="shared" si="128"/>
        <v>0</v>
      </c>
      <c r="AX282" s="1798" t="str">
        <f t="shared" si="129"/>
        <v>7-2211</v>
      </c>
      <c r="AY282" s="41">
        <f t="shared" si="130"/>
        <v>17.91</v>
      </c>
      <c r="AZ282" s="34">
        <f t="shared" si="131"/>
        <v>52.17</v>
      </c>
      <c r="BA282" s="34">
        <f t="shared" si="132"/>
        <v>52.17</v>
      </c>
      <c r="BB282" s="34">
        <f t="shared" si="133"/>
        <v>52.17</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1274" t="str">
        <f>面积清单!B272</f>
        <v>7-2212</v>
      </c>
      <c r="D283" s="2217" t="s">
        <v>3658</v>
      </c>
      <c r="E283" s="34">
        <f t="shared" si="123"/>
        <v>21.42</v>
      </c>
      <c r="F283" s="35"/>
      <c r="G283" s="36">
        <f t="shared" si="124"/>
        <v>80.73</v>
      </c>
      <c r="H283" s="37">
        <f t="shared" si="125"/>
        <v>80.73</v>
      </c>
      <c r="I283" s="2218">
        <f>面积清单!E272</f>
        <v>80.73</v>
      </c>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3"/>
      <c r="AV283" s="1798">
        <f t="shared" si="127"/>
        <v>0</v>
      </c>
      <c r="AW283" s="1798">
        <f t="shared" si="128"/>
        <v>0</v>
      </c>
      <c r="AX283" s="1798" t="str">
        <f t="shared" si="129"/>
        <v>7-2212</v>
      </c>
      <c r="AY283" s="41">
        <f t="shared" si="130"/>
        <v>27.71</v>
      </c>
      <c r="AZ283" s="34">
        <f t="shared" si="131"/>
        <v>80.73</v>
      </c>
      <c r="BA283" s="34">
        <f t="shared" si="132"/>
        <v>80.73</v>
      </c>
      <c r="BB283" s="34">
        <f t="shared" si="133"/>
        <v>80.73</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1274" t="str">
        <f>面积清单!B273</f>
        <v>7-2213</v>
      </c>
      <c r="D284" s="2217" t="s">
        <v>3658</v>
      </c>
      <c r="E284" s="34">
        <f t="shared" si="123"/>
        <v>17.88</v>
      </c>
      <c r="F284" s="35"/>
      <c r="G284" s="36">
        <f t="shared" si="124"/>
        <v>67.36</v>
      </c>
      <c r="H284" s="37">
        <f t="shared" si="125"/>
        <v>67.36</v>
      </c>
      <c r="I284" s="2218">
        <f>面积清单!E273</f>
        <v>67.36</v>
      </c>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3"/>
      <c r="AV284" s="1798">
        <f t="shared" si="127"/>
        <v>0</v>
      </c>
      <c r="AW284" s="1798">
        <f t="shared" si="128"/>
        <v>0</v>
      </c>
      <c r="AX284" s="1798" t="str">
        <f t="shared" si="129"/>
        <v>7-2213</v>
      </c>
      <c r="AY284" s="41">
        <f t="shared" si="130"/>
        <v>23.12</v>
      </c>
      <c r="AZ284" s="34">
        <f t="shared" si="131"/>
        <v>67.36</v>
      </c>
      <c r="BA284" s="34">
        <f t="shared" si="132"/>
        <v>67.36</v>
      </c>
      <c r="BB284" s="34">
        <f t="shared" si="133"/>
        <v>67.36</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1274" t="str">
        <f>面积清单!B274</f>
        <v>7-2214</v>
      </c>
      <c r="D285" s="2217" t="s">
        <v>3658</v>
      </c>
      <c r="E285" s="34">
        <f t="shared" si="123"/>
        <v>17.88</v>
      </c>
      <c r="F285" s="35"/>
      <c r="G285" s="36">
        <f t="shared" si="124"/>
        <v>67.36</v>
      </c>
      <c r="H285" s="37">
        <f t="shared" si="125"/>
        <v>67.36</v>
      </c>
      <c r="I285" s="2218">
        <f>面积清单!E274</f>
        <v>67.36</v>
      </c>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3"/>
      <c r="AV285" s="1798">
        <f t="shared" si="127"/>
        <v>0</v>
      </c>
      <c r="AW285" s="1798">
        <f t="shared" si="128"/>
        <v>0</v>
      </c>
      <c r="AX285" s="1798" t="str">
        <f t="shared" si="129"/>
        <v>7-2214</v>
      </c>
      <c r="AY285" s="41">
        <f t="shared" si="130"/>
        <v>23.12</v>
      </c>
      <c r="AZ285" s="34">
        <f t="shared" si="131"/>
        <v>67.36</v>
      </c>
      <c r="BA285" s="34">
        <f t="shared" si="132"/>
        <v>67.36</v>
      </c>
      <c r="BB285" s="34">
        <f t="shared" si="133"/>
        <v>67.36</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1274" t="str">
        <f>面积清单!B275</f>
        <v>7-2215</v>
      </c>
      <c r="D286" s="2217" t="s">
        <v>3658</v>
      </c>
      <c r="E286" s="34">
        <f t="shared" si="123"/>
        <v>21.42</v>
      </c>
      <c r="F286" s="35"/>
      <c r="G286" s="36">
        <f t="shared" si="124"/>
        <v>80.73</v>
      </c>
      <c r="H286" s="37">
        <f t="shared" si="125"/>
        <v>80.73</v>
      </c>
      <c r="I286" s="2218">
        <f>面积清单!E275</f>
        <v>80.73</v>
      </c>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3"/>
      <c r="AV286" s="1798">
        <f t="shared" si="127"/>
        <v>0</v>
      </c>
      <c r="AW286" s="1798">
        <f t="shared" si="128"/>
        <v>0</v>
      </c>
      <c r="AX286" s="1798" t="str">
        <f t="shared" si="129"/>
        <v>7-2215</v>
      </c>
      <c r="AY286" s="41">
        <f t="shared" si="130"/>
        <v>27.71</v>
      </c>
      <c r="AZ286" s="34">
        <f t="shared" si="131"/>
        <v>80.73</v>
      </c>
      <c r="BA286" s="34">
        <f t="shared" si="132"/>
        <v>80.73</v>
      </c>
      <c r="BB286" s="34">
        <f t="shared" si="133"/>
        <v>80.73</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1274" t="str">
        <f>面积清单!B276</f>
        <v>7-2216</v>
      </c>
      <c r="D287" s="2217" t="s">
        <v>3658</v>
      </c>
      <c r="E287" s="34">
        <f t="shared" si="123"/>
        <v>13.84</v>
      </c>
      <c r="F287" s="35"/>
      <c r="G287" s="36">
        <f t="shared" si="124"/>
        <v>52.17</v>
      </c>
      <c r="H287" s="37">
        <f t="shared" si="125"/>
        <v>52.17</v>
      </c>
      <c r="I287" s="2218">
        <f>面积清单!E276</f>
        <v>52.17</v>
      </c>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3"/>
      <c r="AV287" s="1798">
        <f t="shared" si="127"/>
        <v>0</v>
      </c>
      <c r="AW287" s="1798">
        <f t="shared" si="128"/>
        <v>0</v>
      </c>
      <c r="AX287" s="1798" t="str">
        <f t="shared" si="129"/>
        <v>7-2216</v>
      </c>
      <c r="AY287" s="41">
        <f t="shared" si="130"/>
        <v>17.91</v>
      </c>
      <c r="AZ287" s="34">
        <f t="shared" si="131"/>
        <v>52.17</v>
      </c>
      <c r="BA287" s="34">
        <f t="shared" si="132"/>
        <v>52.17</v>
      </c>
      <c r="BB287" s="34">
        <f t="shared" si="133"/>
        <v>52.17</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1274" t="str">
        <f>面积清单!B277</f>
        <v>7-2217</v>
      </c>
      <c r="D288" s="2217" t="s">
        <v>3658</v>
      </c>
      <c r="E288" s="34">
        <f t="shared" si="123"/>
        <v>13.84</v>
      </c>
      <c r="F288" s="35"/>
      <c r="G288" s="36">
        <f t="shared" si="124"/>
        <v>52.17</v>
      </c>
      <c r="H288" s="37">
        <f t="shared" si="125"/>
        <v>52.17</v>
      </c>
      <c r="I288" s="2218">
        <f>面积清单!E277</f>
        <v>52.17</v>
      </c>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3"/>
      <c r="AV288" s="1798">
        <f t="shared" si="127"/>
        <v>0</v>
      </c>
      <c r="AW288" s="1798">
        <f t="shared" si="128"/>
        <v>0</v>
      </c>
      <c r="AX288" s="1798" t="str">
        <f t="shared" si="129"/>
        <v>7-2217</v>
      </c>
      <c r="AY288" s="41">
        <f t="shared" si="130"/>
        <v>17.91</v>
      </c>
      <c r="AZ288" s="34">
        <f t="shared" si="131"/>
        <v>52.17</v>
      </c>
      <c r="BA288" s="34">
        <f t="shared" si="132"/>
        <v>52.17</v>
      </c>
      <c r="BB288" s="34">
        <f t="shared" si="133"/>
        <v>52.17</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1274" t="str">
        <f>面积清单!B278</f>
        <v>7-2218</v>
      </c>
      <c r="D289" s="2217" t="s">
        <v>3658</v>
      </c>
      <c r="E289" s="34">
        <f t="shared" si="123"/>
        <v>13.84</v>
      </c>
      <c r="F289" s="35"/>
      <c r="G289" s="36">
        <f t="shared" si="124"/>
        <v>52.17</v>
      </c>
      <c r="H289" s="37">
        <f t="shared" si="125"/>
        <v>52.17</v>
      </c>
      <c r="I289" s="2218">
        <f>面积清单!E278</f>
        <v>52.17</v>
      </c>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3"/>
      <c r="AV289" s="1798">
        <f t="shared" si="127"/>
        <v>0</v>
      </c>
      <c r="AW289" s="1798">
        <f t="shared" si="128"/>
        <v>0</v>
      </c>
      <c r="AX289" s="1798" t="str">
        <f t="shared" si="129"/>
        <v>7-2218</v>
      </c>
      <c r="AY289" s="41">
        <f t="shared" si="130"/>
        <v>17.91</v>
      </c>
      <c r="AZ289" s="34">
        <f t="shared" si="131"/>
        <v>52.17</v>
      </c>
      <c r="BA289" s="34">
        <f t="shared" si="132"/>
        <v>52.17</v>
      </c>
      <c r="BB289" s="34">
        <f t="shared" si="133"/>
        <v>52.17</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1274" t="str">
        <f>面积清单!B279</f>
        <v>7-2219</v>
      </c>
      <c r="D290" s="2217" t="s">
        <v>3658</v>
      </c>
      <c r="E290" s="34">
        <f t="shared" si="123"/>
        <v>13.84</v>
      </c>
      <c r="F290" s="35"/>
      <c r="G290" s="36">
        <f t="shared" si="124"/>
        <v>52.17</v>
      </c>
      <c r="H290" s="37">
        <f t="shared" si="125"/>
        <v>52.17</v>
      </c>
      <c r="I290" s="2218">
        <f>面积清单!E279</f>
        <v>52.17</v>
      </c>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3"/>
      <c r="AV290" s="1798">
        <f t="shared" si="127"/>
        <v>0</v>
      </c>
      <c r="AW290" s="1798">
        <f t="shared" si="128"/>
        <v>0</v>
      </c>
      <c r="AX290" s="1798" t="str">
        <f t="shared" si="129"/>
        <v>7-2219</v>
      </c>
      <c r="AY290" s="41">
        <f t="shared" si="130"/>
        <v>17.91</v>
      </c>
      <c r="AZ290" s="34">
        <f t="shared" si="131"/>
        <v>52.17</v>
      </c>
      <c r="BA290" s="34">
        <f t="shared" si="132"/>
        <v>52.17</v>
      </c>
      <c r="BB290" s="34">
        <f t="shared" si="133"/>
        <v>52.17</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1274" t="str">
        <f>面积清单!B280</f>
        <v>7-2220</v>
      </c>
      <c r="D291" s="2217" t="s">
        <v>3658</v>
      </c>
      <c r="E291" s="34">
        <f t="shared" si="123"/>
        <v>13.84</v>
      </c>
      <c r="F291" s="35"/>
      <c r="G291" s="36">
        <f t="shared" si="124"/>
        <v>52.17</v>
      </c>
      <c r="H291" s="37">
        <f t="shared" si="125"/>
        <v>52.17</v>
      </c>
      <c r="I291" s="2218">
        <f>面积清单!E280</f>
        <v>52.17</v>
      </c>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3"/>
      <c r="AV291" s="1798">
        <f t="shared" si="127"/>
        <v>0</v>
      </c>
      <c r="AW291" s="1798">
        <f t="shared" si="128"/>
        <v>0</v>
      </c>
      <c r="AX291" s="1798" t="str">
        <f t="shared" si="129"/>
        <v>7-2220</v>
      </c>
      <c r="AY291" s="41">
        <f t="shared" si="130"/>
        <v>17.91</v>
      </c>
      <c r="AZ291" s="34">
        <f t="shared" si="131"/>
        <v>52.17</v>
      </c>
      <c r="BA291" s="34">
        <f t="shared" si="132"/>
        <v>52.17</v>
      </c>
      <c r="BB291" s="34">
        <f t="shared" si="133"/>
        <v>52.17</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1274" t="str">
        <f>面积清单!B281</f>
        <v>7-2221</v>
      </c>
      <c r="D292" s="2217" t="s">
        <v>3658</v>
      </c>
      <c r="E292" s="34">
        <f t="shared" si="123"/>
        <v>13.84</v>
      </c>
      <c r="F292" s="35"/>
      <c r="G292" s="36">
        <f t="shared" si="124"/>
        <v>52.17</v>
      </c>
      <c r="H292" s="37">
        <f t="shared" si="125"/>
        <v>52.17</v>
      </c>
      <c r="I292" s="2218">
        <f>面积清单!E281</f>
        <v>52.17</v>
      </c>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3"/>
      <c r="AV292" s="1798">
        <f t="shared" si="127"/>
        <v>0</v>
      </c>
      <c r="AW292" s="1798">
        <f t="shared" si="128"/>
        <v>0</v>
      </c>
      <c r="AX292" s="1798" t="str">
        <f t="shared" si="129"/>
        <v>7-2221</v>
      </c>
      <c r="AY292" s="41">
        <f t="shared" si="130"/>
        <v>17.91</v>
      </c>
      <c r="AZ292" s="34">
        <f t="shared" si="131"/>
        <v>52.17</v>
      </c>
      <c r="BA292" s="34">
        <f t="shared" si="132"/>
        <v>52.17</v>
      </c>
      <c r="BB292" s="34">
        <f t="shared" si="133"/>
        <v>52.17</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1274" t="str">
        <f>面积清单!B282</f>
        <v>7-2222</v>
      </c>
      <c r="D293" s="2217" t="s">
        <v>3658</v>
      </c>
      <c r="E293" s="34">
        <f t="shared" si="123"/>
        <v>13.84</v>
      </c>
      <c r="F293" s="35"/>
      <c r="G293" s="36">
        <f t="shared" si="124"/>
        <v>52.17</v>
      </c>
      <c r="H293" s="37">
        <f t="shared" si="125"/>
        <v>52.17</v>
      </c>
      <c r="I293" s="2218">
        <f>面积清单!E282</f>
        <v>52.17</v>
      </c>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3"/>
      <c r="AV293" s="1798">
        <f t="shared" si="127"/>
        <v>0</v>
      </c>
      <c r="AW293" s="1798">
        <f t="shared" si="128"/>
        <v>0</v>
      </c>
      <c r="AX293" s="1798" t="str">
        <f t="shared" si="129"/>
        <v>7-2222</v>
      </c>
      <c r="AY293" s="41">
        <f t="shared" si="130"/>
        <v>17.91</v>
      </c>
      <c r="AZ293" s="34">
        <f t="shared" si="131"/>
        <v>52.17</v>
      </c>
      <c r="BA293" s="34">
        <f t="shared" si="132"/>
        <v>52.17</v>
      </c>
      <c r="BB293" s="34">
        <f t="shared" si="133"/>
        <v>52.17</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1274" t="str">
        <f>面积清单!B283</f>
        <v>7-2223</v>
      </c>
      <c r="D294" s="2217" t="s">
        <v>3658</v>
      </c>
      <c r="E294" s="34">
        <f t="shared" si="123"/>
        <v>13.84</v>
      </c>
      <c r="F294" s="35"/>
      <c r="G294" s="36">
        <f t="shared" si="124"/>
        <v>52.17</v>
      </c>
      <c r="H294" s="37">
        <f t="shared" si="125"/>
        <v>52.17</v>
      </c>
      <c r="I294" s="2218">
        <f>面积清单!E283</f>
        <v>52.17</v>
      </c>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3"/>
      <c r="AV294" s="1798">
        <f t="shared" si="127"/>
        <v>0</v>
      </c>
      <c r="AW294" s="1798">
        <f t="shared" si="128"/>
        <v>0</v>
      </c>
      <c r="AX294" s="1798" t="str">
        <f t="shared" si="129"/>
        <v>7-2223</v>
      </c>
      <c r="AY294" s="41">
        <f t="shared" si="130"/>
        <v>17.91</v>
      </c>
      <c r="AZ294" s="34">
        <f t="shared" si="131"/>
        <v>52.17</v>
      </c>
      <c r="BA294" s="34">
        <f t="shared" si="132"/>
        <v>52.17</v>
      </c>
      <c r="BB294" s="34">
        <f t="shared" si="133"/>
        <v>52.17</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1274" t="str">
        <f>面积清单!B284</f>
        <v>7-2224</v>
      </c>
      <c r="D295" s="2217" t="s">
        <v>3658</v>
      </c>
      <c r="E295" s="34">
        <f t="shared" si="123"/>
        <v>13.84</v>
      </c>
      <c r="F295" s="35"/>
      <c r="G295" s="36">
        <f t="shared" si="124"/>
        <v>52.17</v>
      </c>
      <c r="H295" s="37">
        <f t="shared" si="125"/>
        <v>52.17</v>
      </c>
      <c r="I295" s="2218">
        <f>面积清单!E284</f>
        <v>52.17</v>
      </c>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3"/>
      <c r="AV295" s="1798">
        <f t="shared" si="127"/>
        <v>0</v>
      </c>
      <c r="AW295" s="1798">
        <f t="shared" si="128"/>
        <v>0</v>
      </c>
      <c r="AX295" s="1798" t="str">
        <f t="shared" si="129"/>
        <v>7-2224</v>
      </c>
      <c r="AY295" s="41">
        <f t="shared" si="130"/>
        <v>17.91</v>
      </c>
      <c r="AZ295" s="34">
        <f t="shared" si="131"/>
        <v>52.17</v>
      </c>
      <c r="BA295" s="34">
        <f t="shared" si="132"/>
        <v>52.17</v>
      </c>
      <c r="BB295" s="34">
        <f t="shared" si="133"/>
        <v>52.17</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1274" t="str">
        <f>面积清单!B285</f>
        <v>7-2225</v>
      </c>
      <c r="D296" s="2217" t="s">
        <v>3658</v>
      </c>
      <c r="E296" s="34">
        <f t="shared" si="123"/>
        <v>13.84</v>
      </c>
      <c r="F296" s="35"/>
      <c r="G296" s="36">
        <f t="shared" si="124"/>
        <v>52.17</v>
      </c>
      <c r="H296" s="37">
        <f t="shared" si="125"/>
        <v>52.17</v>
      </c>
      <c r="I296" s="2218">
        <f>面积清单!E285</f>
        <v>52.17</v>
      </c>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3"/>
      <c r="AV296" s="1798">
        <f t="shared" si="127"/>
        <v>0</v>
      </c>
      <c r="AW296" s="1798">
        <f t="shared" si="128"/>
        <v>0</v>
      </c>
      <c r="AX296" s="1798" t="str">
        <f t="shared" si="129"/>
        <v>7-2225</v>
      </c>
      <c r="AY296" s="41">
        <f t="shared" si="130"/>
        <v>17.91</v>
      </c>
      <c r="AZ296" s="34">
        <f t="shared" si="131"/>
        <v>52.17</v>
      </c>
      <c r="BA296" s="34">
        <f t="shared" si="132"/>
        <v>52.17</v>
      </c>
      <c r="BB296" s="34">
        <f t="shared" si="133"/>
        <v>52.17</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1274" t="str">
        <f>面积清单!B286</f>
        <v>7-2226</v>
      </c>
      <c r="D297" s="2217" t="s">
        <v>3658</v>
      </c>
      <c r="E297" s="34">
        <f t="shared" si="123"/>
        <v>21.42</v>
      </c>
      <c r="F297" s="35"/>
      <c r="G297" s="36">
        <f t="shared" si="124"/>
        <v>80.73</v>
      </c>
      <c r="H297" s="37">
        <f t="shared" si="125"/>
        <v>80.73</v>
      </c>
      <c r="I297" s="2218">
        <f>面积清单!E286</f>
        <v>80.73</v>
      </c>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3"/>
      <c r="AV297" s="1798">
        <f t="shared" si="127"/>
        <v>0</v>
      </c>
      <c r="AW297" s="1798">
        <f t="shared" si="128"/>
        <v>0</v>
      </c>
      <c r="AX297" s="1798" t="str">
        <f t="shared" si="129"/>
        <v>7-2226</v>
      </c>
      <c r="AY297" s="41">
        <f t="shared" si="130"/>
        <v>27.71</v>
      </c>
      <c r="AZ297" s="34">
        <f t="shared" si="131"/>
        <v>80.73</v>
      </c>
      <c r="BA297" s="34">
        <f t="shared" si="132"/>
        <v>80.73</v>
      </c>
      <c r="BB297" s="34">
        <f t="shared" si="133"/>
        <v>80.73</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1274" t="str">
        <f>面积清单!B287</f>
        <v>7-2227</v>
      </c>
      <c r="D298" s="2217" t="s">
        <v>3658</v>
      </c>
      <c r="E298" s="34">
        <f t="shared" si="123"/>
        <v>24.7</v>
      </c>
      <c r="F298" s="35"/>
      <c r="G298" s="36">
        <f t="shared" si="124"/>
        <v>93.08</v>
      </c>
      <c r="H298" s="37">
        <f t="shared" si="125"/>
        <v>93.08</v>
      </c>
      <c r="I298" s="2218">
        <f>面积清单!E287</f>
        <v>93.08</v>
      </c>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3"/>
      <c r="AV298" s="1798">
        <f t="shared" si="127"/>
        <v>0</v>
      </c>
      <c r="AW298" s="1798">
        <f t="shared" si="128"/>
        <v>0</v>
      </c>
      <c r="AX298" s="1798" t="str">
        <f t="shared" si="129"/>
        <v>7-2227</v>
      </c>
      <c r="AY298" s="41">
        <f t="shared" si="130"/>
        <v>31.95</v>
      </c>
      <c r="AZ298" s="34">
        <f t="shared" si="131"/>
        <v>93.08</v>
      </c>
      <c r="BA298" s="34">
        <f t="shared" si="132"/>
        <v>93.08</v>
      </c>
      <c r="BB298" s="34">
        <f t="shared" si="133"/>
        <v>93.08</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1274" t="str">
        <f>面积清单!B288</f>
        <v>7-2228</v>
      </c>
      <c r="D299" s="2217" t="s">
        <v>3658</v>
      </c>
      <c r="E299" s="34">
        <f t="shared" si="123"/>
        <v>24.7</v>
      </c>
      <c r="F299" s="35"/>
      <c r="G299" s="36">
        <f t="shared" si="124"/>
        <v>93.08</v>
      </c>
      <c r="H299" s="37">
        <f t="shared" si="125"/>
        <v>93.08</v>
      </c>
      <c r="I299" s="2218">
        <f>面积清单!E288</f>
        <v>93.08</v>
      </c>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3"/>
      <c r="AV299" s="1798">
        <f t="shared" si="127"/>
        <v>0</v>
      </c>
      <c r="AW299" s="1798">
        <f t="shared" si="128"/>
        <v>0</v>
      </c>
      <c r="AX299" s="1798" t="str">
        <f t="shared" si="129"/>
        <v>7-2228</v>
      </c>
      <c r="AY299" s="41">
        <f t="shared" si="130"/>
        <v>31.95</v>
      </c>
      <c r="AZ299" s="34">
        <f t="shared" si="131"/>
        <v>93.08</v>
      </c>
      <c r="BA299" s="34">
        <f t="shared" si="132"/>
        <v>93.08</v>
      </c>
      <c r="BB299" s="34">
        <f t="shared" si="133"/>
        <v>93.08</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1274" t="str">
        <f>面积清单!B289</f>
        <v>7-2301</v>
      </c>
      <c r="D300" s="2217" t="s">
        <v>3658</v>
      </c>
      <c r="E300" s="34">
        <f t="shared" si="123"/>
        <v>21.42</v>
      </c>
      <c r="F300" s="43"/>
      <c r="G300" s="36">
        <f t="shared" ref="G300:G331" si="152">H300+AC300+AT300</f>
        <v>80.73</v>
      </c>
      <c r="H300" s="37">
        <f t="shared" ref="H300:H331" si="153">SUMIF(I$12:AB$12,"总值",I300:AB300)</f>
        <v>80.73</v>
      </c>
      <c r="I300" s="2218">
        <f>面积清单!E289</f>
        <v>80.73</v>
      </c>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8"/>
      <c r="AV300" s="1798">
        <f t="shared" si="127"/>
        <v>0</v>
      </c>
      <c r="AW300" s="1798">
        <f t="shared" si="128"/>
        <v>0</v>
      </c>
      <c r="AX300" s="1798" t="str">
        <f t="shared" si="129"/>
        <v>7-2301</v>
      </c>
      <c r="AY300" s="41">
        <f t="shared" ref="AY300:AY331" si="155">ROUND($AY$6*AZ300/$AZ$5,2)</f>
        <v>27.71</v>
      </c>
      <c r="AZ300" s="34">
        <f t="shared" ref="AZ300:AZ331" si="156">BA300+BL300</f>
        <v>80.73</v>
      </c>
      <c r="BA300" s="34">
        <f t="shared" ref="BA300:BA331" si="157">SUM(BB300:BK300)</f>
        <v>80.73</v>
      </c>
      <c r="BB300" s="34">
        <f t="shared" ref="BB300:BB331" si="158">IF($D300="是",I300-J300,0)</f>
        <v>80.73</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1274" t="str">
        <f>面积清单!B290</f>
        <v>7-2302</v>
      </c>
      <c r="D301" s="2217" t="s">
        <v>3658</v>
      </c>
      <c r="E301" s="34">
        <f t="shared" si="123"/>
        <v>13.84</v>
      </c>
      <c r="F301" s="43"/>
      <c r="G301" s="36">
        <f t="shared" si="152"/>
        <v>52.17</v>
      </c>
      <c r="H301" s="37">
        <f t="shared" si="153"/>
        <v>52.17</v>
      </c>
      <c r="I301" s="2218">
        <f>面积清单!E290</f>
        <v>52.17</v>
      </c>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8"/>
      <c r="AV301" s="1798">
        <f t="shared" si="127"/>
        <v>0</v>
      </c>
      <c r="AW301" s="1798">
        <f t="shared" si="128"/>
        <v>0</v>
      </c>
      <c r="AX301" s="1798" t="str">
        <f t="shared" si="129"/>
        <v>7-2302</v>
      </c>
      <c r="AY301" s="41">
        <f t="shared" si="155"/>
        <v>17.91</v>
      </c>
      <c r="AZ301" s="34">
        <f t="shared" si="156"/>
        <v>52.17</v>
      </c>
      <c r="BA301" s="34">
        <f t="shared" si="157"/>
        <v>52.17</v>
      </c>
      <c r="BB301" s="34">
        <f t="shared" si="158"/>
        <v>52.17</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1274" t="str">
        <f>面积清单!B291</f>
        <v>7-2303</v>
      </c>
      <c r="D302" s="2217" t="s">
        <v>3658</v>
      </c>
      <c r="E302" s="34">
        <f t="shared" si="123"/>
        <v>13.84</v>
      </c>
      <c r="F302" s="43"/>
      <c r="G302" s="36">
        <f t="shared" si="152"/>
        <v>52.17</v>
      </c>
      <c r="H302" s="37">
        <f t="shared" si="153"/>
        <v>52.17</v>
      </c>
      <c r="I302" s="2218">
        <f>面积清单!E291</f>
        <v>52.17</v>
      </c>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8"/>
      <c r="AV302" s="1798">
        <f t="shared" si="127"/>
        <v>0</v>
      </c>
      <c r="AW302" s="1798">
        <f t="shared" si="128"/>
        <v>0</v>
      </c>
      <c r="AX302" s="1798" t="str">
        <f t="shared" si="129"/>
        <v>7-2303</v>
      </c>
      <c r="AY302" s="41">
        <f t="shared" si="155"/>
        <v>17.91</v>
      </c>
      <c r="AZ302" s="34">
        <f t="shared" si="156"/>
        <v>52.17</v>
      </c>
      <c r="BA302" s="34">
        <f t="shared" si="157"/>
        <v>52.17</v>
      </c>
      <c r="BB302" s="34">
        <f t="shared" si="158"/>
        <v>52.17</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1274" t="str">
        <f>面积清单!B292</f>
        <v>7-2304</v>
      </c>
      <c r="D303" s="2217" t="s">
        <v>3658</v>
      </c>
      <c r="E303" s="34">
        <f t="shared" ref="E303:E334" si="177">IF($C$3="是",ROUND($A$3*G303/$B$3,2),ROUND($A$3*(G303-AT303)/$B$3,2))</f>
        <v>13.84</v>
      </c>
      <c r="F303" s="35"/>
      <c r="G303" s="36">
        <f t="shared" si="152"/>
        <v>52.17</v>
      </c>
      <c r="H303" s="37">
        <f t="shared" si="153"/>
        <v>52.17</v>
      </c>
      <c r="I303" s="2218">
        <f>面积清单!E292</f>
        <v>52.17</v>
      </c>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3"/>
      <c r="AV303" s="1798">
        <f t="shared" ref="AV303:AV334" si="178">A303</f>
        <v>0</v>
      </c>
      <c r="AW303" s="1798">
        <f t="shared" ref="AW303:AW334" si="179">B303</f>
        <v>0</v>
      </c>
      <c r="AX303" s="1798" t="str">
        <f t="shared" ref="AX303:AX334" si="180">C303</f>
        <v>7-2304</v>
      </c>
      <c r="AY303" s="41">
        <f t="shared" si="155"/>
        <v>17.91</v>
      </c>
      <c r="AZ303" s="34">
        <f t="shared" si="156"/>
        <v>52.17</v>
      </c>
      <c r="BA303" s="34">
        <f t="shared" si="157"/>
        <v>52.17</v>
      </c>
      <c r="BB303" s="34">
        <f t="shared" si="158"/>
        <v>52.17</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1274" t="str">
        <f>面积清单!B293</f>
        <v>7-2305</v>
      </c>
      <c r="D304" s="2217" t="s">
        <v>3658</v>
      </c>
      <c r="E304" s="34">
        <f t="shared" si="177"/>
        <v>13.84</v>
      </c>
      <c r="F304" s="35"/>
      <c r="G304" s="36">
        <f t="shared" si="152"/>
        <v>52.17</v>
      </c>
      <c r="H304" s="37">
        <f t="shared" si="153"/>
        <v>52.17</v>
      </c>
      <c r="I304" s="2218">
        <f>面积清单!E293</f>
        <v>52.17</v>
      </c>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3"/>
      <c r="AV304" s="1798">
        <f t="shared" si="178"/>
        <v>0</v>
      </c>
      <c r="AW304" s="1798">
        <f t="shared" si="179"/>
        <v>0</v>
      </c>
      <c r="AX304" s="1798" t="str">
        <f t="shared" si="180"/>
        <v>7-2305</v>
      </c>
      <c r="AY304" s="41">
        <f t="shared" si="155"/>
        <v>17.91</v>
      </c>
      <c r="AZ304" s="34">
        <f t="shared" si="156"/>
        <v>52.17</v>
      </c>
      <c r="BA304" s="34">
        <f t="shared" si="157"/>
        <v>52.17</v>
      </c>
      <c r="BB304" s="34">
        <f t="shared" si="158"/>
        <v>52.17</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1274" t="str">
        <f>面积清单!B294</f>
        <v>7-2306</v>
      </c>
      <c r="D305" s="2217" t="s">
        <v>3658</v>
      </c>
      <c r="E305" s="34">
        <f t="shared" si="177"/>
        <v>13.84</v>
      </c>
      <c r="F305" s="35"/>
      <c r="G305" s="36">
        <f t="shared" si="152"/>
        <v>52.17</v>
      </c>
      <c r="H305" s="37">
        <f t="shared" si="153"/>
        <v>52.17</v>
      </c>
      <c r="I305" s="2218">
        <f>面积清单!E294</f>
        <v>52.17</v>
      </c>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3"/>
      <c r="AV305" s="1798">
        <f t="shared" si="178"/>
        <v>0</v>
      </c>
      <c r="AW305" s="1798">
        <f t="shared" si="179"/>
        <v>0</v>
      </c>
      <c r="AX305" s="1798" t="str">
        <f t="shared" si="180"/>
        <v>7-2306</v>
      </c>
      <c r="AY305" s="41">
        <f t="shared" si="155"/>
        <v>17.91</v>
      </c>
      <c r="AZ305" s="34">
        <f t="shared" si="156"/>
        <v>52.17</v>
      </c>
      <c r="BA305" s="34">
        <f t="shared" si="157"/>
        <v>52.17</v>
      </c>
      <c r="BB305" s="34">
        <f t="shared" si="158"/>
        <v>52.17</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1274" t="str">
        <f>面积清单!B295</f>
        <v>7-2307</v>
      </c>
      <c r="D306" s="2217" t="s">
        <v>3658</v>
      </c>
      <c r="E306" s="34">
        <f t="shared" si="177"/>
        <v>13.84</v>
      </c>
      <c r="F306" s="35"/>
      <c r="G306" s="36">
        <f t="shared" si="152"/>
        <v>52.17</v>
      </c>
      <c r="H306" s="37">
        <f t="shared" si="153"/>
        <v>52.17</v>
      </c>
      <c r="I306" s="2218">
        <f>面积清单!E295</f>
        <v>52.17</v>
      </c>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3"/>
      <c r="AV306" s="1798">
        <f t="shared" si="178"/>
        <v>0</v>
      </c>
      <c r="AW306" s="1798">
        <f t="shared" si="179"/>
        <v>0</v>
      </c>
      <c r="AX306" s="1798" t="str">
        <f t="shared" si="180"/>
        <v>7-2307</v>
      </c>
      <c r="AY306" s="41">
        <f t="shared" si="155"/>
        <v>17.91</v>
      </c>
      <c r="AZ306" s="34">
        <f t="shared" si="156"/>
        <v>52.17</v>
      </c>
      <c r="BA306" s="34">
        <f t="shared" si="157"/>
        <v>52.17</v>
      </c>
      <c r="BB306" s="34">
        <f t="shared" si="158"/>
        <v>52.17</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1274" t="str">
        <f>面积清单!B296</f>
        <v>7-2308</v>
      </c>
      <c r="D307" s="2217" t="s">
        <v>3658</v>
      </c>
      <c r="E307" s="34">
        <f t="shared" si="177"/>
        <v>13.84</v>
      </c>
      <c r="F307" s="35"/>
      <c r="G307" s="36">
        <f t="shared" si="152"/>
        <v>52.17</v>
      </c>
      <c r="H307" s="37">
        <f t="shared" si="153"/>
        <v>52.17</v>
      </c>
      <c r="I307" s="2218">
        <f>面积清单!E296</f>
        <v>52.17</v>
      </c>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3"/>
      <c r="AV307" s="1798">
        <f t="shared" si="178"/>
        <v>0</v>
      </c>
      <c r="AW307" s="1798">
        <f t="shared" si="179"/>
        <v>0</v>
      </c>
      <c r="AX307" s="1798" t="str">
        <f t="shared" si="180"/>
        <v>7-2308</v>
      </c>
      <c r="AY307" s="41">
        <f t="shared" si="155"/>
        <v>17.91</v>
      </c>
      <c r="AZ307" s="34">
        <f t="shared" si="156"/>
        <v>52.17</v>
      </c>
      <c r="BA307" s="34">
        <f t="shared" si="157"/>
        <v>52.17</v>
      </c>
      <c r="BB307" s="34">
        <f t="shared" si="158"/>
        <v>52.17</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1274" t="str">
        <f>面积清单!B297</f>
        <v>7-2309</v>
      </c>
      <c r="D308" s="2217" t="s">
        <v>3658</v>
      </c>
      <c r="E308" s="34">
        <f t="shared" si="177"/>
        <v>13.84</v>
      </c>
      <c r="F308" s="35"/>
      <c r="G308" s="36">
        <f t="shared" si="152"/>
        <v>52.17</v>
      </c>
      <c r="H308" s="37">
        <f t="shared" si="153"/>
        <v>52.17</v>
      </c>
      <c r="I308" s="2218">
        <f>面积清单!E297</f>
        <v>52.17</v>
      </c>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3"/>
      <c r="AV308" s="1798">
        <f t="shared" si="178"/>
        <v>0</v>
      </c>
      <c r="AW308" s="1798">
        <f t="shared" si="179"/>
        <v>0</v>
      </c>
      <c r="AX308" s="1798" t="str">
        <f t="shared" si="180"/>
        <v>7-2309</v>
      </c>
      <c r="AY308" s="41">
        <f t="shared" si="155"/>
        <v>17.91</v>
      </c>
      <c r="AZ308" s="34">
        <f t="shared" si="156"/>
        <v>52.17</v>
      </c>
      <c r="BA308" s="34">
        <f t="shared" si="157"/>
        <v>52.17</v>
      </c>
      <c r="BB308" s="34">
        <f t="shared" si="158"/>
        <v>52.17</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1274" t="str">
        <f>面积清单!B298</f>
        <v>7-2310</v>
      </c>
      <c r="D309" s="2217" t="s">
        <v>3658</v>
      </c>
      <c r="E309" s="34">
        <f t="shared" si="177"/>
        <v>13.84</v>
      </c>
      <c r="F309" s="35"/>
      <c r="G309" s="36">
        <f t="shared" si="152"/>
        <v>52.17</v>
      </c>
      <c r="H309" s="37">
        <f t="shared" si="153"/>
        <v>52.17</v>
      </c>
      <c r="I309" s="2218">
        <f>面积清单!E298</f>
        <v>52.17</v>
      </c>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3"/>
      <c r="AV309" s="1798">
        <f t="shared" si="178"/>
        <v>0</v>
      </c>
      <c r="AW309" s="1798">
        <f t="shared" si="179"/>
        <v>0</v>
      </c>
      <c r="AX309" s="1798" t="str">
        <f t="shared" si="180"/>
        <v>7-2310</v>
      </c>
      <c r="AY309" s="41">
        <f t="shared" si="155"/>
        <v>17.91</v>
      </c>
      <c r="AZ309" s="34">
        <f t="shared" si="156"/>
        <v>52.17</v>
      </c>
      <c r="BA309" s="34">
        <f t="shared" si="157"/>
        <v>52.17</v>
      </c>
      <c r="BB309" s="34">
        <f t="shared" si="158"/>
        <v>52.17</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1274" t="str">
        <f>面积清单!B299</f>
        <v>7-2311</v>
      </c>
      <c r="D310" s="2217" t="s">
        <v>3658</v>
      </c>
      <c r="E310" s="34">
        <f t="shared" si="177"/>
        <v>13.84</v>
      </c>
      <c r="F310" s="35"/>
      <c r="G310" s="36">
        <f t="shared" si="152"/>
        <v>52.17</v>
      </c>
      <c r="H310" s="37">
        <f t="shared" si="153"/>
        <v>52.17</v>
      </c>
      <c r="I310" s="2218">
        <f>面积清单!E299</f>
        <v>52.17</v>
      </c>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3"/>
      <c r="AV310" s="1798">
        <f t="shared" si="178"/>
        <v>0</v>
      </c>
      <c r="AW310" s="1798">
        <f t="shared" si="179"/>
        <v>0</v>
      </c>
      <c r="AX310" s="1798" t="str">
        <f t="shared" si="180"/>
        <v>7-2311</v>
      </c>
      <c r="AY310" s="41">
        <f t="shared" si="155"/>
        <v>17.91</v>
      </c>
      <c r="AZ310" s="34">
        <f t="shared" si="156"/>
        <v>52.17</v>
      </c>
      <c r="BA310" s="34">
        <f t="shared" si="157"/>
        <v>52.17</v>
      </c>
      <c r="BB310" s="34">
        <f t="shared" si="158"/>
        <v>52.17</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1274" t="str">
        <f>面积清单!B300</f>
        <v>7-2312</v>
      </c>
      <c r="D311" s="2217" t="s">
        <v>3658</v>
      </c>
      <c r="E311" s="34">
        <f t="shared" si="177"/>
        <v>21.42</v>
      </c>
      <c r="F311" s="35"/>
      <c r="G311" s="36">
        <f t="shared" si="152"/>
        <v>80.73</v>
      </c>
      <c r="H311" s="37">
        <f t="shared" si="153"/>
        <v>80.73</v>
      </c>
      <c r="I311" s="2218">
        <f>面积清单!E300</f>
        <v>80.73</v>
      </c>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3"/>
      <c r="AV311" s="1798">
        <f t="shared" si="178"/>
        <v>0</v>
      </c>
      <c r="AW311" s="1798">
        <f t="shared" si="179"/>
        <v>0</v>
      </c>
      <c r="AX311" s="1798" t="str">
        <f t="shared" si="180"/>
        <v>7-2312</v>
      </c>
      <c r="AY311" s="41">
        <f t="shared" si="155"/>
        <v>27.71</v>
      </c>
      <c r="AZ311" s="34">
        <f t="shared" si="156"/>
        <v>80.73</v>
      </c>
      <c r="BA311" s="34">
        <f t="shared" si="157"/>
        <v>80.73</v>
      </c>
      <c r="BB311" s="34">
        <f t="shared" si="158"/>
        <v>80.73</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1274" t="str">
        <f>面积清单!B301</f>
        <v>7-2313</v>
      </c>
      <c r="D312" s="2217" t="s">
        <v>3658</v>
      </c>
      <c r="E312" s="34">
        <f t="shared" si="177"/>
        <v>17.88</v>
      </c>
      <c r="F312" s="35"/>
      <c r="G312" s="36">
        <f t="shared" si="152"/>
        <v>67.36</v>
      </c>
      <c r="H312" s="37">
        <f t="shared" si="153"/>
        <v>67.36</v>
      </c>
      <c r="I312" s="2218">
        <f>面积清单!E301</f>
        <v>67.36</v>
      </c>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3"/>
      <c r="AV312" s="1798">
        <f t="shared" si="178"/>
        <v>0</v>
      </c>
      <c r="AW312" s="1798">
        <f t="shared" si="179"/>
        <v>0</v>
      </c>
      <c r="AX312" s="1798" t="str">
        <f t="shared" si="180"/>
        <v>7-2313</v>
      </c>
      <c r="AY312" s="41">
        <f t="shared" si="155"/>
        <v>23.12</v>
      </c>
      <c r="AZ312" s="34">
        <f t="shared" si="156"/>
        <v>67.36</v>
      </c>
      <c r="BA312" s="34">
        <f t="shared" si="157"/>
        <v>67.36</v>
      </c>
      <c r="BB312" s="34">
        <f t="shared" si="158"/>
        <v>67.36</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1274" t="str">
        <f>面积清单!B302</f>
        <v>7-2314</v>
      </c>
      <c r="D313" s="2217" t="s">
        <v>3658</v>
      </c>
      <c r="E313" s="34">
        <f t="shared" si="177"/>
        <v>17.88</v>
      </c>
      <c r="F313" s="35"/>
      <c r="G313" s="36">
        <f t="shared" si="152"/>
        <v>67.36</v>
      </c>
      <c r="H313" s="37">
        <f t="shared" si="153"/>
        <v>67.36</v>
      </c>
      <c r="I313" s="2218">
        <f>面积清单!E302</f>
        <v>67.36</v>
      </c>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3"/>
      <c r="AV313" s="1798">
        <f t="shared" si="178"/>
        <v>0</v>
      </c>
      <c r="AW313" s="1798">
        <f t="shared" si="179"/>
        <v>0</v>
      </c>
      <c r="AX313" s="1798" t="str">
        <f t="shared" si="180"/>
        <v>7-2314</v>
      </c>
      <c r="AY313" s="41">
        <f t="shared" si="155"/>
        <v>23.12</v>
      </c>
      <c r="AZ313" s="34">
        <f t="shared" si="156"/>
        <v>67.36</v>
      </c>
      <c r="BA313" s="34">
        <f t="shared" si="157"/>
        <v>67.36</v>
      </c>
      <c r="BB313" s="34">
        <f t="shared" si="158"/>
        <v>67.36</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1274" t="str">
        <f>面积清单!B303</f>
        <v>7-2315</v>
      </c>
      <c r="D314" s="2217" t="s">
        <v>3658</v>
      </c>
      <c r="E314" s="34">
        <f t="shared" si="177"/>
        <v>21.42</v>
      </c>
      <c r="F314" s="35"/>
      <c r="G314" s="36">
        <f t="shared" si="152"/>
        <v>80.73</v>
      </c>
      <c r="H314" s="37">
        <f t="shared" si="153"/>
        <v>80.73</v>
      </c>
      <c r="I314" s="2218">
        <f>面积清单!E303</f>
        <v>80.73</v>
      </c>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3"/>
      <c r="AV314" s="1798">
        <f t="shared" si="178"/>
        <v>0</v>
      </c>
      <c r="AW314" s="1798">
        <f t="shared" si="179"/>
        <v>0</v>
      </c>
      <c r="AX314" s="1798" t="str">
        <f t="shared" si="180"/>
        <v>7-2315</v>
      </c>
      <c r="AY314" s="41">
        <f t="shared" si="155"/>
        <v>27.71</v>
      </c>
      <c r="AZ314" s="34">
        <f t="shared" si="156"/>
        <v>80.73</v>
      </c>
      <c r="BA314" s="34">
        <f t="shared" si="157"/>
        <v>80.73</v>
      </c>
      <c r="BB314" s="34">
        <f t="shared" si="158"/>
        <v>80.73</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1274" t="str">
        <f>面积清单!B304</f>
        <v>7-2316</v>
      </c>
      <c r="D315" s="2217" t="s">
        <v>3658</v>
      </c>
      <c r="E315" s="34">
        <f t="shared" si="177"/>
        <v>13.84</v>
      </c>
      <c r="F315" s="35"/>
      <c r="G315" s="36">
        <f t="shared" si="152"/>
        <v>52.17</v>
      </c>
      <c r="H315" s="37">
        <f t="shared" si="153"/>
        <v>52.17</v>
      </c>
      <c r="I315" s="2218">
        <f>面积清单!E304</f>
        <v>52.17</v>
      </c>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3"/>
      <c r="AV315" s="1798">
        <f t="shared" si="178"/>
        <v>0</v>
      </c>
      <c r="AW315" s="1798">
        <f t="shared" si="179"/>
        <v>0</v>
      </c>
      <c r="AX315" s="1798" t="str">
        <f t="shared" si="180"/>
        <v>7-2316</v>
      </c>
      <c r="AY315" s="41">
        <f t="shared" si="155"/>
        <v>17.91</v>
      </c>
      <c r="AZ315" s="34">
        <f t="shared" si="156"/>
        <v>52.17</v>
      </c>
      <c r="BA315" s="34">
        <f t="shared" si="157"/>
        <v>52.17</v>
      </c>
      <c r="BB315" s="34">
        <f t="shared" si="158"/>
        <v>52.17</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1274" t="str">
        <f>面积清单!B305</f>
        <v>7-2317</v>
      </c>
      <c r="D316" s="2217" t="s">
        <v>3658</v>
      </c>
      <c r="E316" s="34">
        <f t="shared" si="177"/>
        <v>13.84</v>
      </c>
      <c r="F316" s="35"/>
      <c r="G316" s="36">
        <f t="shared" si="152"/>
        <v>52.17</v>
      </c>
      <c r="H316" s="37">
        <f t="shared" si="153"/>
        <v>52.17</v>
      </c>
      <c r="I316" s="2218">
        <f>面积清单!E305</f>
        <v>52.17</v>
      </c>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3"/>
      <c r="AV316" s="1798">
        <f t="shared" si="178"/>
        <v>0</v>
      </c>
      <c r="AW316" s="1798">
        <f t="shared" si="179"/>
        <v>0</v>
      </c>
      <c r="AX316" s="1798" t="str">
        <f t="shared" si="180"/>
        <v>7-2317</v>
      </c>
      <c r="AY316" s="41">
        <f t="shared" si="155"/>
        <v>17.91</v>
      </c>
      <c r="AZ316" s="34">
        <f t="shared" si="156"/>
        <v>52.17</v>
      </c>
      <c r="BA316" s="34">
        <f t="shared" si="157"/>
        <v>52.17</v>
      </c>
      <c r="BB316" s="34">
        <f t="shared" si="158"/>
        <v>52.17</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1274" t="str">
        <f>面积清单!B306</f>
        <v>7-2318</v>
      </c>
      <c r="D317" s="2217" t="s">
        <v>3658</v>
      </c>
      <c r="E317" s="34">
        <f t="shared" si="177"/>
        <v>13.84</v>
      </c>
      <c r="F317" s="35"/>
      <c r="G317" s="36">
        <f t="shared" si="152"/>
        <v>52.17</v>
      </c>
      <c r="H317" s="37">
        <f t="shared" si="153"/>
        <v>52.17</v>
      </c>
      <c r="I317" s="2218">
        <f>面积清单!E306</f>
        <v>52.17</v>
      </c>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3"/>
      <c r="AV317" s="1798">
        <f t="shared" si="178"/>
        <v>0</v>
      </c>
      <c r="AW317" s="1798">
        <f t="shared" si="179"/>
        <v>0</v>
      </c>
      <c r="AX317" s="1798" t="str">
        <f t="shared" si="180"/>
        <v>7-2318</v>
      </c>
      <c r="AY317" s="41">
        <f t="shared" si="155"/>
        <v>17.91</v>
      </c>
      <c r="AZ317" s="34">
        <f t="shared" si="156"/>
        <v>52.17</v>
      </c>
      <c r="BA317" s="34">
        <f t="shared" si="157"/>
        <v>52.17</v>
      </c>
      <c r="BB317" s="34">
        <f t="shared" si="158"/>
        <v>52.17</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1274" t="str">
        <f>面积清单!B307</f>
        <v>7-2319</v>
      </c>
      <c r="D318" s="2217" t="s">
        <v>3658</v>
      </c>
      <c r="E318" s="34">
        <f t="shared" si="177"/>
        <v>13.84</v>
      </c>
      <c r="F318" s="35"/>
      <c r="G318" s="36">
        <f t="shared" si="152"/>
        <v>52.17</v>
      </c>
      <c r="H318" s="37">
        <f t="shared" si="153"/>
        <v>52.17</v>
      </c>
      <c r="I318" s="2218">
        <f>面积清单!E307</f>
        <v>52.17</v>
      </c>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3"/>
      <c r="AV318" s="1798">
        <f t="shared" si="178"/>
        <v>0</v>
      </c>
      <c r="AW318" s="1798">
        <f t="shared" si="179"/>
        <v>0</v>
      </c>
      <c r="AX318" s="1798" t="str">
        <f t="shared" si="180"/>
        <v>7-2319</v>
      </c>
      <c r="AY318" s="41">
        <f t="shared" si="155"/>
        <v>17.91</v>
      </c>
      <c r="AZ318" s="34">
        <f t="shared" si="156"/>
        <v>52.17</v>
      </c>
      <c r="BA318" s="34">
        <f t="shared" si="157"/>
        <v>52.17</v>
      </c>
      <c r="BB318" s="34">
        <f t="shared" si="158"/>
        <v>52.17</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1274" t="str">
        <f>面积清单!B308</f>
        <v>7-2320</v>
      </c>
      <c r="D319" s="2217" t="s">
        <v>3658</v>
      </c>
      <c r="E319" s="34">
        <f t="shared" si="177"/>
        <v>13.84</v>
      </c>
      <c r="F319" s="35"/>
      <c r="G319" s="36">
        <f t="shared" si="152"/>
        <v>52.17</v>
      </c>
      <c r="H319" s="37">
        <f t="shared" si="153"/>
        <v>52.17</v>
      </c>
      <c r="I319" s="2218">
        <f>面积清单!E308</f>
        <v>52.17</v>
      </c>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3"/>
      <c r="AV319" s="1798">
        <f t="shared" si="178"/>
        <v>0</v>
      </c>
      <c r="AW319" s="1798">
        <f t="shared" si="179"/>
        <v>0</v>
      </c>
      <c r="AX319" s="1798" t="str">
        <f t="shared" si="180"/>
        <v>7-2320</v>
      </c>
      <c r="AY319" s="41">
        <f t="shared" si="155"/>
        <v>17.91</v>
      </c>
      <c r="AZ319" s="34">
        <f t="shared" si="156"/>
        <v>52.17</v>
      </c>
      <c r="BA319" s="34">
        <f t="shared" si="157"/>
        <v>52.17</v>
      </c>
      <c r="BB319" s="34">
        <f t="shared" si="158"/>
        <v>52.17</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1274" t="str">
        <f>面积清单!B309</f>
        <v>7-2321</v>
      </c>
      <c r="D320" s="2217" t="s">
        <v>3658</v>
      </c>
      <c r="E320" s="34">
        <f t="shared" si="177"/>
        <v>13.84</v>
      </c>
      <c r="F320" s="35"/>
      <c r="G320" s="36">
        <f t="shared" si="152"/>
        <v>52.17</v>
      </c>
      <c r="H320" s="37">
        <f t="shared" si="153"/>
        <v>52.17</v>
      </c>
      <c r="I320" s="2218">
        <f>面积清单!E309</f>
        <v>52.17</v>
      </c>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3"/>
      <c r="AV320" s="1798">
        <f t="shared" si="178"/>
        <v>0</v>
      </c>
      <c r="AW320" s="1798">
        <f t="shared" si="179"/>
        <v>0</v>
      </c>
      <c r="AX320" s="1798" t="str">
        <f t="shared" si="180"/>
        <v>7-2321</v>
      </c>
      <c r="AY320" s="41">
        <f t="shared" si="155"/>
        <v>17.91</v>
      </c>
      <c r="AZ320" s="34">
        <f t="shared" si="156"/>
        <v>52.17</v>
      </c>
      <c r="BA320" s="34">
        <f t="shared" si="157"/>
        <v>52.17</v>
      </c>
      <c r="BB320" s="34">
        <f t="shared" si="158"/>
        <v>52.17</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1274" t="str">
        <f>面积清单!B310</f>
        <v>7-2322</v>
      </c>
      <c r="D321" s="2217" t="s">
        <v>3658</v>
      </c>
      <c r="E321" s="34">
        <f t="shared" si="177"/>
        <v>13.84</v>
      </c>
      <c r="F321" s="35"/>
      <c r="G321" s="36">
        <f t="shared" si="152"/>
        <v>52.17</v>
      </c>
      <c r="H321" s="37">
        <f t="shared" si="153"/>
        <v>52.17</v>
      </c>
      <c r="I321" s="2218">
        <f>面积清单!E310</f>
        <v>52.17</v>
      </c>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3"/>
      <c r="AV321" s="1798">
        <f t="shared" si="178"/>
        <v>0</v>
      </c>
      <c r="AW321" s="1798">
        <f t="shared" si="179"/>
        <v>0</v>
      </c>
      <c r="AX321" s="1798" t="str">
        <f t="shared" si="180"/>
        <v>7-2322</v>
      </c>
      <c r="AY321" s="41">
        <f t="shared" si="155"/>
        <v>17.91</v>
      </c>
      <c r="AZ321" s="34">
        <f t="shared" si="156"/>
        <v>52.17</v>
      </c>
      <c r="BA321" s="34">
        <f t="shared" si="157"/>
        <v>52.17</v>
      </c>
      <c r="BB321" s="34">
        <f t="shared" si="158"/>
        <v>52.17</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1274" t="str">
        <f>面积清单!B311</f>
        <v>7-2323</v>
      </c>
      <c r="D322" s="2217" t="s">
        <v>3658</v>
      </c>
      <c r="E322" s="34">
        <f t="shared" si="177"/>
        <v>13.84</v>
      </c>
      <c r="F322" s="35"/>
      <c r="G322" s="36">
        <f t="shared" si="152"/>
        <v>52.17</v>
      </c>
      <c r="H322" s="37">
        <f t="shared" si="153"/>
        <v>52.17</v>
      </c>
      <c r="I322" s="2218">
        <f>面积清单!E311</f>
        <v>52.17</v>
      </c>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3"/>
      <c r="AV322" s="1798">
        <f t="shared" si="178"/>
        <v>0</v>
      </c>
      <c r="AW322" s="1798">
        <f t="shared" si="179"/>
        <v>0</v>
      </c>
      <c r="AX322" s="1798" t="str">
        <f t="shared" si="180"/>
        <v>7-2323</v>
      </c>
      <c r="AY322" s="41">
        <f t="shared" si="155"/>
        <v>17.91</v>
      </c>
      <c r="AZ322" s="34">
        <f t="shared" si="156"/>
        <v>52.17</v>
      </c>
      <c r="BA322" s="34">
        <f t="shared" si="157"/>
        <v>52.17</v>
      </c>
      <c r="BB322" s="34">
        <f t="shared" si="158"/>
        <v>52.17</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1274" t="str">
        <f>面积清单!B312</f>
        <v>7-2324</v>
      </c>
      <c r="D323" s="2217" t="s">
        <v>3658</v>
      </c>
      <c r="E323" s="34">
        <f t="shared" si="177"/>
        <v>13.84</v>
      </c>
      <c r="F323" s="35"/>
      <c r="G323" s="36">
        <f t="shared" si="152"/>
        <v>52.17</v>
      </c>
      <c r="H323" s="37">
        <f t="shared" si="153"/>
        <v>52.17</v>
      </c>
      <c r="I323" s="2218">
        <f>面积清单!E312</f>
        <v>52.17</v>
      </c>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3"/>
      <c r="AV323" s="1798">
        <f t="shared" si="178"/>
        <v>0</v>
      </c>
      <c r="AW323" s="1798">
        <f t="shared" si="179"/>
        <v>0</v>
      </c>
      <c r="AX323" s="1798" t="str">
        <f t="shared" si="180"/>
        <v>7-2324</v>
      </c>
      <c r="AY323" s="41">
        <f t="shared" si="155"/>
        <v>17.91</v>
      </c>
      <c r="AZ323" s="34">
        <f t="shared" si="156"/>
        <v>52.17</v>
      </c>
      <c r="BA323" s="34">
        <f t="shared" si="157"/>
        <v>52.17</v>
      </c>
      <c r="BB323" s="34">
        <f t="shared" si="158"/>
        <v>52.17</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1274" t="str">
        <f>面积清单!B313</f>
        <v>7-2325</v>
      </c>
      <c r="D324" s="2217" t="s">
        <v>3658</v>
      </c>
      <c r="E324" s="34">
        <f t="shared" si="177"/>
        <v>13.84</v>
      </c>
      <c r="F324" s="35"/>
      <c r="G324" s="36">
        <f t="shared" si="152"/>
        <v>52.17</v>
      </c>
      <c r="H324" s="37">
        <f t="shared" si="153"/>
        <v>52.17</v>
      </c>
      <c r="I324" s="2218">
        <f>面积清单!E313</f>
        <v>52.17</v>
      </c>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3"/>
      <c r="AV324" s="1798">
        <f t="shared" si="178"/>
        <v>0</v>
      </c>
      <c r="AW324" s="1798">
        <f t="shared" si="179"/>
        <v>0</v>
      </c>
      <c r="AX324" s="1798" t="str">
        <f t="shared" si="180"/>
        <v>7-2325</v>
      </c>
      <c r="AY324" s="41">
        <f t="shared" si="155"/>
        <v>17.91</v>
      </c>
      <c r="AZ324" s="34">
        <f t="shared" si="156"/>
        <v>52.17</v>
      </c>
      <c r="BA324" s="34">
        <f t="shared" si="157"/>
        <v>52.17</v>
      </c>
      <c r="BB324" s="34">
        <f t="shared" si="158"/>
        <v>52.17</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1274" t="str">
        <f>面积清单!B314</f>
        <v>7-2326</v>
      </c>
      <c r="D325" s="2217" t="s">
        <v>3658</v>
      </c>
      <c r="E325" s="34">
        <f t="shared" si="177"/>
        <v>21.42</v>
      </c>
      <c r="F325" s="35"/>
      <c r="G325" s="36">
        <f t="shared" si="152"/>
        <v>80.73</v>
      </c>
      <c r="H325" s="37">
        <f t="shared" si="153"/>
        <v>80.73</v>
      </c>
      <c r="I325" s="2218">
        <f>面积清单!E314</f>
        <v>80.73</v>
      </c>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3"/>
      <c r="AV325" s="1798">
        <f t="shared" si="178"/>
        <v>0</v>
      </c>
      <c r="AW325" s="1798">
        <f t="shared" si="179"/>
        <v>0</v>
      </c>
      <c r="AX325" s="1798" t="str">
        <f t="shared" si="180"/>
        <v>7-2326</v>
      </c>
      <c r="AY325" s="41">
        <f t="shared" si="155"/>
        <v>27.71</v>
      </c>
      <c r="AZ325" s="34">
        <f t="shared" si="156"/>
        <v>80.73</v>
      </c>
      <c r="BA325" s="34">
        <f t="shared" si="157"/>
        <v>80.73</v>
      </c>
      <c r="BB325" s="34">
        <f t="shared" si="158"/>
        <v>80.73</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1274" t="str">
        <f>面积清单!B315</f>
        <v>7-2327</v>
      </c>
      <c r="D326" s="2217" t="s">
        <v>3658</v>
      </c>
      <c r="E326" s="34">
        <f t="shared" si="177"/>
        <v>24.7</v>
      </c>
      <c r="F326" s="35"/>
      <c r="G326" s="36">
        <f t="shared" si="152"/>
        <v>93.08</v>
      </c>
      <c r="H326" s="37">
        <f t="shared" si="153"/>
        <v>93.08</v>
      </c>
      <c r="I326" s="2218">
        <f>面积清单!E315</f>
        <v>93.08</v>
      </c>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3"/>
      <c r="AV326" s="1798">
        <f t="shared" si="178"/>
        <v>0</v>
      </c>
      <c r="AW326" s="1798">
        <f t="shared" si="179"/>
        <v>0</v>
      </c>
      <c r="AX326" s="1798" t="str">
        <f t="shared" si="180"/>
        <v>7-2327</v>
      </c>
      <c r="AY326" s="41">
        <f t="shared" si="155"/>
        <v>31.95</v>
      </c>
      <c r="AZ326" s="34">
        <f t="shared" si="156"/>
        <v>93.08</v>
      </c>
      <c r="BA326" s="34">
        <f t="shared" si="157"/>
        <v>93.08</v>
      </c>
      <c r="BB326" s="34">
        <f t="shared" si="158"/>
        <v>93.08</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1274" t="str">
        <f>面积清单!B316</f>
        <v>7-2328</v>
      </c>
      <c r="D327" s="2217" t="s">
        <v>3658</v>
      </c>
      <c r="E327" s="34">
        <f t="shared" si="177"/>
        <v>24.7</v>
      </c>
      <c r="F327" s="35"/>
      <c r="G327" s="36">
        <f t="shared" si="152"/>
        <v>93.08</v>
      </c>
      <c r="H327" s="37">
        <f t="shared" si="153"/>
        <v>93.08</v>
      </c>
      <c r="I327" s="2218">
        <f>面积清单!E316</f>
        <v>93.08</v>
      </c>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3"/>
      <c r="AV327" s="1798">
        <f t="shared" si="178"/>
        <v>0</v>
      </c>
      <c r="AW327" s="1798">
        <f t="shared" si="179"/>
        <v>0</v>
      </c>
      <c r="AX327" s="1798" t="str">
        <f t="shared" si="180"/>
        <v>7-2328</v>
      </c>
      <c r="AY327" s="41">
        <f t="shared" si="155"/>
        <v>31.95</v>
      </c>
      <c r="AZ327" s="34">
        <f t="shared" si="156"/>
        <v>93.08</v>
      </c>
      <c r="BA327" s="34">
        <f t="shared" si="157"/>
        <v>93.08</v>
      </c>
      <c r="BB327" s="34">
        <f t="shared" si="158"/>
        <v>93.08</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1274" t="str">
        <f>面积清单!B317</f>
        <v>7-2401</v>
      </c>
      <c r="D328" s="2217" t="s">
        <v>3658</v>
      </c>
      <c r="E328" s="34">
        <f t="shared" si="177"/>
        <v>21.42</v>
      </c>
      <c r="F328" s="35"/>
      <c r="G328" s="36">
        <f t="shared" si="152"/>
        <v>80.73</v>
      </c>
      <c r="H328" s="37">
        <f t="shared" si="153"/>
        <v>80.73</v>
      </c>
      <c r="I328" s="2218">
        <f>面积清单!E317</f>
        <v>80.73</v>
      </c>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3"/>
      <c r="AV328" s="1798">
        <f t="shared" si="178"/>
        <v>0</v>
      </c>
      <c r="AW328" s="1798">
        <f t="shared" si="179"/>
        <v>0</v>
      </c>
      <c r="AX328" s="1798" t="str">
        <f t="shared" si="180"/>
        <v>7-2401</v>
      </c>
      <c r="AY328" s="41">
        <f t="shared" si="155"/>
        <v>27.71</v>
      </c>
      <c r="AZ328" s="34">
        <f t="shared" si="156"/>
        <v>80.73</v>
      </c>
      <c r="BA328" s="34">
        <f t="shared" si="157"/>
        <v>80.73</v>
      </c>
      <c r="BB328" s="34">
        <f t="shared" si="158"/>
        <v>80.73</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1274" t="str">
        <f>面积清单!B318</f>
        <v>7-2402</v>
      </c>
      <c r="D329" s="2217" t="s">
        <v>3658</v>
      </c>
      <c r="E329" s="34">
        <f t="shared" si="177"/>
        <v>13.84</v>
      </c>
      <c r="F329" s="35"/>
      <c r="G329" s="36">
        <f t="shared" si="152"/>
        <v>52.17</v>
      </c>
      <c r="H329" s="37">
        <f t="shared" si="153"/>
        <v>52.17</v>
      </c>
      <c r="I329" s="2218">
        <f>面积清单!E318</f>
        <v>52.17</v>
      </c>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3"/>
      <c r="AV329" s="1798">
        <f t="shared" si="178"/>
        <v>0</v>
      </c>
      <c r="AW329" s="1798">
        <f t="shared" si="179"/>
        <v>0</v>
      </c>
      <c r="AX329" s="1798" t="str">
        <f t="shared" si="180"/>
        <v>7-2402</v>
      </c>
      <c r="AY329" s="41">
        <f t="shared" si="155"/>
        <v>17.91</v>
      </c>
      <c r="AZ329" s="34">
        <f t="shared" si="156"/>
        <v>52.17</v>
      </c>
      <c r="BA329" s="34">
        <f t="shared" si="157"/>
        <v>52.17</v>
      </c>
      <c r="BB329" s="34">
        <f t="shared" si="158"/>
        <v>52.17</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1274" t="str">
        <f>面积清单!B319</f>
        <v>7-2403</v>
      </c>
      <c r="D330" s="2217" t="s">
        <v>3658</v>
      </c>
      <c r="E330" s="34">
        <f t="shared" si="177"/>
        <v>13.84</v>
      </c>
      <c r="F330" s="35"/>
      <c r="G330" s="36">
        <f t="shared" si="152"/>
        <v>52.17</v>
      </c>
      <c r="H330" s="37">
        <f t="shared" si="153"/>
        <v>52.17</v>
      </c>
      <c r="I330" s="2218">
        <f>面积清单!E319</f>
        <v>52.17</v>
      </c>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3"/>
      <c r="AV330" s="1798">
        <f t="shared" si="178"/>
        <v>0</v>
      </c>
      <c r="AW330" s="1798">
        <f t="shared" si="179"/>
        <v>0</v>
      </c>
      <c r="AX330" s="1798" t="str">
        <f t="shared" si="180"/>
        <v>7-2403</v>
      </c>
      <c r="AY330" s="41">
        <f t="shared" si="155"/>
        <v>17.91</v>
      </c>
      <c r="AZ330" s="34">
        <f t="shared" si="156"/>
        <v>52.17</v>
      </c>
      <c r="BA330" s="34">
        <f t="shared" si="157"/>
        <v>52.17</v>
      </c>
      <c r="BB330" s="34">
        <f t="shared" si="158"/>
        <v>52.17</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1274" t="str">
        <f>面积清单!B320</f>
        <v>7-2404</v>
      </c>
      <c r="D331" s="2217" t="s">
        <v>3658</v>
      </c>
      <c r="E331" s="34">
        <f t="shared" si="177"/>
        <v>13.84</v>
      </c>
      <c r="F331" s="35"/>
      <c r="G331" s="36">
        <f t="shared" si="152"/>
        <v>52.17</v>
      </c>
      <c r="H331" s="37">
        <f t="shared" si="153"/>
        <v>52.17</v>
      </c>
      <c r="I331" s="2218">
        <f>面积清单!E320</f>
        <v>52.17</v>
      </c>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3"/>
      <c r="AV331" s="1798">
        <f t="shared" si="178"/>
        <v>0</v>
      </c>
      <c r="AW331" s="1798">
        <f t="shared" si="179"/>
        <v>0</v>
      </c>
      <c r="AX331" s="1798" t="str">
        <f t="shared" si="180"/>
        <v>7-2404</v>
      </c>
      <c r="AY331" s="41">
        <f t="shared" si="155"/>
        <v>17.91</v>
      </c>
      <c r="AZ331" s="34">
        <f t="shared" si="156"/>
        <v>52.17</v>
      </c>
      <c r="BA331" s="34">
        <f t="shared" si="157"/>
        <v>52.17</v>
      </c>
      <c r="BB331" s="34">
        <f t="shared" si="158"/>
        <v>52.17</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1274" t="str">
        <f>面积清单!B321</f>
        <v>7-2405</v>
      </c>
      <c r="D332" s="2217" t="s">
        <v>3658</v>
      </c>
      <c r="E332" s="34">
        <f t="shared" si="177"/>
        <v>13.84</v>
      </c>
      <c r="F332" s="35"/>
      <c r="G332" s="36">
        <f t="shared" ref="G332:G363" si="181">H332+AC332+AT332</f>
        <v>52.17</v>
      </c>
      <c r="H332" s="37">
        <f t="shared" ref="H332:H363" si="182">SUMIF(I$12:AB$12,"总值",I332:AB332)</f>
        <v>52.17</v>
      </c>
      <c r="I332" s="2218">
        <f>面积清单!E321</f>
        <v>52.17</v>
      </c>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3"/>
      <c r="AV332" s="1798">
        <f t="shared" si="178"/>
        <v>0</v>
      </c>
      <c r="AW332" s="1798">
        <f t="shared" si="179"/>
        <v>0</v>
      </c>
      <c r="AX332" s="1798" t="str">
        <f t="shared" si="180"/>
        <v>7-2405</v>
      </c>
      <c r="AY332" s="41">
        <f t="shared" ref="AY332:AY363" si="184">ROUND($AY$6*AZ332/$AZ$5,2)</f>
        <v>17.91</v>
      </c>
      <c r="AZ332" s="34">
        <f t="shared" ref="AZ332:AZ363" si="185">BA332+BL332</f>
        <v>52.17</v>
      </c>
      <c r="BA332" s="34">
        <f t="shared" ref="BA332:BA363" si="186">SUM(BB332:BK332)</f>
        <v>52.17</v>
      </c>
      <c r="BB332" s="34">
        <f t="shared" ref="BB332:BB363" si="187">IF($D332="是",I332-J332,0)</f>
        <v>52.17</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1274" t="str">
        <f>面积清单!B322</f>
        <v>7-2406</v>
      </c>
      <c r="D333" s="2217" t="s">
        <v>3658</v>
      </c>
      <c r="E333" s="34">
        <f t="shared" si="177"/>
        <v>13.84</v>
      </c>
      <c r="F333" s="35"/>
      <c r="G333" s="36">
        <f t="shared" si="181"/>
        <v>52.17</v>
      </c>
      <c r="H333" s="37">
        <f t="shared" si="182"/>
        <v>52.17</v>
      </c>
      <c r="I333" s="2218">
        <f>面积清单!E322</f>
        <v>52.17</v>
      </c>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3"/>
      <c r="AV333" s="1798">
        <f t="shared" si="178"/>
        <v>0</v>
      </c>
      <c r="AW333" s="1798">
        <f t="shared" si="179"/>
        <v>0</v>
      </c>
      <c r="AX333" s="1798" t="str">
        <f t="shared" si="180"/>
        <v>7-2406</v>
      </c>
      <c r="AY333" s="41">
        <f t="shared" si="184"/>
        <v>17.91</v>
      </c>
      <c r="AZ333" s="34">
        <f t="shared" si="185"/>
        <v>52.17</v>
      </c>
      <c r="BA333" s="34">
        <f t="shared" si="186"/>
        <v>52.17</v>
      </c>
      <c r="BB333" s="34">
        <f t="shared" si="187"/>
        <v>52.17</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1274" t="str">
        <f>面积清单!B323</f>
        <v>7-2407</v>
      </c>
      <c r="D334" s="2217" t="s">
        <v>3658</v>
      </c>
      <c r="E334" s="34">
        <f t="shared" si="177"/>
        <v>13.84</v>
      </c>
      <c r="F334" s="35"/>
      <c r="G334" s="36">
        <f t="shared" si="181"/>
        <v>52.17</v>
      </c>
      <c r="H334" s="37">
        <f t="shared" si="182"/>
        <v>52.17</v>
      </c>
      <c r="I334" s="2218">
        <f>面积清单!E323</f>
        <v>52.17</v>
      </c>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3"/>
      <c r="AV334" s="1798">
        <f t="shared" si="178"/>
        <v>0</v>
      </c>
      <c r="AW334" s="1798">
        <f t="shared" si="179"/>
        <v>0</v>
      </c>
      <c r="AX334" s="1798" t="str">
        <f t="shared" si="180"/>
        <v>7-2407</v>
      </c>
      <c r="AY334" s="41">
        <f t="shared" si="184"/>
        <v>17.91</v>
      </c>
      <c r="AZ334" s="34">
        <f t="shared" si="185"/>
        <v>52.17</v>
      </c>
      <c r="BA334" s="34">
        <f t="shared" si="186"/>
        <v>52.17</v>
      </c>
      <c r="BB334" s="34">
        <f t="shared" si="187"/>
        <v>52.17</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1274" t="str">
        <f>面积清单!B324</f>
        <v>7-2408</v>
      </c>
      <c r="D335" s="2217" t="s">
        <v>3658</v>
      </c>
      <c r="E335" s="34">
        <f t="shared" ref="E335:E366" si="206">IF($C$3="是",ROUND($A$3*G335/$B$3,2),ROUND($A$3*(G335-AT335)/$B$3,2))</f>
        <v>13.84</v>
      </c>
      <c r="F335" s="35"/>
      <c r="G335" s="36">
        <f t="shared" si="181"/>
        <v>52.17</v>
      </c>
      <c r="H335" s="37">
        <f t="shared" si="182"/>
        <v>52.17</v>
      </c>
      <c r="I335" s="2218">
        <f>面积清单!E324</f>
        <v>52.17</v>
      </c>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3"/>
      <c r="AV335" s="1798">
        <f t="shared" ref="AV335:AV366" si="207">A335</f>
        <v>0</v>
      </c>
      <c r="AW335" s="1798">
        <f t="shared" ref="AW335:AW366" si="208">B335</f>
        <v>0</v>
      </c>
      <c r="AX335" s="1798" t="str">
        <f t="shared" ref="AX335:AX366" si="209">C335</f>
        <v>7-2408</v>
      </c>
      <c r="AY335" s="41">
        <f t="shared" si="184"/>
        <v>17.91</v>
      </c>
      <c r="AZ335" s="34">
        <f t="shared" si="185"/>
        <v>52.17</v>
      </c>
      <c r="BA335" s="34">
        <f t="shared" si="186"/>
        <v>52.17</v>
      </c>
      <c r="BB335" s="34">
        <f t="shared" si="187"/>
        <v>52.17</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1274" t="str">
        <f>面积清单!B325</f>
        <v>7-2409</v>
      </c>
      <c r="D336" s="2217" t="s">
        <v>3658</v>
      </c>
      <c r="E336" s="34">
        <f t="shared" si="206"/>
        <v>13.84</v>
      </c>
      <c r="F336" s="35"/>
      <c r="G336" s="36">
        <f t="shared" si="181"/>
        <v>52.17</v>
      </c>
      <c r="H336" s="37">
        <f t="shared" si="182"/>
        <v>52.17</v>
      </c>
      <c r="I336" s="2218">
        <f>面积清单!E325</f>
        <v>52.17</v>
      </c>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3"/>
      <c r="AV336" s="1798">
        <f t="shared" si="207"/>
        <v>0</v>
      </c>
      <c r="AW336" s="1798">
        <f t="shared" si="208"/>
        <v>0</v>
      </c>
      <c r="AX336" s="1798" t="str">
        <f t="shared" si="209"/>
        <v>7-2409</v>
      </c>
      <c r="AY336" s="41">
        <f t="shared" si="184"/>
        <v>17.91</v>
      </c>
      <c r="AZ336" s="34">
        <f t="shared" si="185"/>
        <v>52.17</v>
      </c>
      <c r="BA336" s="34">
        <f t="shared" si="186"/>
        <v>52.17</v>
      </c>
      <c r="BB336" s="34">
        <f t="shared" si="187"/>
        <v>52.17</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1274" t="str">
        <f>面积清单!B326</f>
        <v>7-2410</v>
      </c>
      <c r="D337" s="2217" t="s">
        <v>3658</v>
      </c>
      <c r="E337" s="34">
        <f t="shared" si="206"/>
        <v>13.84</v>
      </c>
      <c r="F337" s="35"/>
      <c r="G337" s="36">
        <f t="shared" si="181"/>
        <v>52.17</v>
      </c>
      <c r="H337" s="37">
        <f t="shared" si="182"/>
        <v>52.17</v>
      </c>
      <c r="I337" s="2218">
        <f>面积清单!E326</f>
        <v>52.17</v>
      </c>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3"/>
      <c r="AV337" s="1798">
        <f t="shared" si="207"/>
        <v>0</v>
      </c>
      <c r="AW337" s="1798">
        <f t="shared" si="208"/>
        <v>0</v>
      </c>
      <c r="AX337" s="1798" t="str">
        <f t="shared" si="209"/>
        <v>7-2410</v>
      </c>
      <c r="AY337" s="41">
        <f t="shared" si="184"/>
        <v>17.91</v>
      </c>
      <c r="AZ337" s="34">
        <f t="shared" si="185"/>
        <v>52.17</v>
      </c>
      <c r="BA337" s="34">
        <f t="shared" si="186"/>
        <v>52.17</v>
      </c>
      <c r="BB337" s="34">
        <f t="shared" si="187"/>
        <v>52.17</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1274" t="str">
        <f>面积清单!B327</f>
        <v>7-2411</v>
      </c>
      <c r="D338" s="2217" t="s">
        <v>3658</v>
      </c>
      <c r="E338" s="34">
        <f t="shared" si="206"/>
        <v>13.84</v>
      </c>
      <c r="F338" s="35"/>
      <c r="G338" s="36">
        <f t="shared" si="181"/>
        <v>52.17</v>
      </c>
      <c r="H338" s="37">
        <f t="shared" si="182"/>
        <v>52.17</v>
      </c>
      <c r="I338" s="2218">
        <f>面积清单!E327</f>
        <v>52.17</v>
      </c>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3"/>
      <c r="AV338" s="1798">
        <f t="shared" si="207"/>
        <v>0</v>
      </c>
      <c r="AW338" s="1798">
        <f t="shared" si="208"/>
        <v>0</v>
      </c>
      <c r="AX338" s="1798" t="str">
        <f t="shared" si="209"/>
        <v>7-2411</v>
      </c>
      <c r="AY338" s="41">
        <f t="shared" si="184"/>
        <v>17.91</v>
      </c>
      <c r="AZ338" s="34">
        <f t="shared" si="185"/>
        <v>52.17</v>
      </c>
      <c r="BA338" s="34">
        <f t="shared" si="186"/>
        <v>52.17</v>
      </c>
      <c r="BB338" s="34">
        <f t="shared" si="187"/>
        <v>52.17</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1274" t="str">
        <f>面积清单!B328</f>
        <v>7-2412</v>
      </c>
      <c r="D339" s="2217" t="s">
        <v>3658</v>
      </c>
      <c r="E339" s="34">
        <f t="shared" si="206"/>
        <v>21.42</v>
      </c>
      <c r="F339" s="35"/>
      <c r="G339" s="36">
        <f t="shared" si="181"/>
        <v>80.73</v>
      </c>
      <c r="H339" s="37">
        <f t="shared" si="182"/>
        <v>80.73</v>
      </c>
      <c r="I339" s="2218">
        <f>面积清单!E328</f>
        <v>80.73</v>
      </c>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3"/>
      <c r="AV339" s="1798">
        <f t="shared" si="207"/>
        <v>0</v>
      </c>
      <c r="AW339" s="1798">
        <f t="shared" si="208"/>
        <v>0</v>
      </c>
      <c r="AX339" s="1798" t="str">
        <f t="shared" si="209"/>
        <v>7-2412</v>
      </c>
      <c r="AY339" s="41">
        <f t="shared" si="184"/>
        <v>27.71</v>
      </c>
      <c r="AZ339" s="34">
        <f t="shared" si="185"/>
        <v>80.73</v>
      </c>
      <c r="BA339" s="34">
        <f t="shared" si="186"/>
        <v>80.73</v>
      </c>
      <c r="BB339" s="34">
        <f t="shared" si="187"/>
        <v>80.73</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1274" t="str">
        <f>面积清单!B329</f>
        <v>7-2413</v>
      </c>
      <c r="D340" s="2217" t="s">
        <v>3658</v>
      </c>
      <c r="E340" s="34">
        <f t="shared" si="206"/>
        <v>17.88</v>
      </c>
      <c r="F340" s="35"/>
      <c r="G340" s="36">
        <f t="shared" si="181"/>
        <v>67.36</v>
      </c>
      <c r="H340" s="37">
        <f t="shared" si="182"/>
        <v>67.36</v>
      </c>
      <c r="I340" s="2218">
        <f>面积清单!E329</f>
        <v>67.36</v>
      </c>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3"/>
      <c r="AV340" s="1798">
        <f t="shared" si="207"/>
        <v>0</v>
      </c>
      <c r="AW340" s="1798">
        <f t="shared" si="208"/>
        <v>0</v>
      </c>
      <c r="AX340" s="1798" t="str">
        <f t="shared" si="209"/>
        <v>7-2413</v>
      </c>
      <c r="AY340" s="41">
        <f t="shared" si="184"/>
        <v>23.12</v>
      </c>
      <c r="AZ340" s="34">
        <f t="shared" si="185"/>
        <v>67.36</v>
      </c>
      <c r="BA340" s="34">
        <f t="shared" si="186"/>
        <v>67.36</v>
      </c>
      <c r="BB340" s="34">
        <f t="shared" si="187"/>
        <v>67.36</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1274" t="str">
        <f>面积清单!B330</f>
        <v>7-2414</v>
      </c>
      <c r="D341" s="2217" t="s">
        <v>3658</v>
      </c>
      <c r="E341" s="34">
        <f t="shared" si="206"/>
        <v>17.88</v>
      </c>
      <c r="F341" s="35"/>
      <c r="G341" s="36">
        <f t="shared" si="181"/>
        <v>67.36</v>
      </c>
      <c r="H341" s="37">
        <f t="shared" si="182"/>
        <v>67.36</v>
      </c>
      <c r="I341" s="2218">
        <f>面积清单!E330</f>
        <v>67.36</v>
      </c>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3"/>
      <c r="AV341" s="1798">
        <f t="shared" si="207"/>
        <v>0</v>
      </c>
      <c r="AW341" s="1798">
        <f t="shared" si="208"/>
        <v>0</v>
      </c>
      <c r="AX341" s="1798" t="str">
        <f t="shared" si="209"/>
        <v>7-2414</v>
      </c>
      <c r="AY341" s="41">
        <f t="shared" si="184"/>
        <v>23.12</v>
      </c>
      <c r="AZ341" s="34">
        <f t="shared" si="185"/>
        <v>67.36</v>
      </c>
      <c r="BA341" s="34">
        <f t="shared" si="186"/>
        <v>67.36</v>
      </c>
      <c r="BB341" s="34">
        <f t="shared" si="187"/>
        <v>67.36</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1274" t="str">
        <f>面积清单!B331</f>
        <v>7-2415</v>
      </c>
      <c r="D342" s="2217" t="s">
        <v>3658</v>
      </c>
      <c r="E342" s="34">
        <f t="shared" si="206"/>
        <v>21.42</v>
      </c>
      <c r="F342" s="35"/>
      <c r="G342" s="36">
        <f t="shared" si="181"/>
        <v>80.73</v>
      </c>
      <c r="H342" s="37">
        <f t="shared" si="182"/>
        <v>80.73</v>
      </c>
      <c r="I342" s="2218">
        <f>面积清单!E331</f>
        <v>80.73</v>
      </c>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3"/>
      <c r="AV342" s="1798">
        <f t="shared" si="207"/>
        <v>0</v>
      </c>
      <c r="AW342" s="1798">
        <f t="shared" si="208"/>
        <v>0</v>
      </c>
      <c r="AX342" s="1798" t="str">
        <f t="shared" si="209"/>
        <v>7-2415</v>
      </c>
      <c r="AY342" s="41">
        <f t="shared" si="184"/>
        <v>27.71</v>
      </c>
      <c r="AZ342" s="34">
        <f t="shared" si="185"/>
        <v>80.73</v>
      </c>
      <c r="BA342" s="34">
        <f t="shared" si="186"/>
        <v>80.73</v>
      </c>
      <c r="BB342" s="34">
        <f t="shared" si="187"/>
        <v>80.73</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1274" t="str">
        <f>面积清单!B332</f>
        <v>7-2416</v>
      </c>
      <c r="D343" s="2217" t="s">
        <v>3658</v>
      </c>
      <c r="E343" s="34">
        <f t="shared" si="206"/>
        <v>13.84</v>
      </c>
      <c r="F343" s="35"/>
      <c r="G343" s="36">
        <f t="shared" si="181"/>
        <v>52.17</v>
      </c>
      <c r="H343" s="37">
        <f t="shared" si="182"/>
        <v>52.17</v>
      </c>
      <c r="I343" s="2218">
        <f>面积清单!E332</f>
        <v>52.17</v>
      </c>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3"/>
      <c r="AV343" s="1798">
        <f t="shared" si="207"/>
        <v>0</v>
      </c>
      <c r="AW343" s="1798">
        <f t="shared" si="208"/>
        <v>0</v>
      </c>
      <c r="AX343" s="1798" t="str">
        <f t="shared" si="209"/>
        <v>7-2416</v>
      </c>
      <c r="AY343" s="41">
        <f t="shared" si="184"/>
        <v>17.91</v>
      </c>
      <c r="AZ343" s="34">
        <f t="shared" si="185"/>
        <v>52.17</v>
      </c>
      <c r="BA343" s="34">
        <f t="shared" si="186"/>
        <v>52.17</v>
      </c>
      <c r="BB343" s="34">
        <f t="shared" si="187"/>
        <v>52.17</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1274" t="str">
        <f>面积清单!B333</f>
        <v>7-2417</v>
      </c>
      <c r="D344" s="2217" t="s">
        <v>3658</v>
      </c>
      <c r="E344" s="34">
        <f t="shared" si="206"/>
        <v>13.84</v>
      </c>
      <c r="F344" s="35"/>
      <c r="G344" s="36">
        <f t="shared" si="181"/>
        <v>52.17</v>
      </c>
      <c r="H344" s="37">
        <f t="shared" si="182"/>
        <v>52.17</v>
      </c>
      <c r="I344" s="2218">
        <f>面积清单!E333</f>
        <v>52.17</v>
      </c>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3"/>
      <c r="AV344" s="1798">
        <f t="shared" si="207"/>
        <v>0</v>
      </c>
      <c r="AW344" s="1798">
        <f t="shared" si="208"/>
        <v>0</v>
      </c>
      <c r="AX344" s="1798" t="str">
        <f t="shared" si="209"/>
        <v>7-2417</v>
      </c>
      <c r="AY344" s="41">
        <f t="shared" si="184"/>
        <v>17.91</v>
      </c>
      <c r="AZ344" s="34">
        <f t="shared" si="185"/>
        <v>52.17</v>
      </c>
      <c r="BA344" s="34">
        <f t="shared" si="186"/>
        <v>52.17</v>
      </c>
      <c r="BB344" s="34">
        <f t="shared" si="187"/>
        <v>52.17</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1274" t="str">
        <f>面积清单!B334</f>
        <v>7-2418</v>
      </c>
      <c r="D345" s="2217" t="s">
        <v>3658</v>
      </c>
      <c r="E345" s="34">
        <f t="shared" si="206"/>
        <v>13.84</v>
      </c>
      <c r="F345" s="35"/>
      <c r="G345" s="36">
        <f t="shared" si="181"/>
        <v>52.17</v>
      </c>
      <c r="H345" s="37">
        <f t="shared" si="182"/>
        <v>52.17</v>
      </c>
      <c r="I345" s="2218">
        <f>面积清单!E334</f>
        <v>52.17</v>
      </c>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3"/>
      <c r="AV345" s="1798">
        <f t="shared" si="207"/>
        <v>0</v>
      </c>
      <c r="AW345" s="1798">
        <f t="shared" si="208"/>
        <v>0</v>
      </c>
      <c r="AX345" s="1798" t="str">
        <f t="shared" si="209"/>
        <v>7-2418</v>
      </c>
      <c r="AY345" s="41">
        <f t="shared" si="184"/>
        <v>17.91</v>
      </c>
      <c r="AZ345" s="34">
        <f t="shared" si="185"/>
        <v>52.17</v>
      </c>
      <c r="BA345" s="34">
        <f t="shared" si="186"/>
        <v>52.17</v>
      </c>
      <c r="BB345" s="34">
        <f t="shared" si="187"/>
        <v>52.17</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1274" t="str">
        <f>面积清单!B335</f>
        <v>7-2419</v>
      </c>
      <c r="D346" s="2217" t="s">
        <v>3658</v>
      </c>
      <c r="E346" s="34">
        <f t="shared" si="206"/>
        <v>13.84</v>
      </c>
      <c r="F346" s="35"/>
      <c r="G346" s="36">
        <f t="shared" si="181"/>
        <v>52.17</v>
      </c>
      <c r="H346" s="37">
        <f t="shared" si="182"/>
        <v>52.17</v>
      </c>
      <c r="I346" s="2218">
        <f>面积清单!E335</f>
        <v>52.17</v>
      </c>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3"/>
      <c r="AV346" s="1798">
        <f t="shared" si="207"/>
        <v>0</v>
      </c>
      <c r="AW346" s="1798">
        <f t="shared" si="208"/>
        <v>0</v>
      </c>
      <c r="AX346" s="1798" t="str">
        <f t="shared" si="209"/>
        <v>7-2419</v>
      </c>
      <c r="AY346" s="41">
        <f t="shared" si="184"/>
        <v>17.91</v>
      </c>
      <c r="AZ346" s="34">
        <f t="shared" si="185"/>
        <v>52.17</v>
      </c>
      <c r="BA346" s="34">
        <f t="shared" si="186"/>
        <v>52.17</v>
      </c>
      <c r="BB346" s="34">
        <f t="shared" si="187"/>
        <v>52.17</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1274" t="str">
        <f>面积清单!B336</f>
        <v>7-2420</v>
      </c>
      <c r="D347" s="2217" t="s">
        <v>3658</v>
      </c>
      <c r="E347" s="34">
        <f t="shared" si="206"/>
        <v>13.84</v>
      </c>
      <c r="F347" s="35"/>
      <c r="G347" s="36">
        <f t="shared" si="181"/>
        <v>52.17</v>
      </c>
      <c r="H347" s="37">
        <f t="shared" si="182"/>
        <v>52.17</v>
      </c>
      <c r="I347" s="2218">
        <f>面积清单!E336</f>
        <v>52.17</v>
      </c>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3"/>
      <c r="AV347" s="1798">
        <f t="shared" si="207"/>
        <v>0</v>
      </c>
      <c r="AW347" s="1798">
        <f t="shared" si="208"/>
        <v>0</v>
      </c>
      <c r="AX347" s="1798" t="str">
        <f t="shared" si="209"/>
        <v>7-2420</v>
      </c>
      <c r="AY347" s="41">
        <f t="shared" si="184"/>
        <v>17.91</v>
      </c>
      <c r="AZ347" s="34">
        <f t="shared" si="185"/>
        <v>52.17</v>
      </c>
      <c r="BA347" s="34">
        <f t="shared" si="186"/>
        <v>52.17</v>
      </c>
      <c r="BB347" s="34">
        <f t="shared" si="187"/>
        <v>52.17</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1274" t="str">
        <f>面积清单!B337</f>
        <v>7-2421</v>
      </c>
      <c r="D348" s="2217" t="s">
        <v>3658</v>
      </c>
      <c r="E348" s="34">
        <f t="shared" si="206"/>
        <v>13.84</v>
      </c>
      <c r="F348" s="35"/>
      <c r="G348" s="36">
        <f t="shared" si="181"/>
        <v>52.17</v>
      </c>
      <c r="H348" s="37">
        <f t="shared" si="182"/>
        <v>52.17</v>
      </c>
      <c r="I348" s="2218">
        <f>面积清单!E337</f>
        <v>52.17</v>
      </c>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3"/>
      <c r="AV348" s="1798">
        <f t="shared" si="207"/>
        <v>0</v>
      </c>
      <c r="AW348" s="1798">
        <f t="shared" si="208"/>
        <v>0</v>
      </c>
      <c r="AX348" s="1798" t="str">
        <f t="shared" si="209"/>
        <v>7-2421</v>
      </c>
      <c r="AY348" s="41">
        <f t="shared" si="184"/>
        <v>17.91</v>
      </c>
      <c r="AZ348" s="34">
        <f t="shared" si="185"/>
        <v>52.17</v>
      </c>
      <c r="BA348" s="34">
        <f t="shared" si="186"/>
        <v>52.17</v>
      </c>
      <c r="BB348" s="34">
        <f t="shared" si="187"/>
        <v>52.17</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1274" t="str">
        <f>面积清单!B338</f>
        <v>7-2422</v>
      </c>
      <c r="D349" s="2217" t="s">
        <v>3658</v>
      </c>
      <c r="E349" s="34">
        <f t="shared" si="206"/>
        <v>13.84</v>
      </c>
      <c r="F349" s="35"/>
      <c r="G349" s="36">
        <f t="shared" si="181"/>
        <v>52.17</v>
      </c>
      <c r="H349" s="37">
        <f t="shared" si="182"/>
        <v>52.17</v>
      </c>
      <c r="I349" s="2218">
        <f>面积清单!E338</f>
        <v>52.17</v>
      </c>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3"/>
      <c r="AV349" s="1798">
        <f t="shared" si="207"/>
        <v>0</v>
      </c>
      <c r="AW349" s="1798">
        <f t="shared" si="208"/>
        <v>0</v>
      </c>
      <c r="AX349" s="1798" t="str">
        <f t="shared" si="209"/>
        <v>7-2422</v>
      </c>
      <c r="AY349" s="41">
        <f t="shared" si="184"/>
        <v>17.91</v>
      </c>
      <c r="AZ349" s="34">
        <f t="shared" si="185"/>
        <v>52.17</v>
      </c>
      <c r="BA349" s="34">
        <f t="shared" si="186"/>
        <v>52.17</v>
      </c>
      <c r="BB349" s="34">
        <f t="shared" si="187"/>
        <v>52.17</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1274" t="str">
        <f>面积清单!B339</f>
        <v>7-2423</v>
      </c>
      <c r="D350" s="2217" t="s">
        <v>3658</v>
      </c>
      <c r="E350" s="34">
        <f t="shared" si="206"/>
        <v>13.84</v>
      </c>
      <c r="F350" s="35"/>
      <c r="G350" s="36">
        <f t="shared" si="181"/>
        <v>52.17</v>
      </c>
      <c r="H350" s="37">
        <f t="shared" si="182"/>
        <v>52.17</v>
      </c>
      <c r="I350" s="2218">
        <f>面积清单!E339</f>
        <v>52.17</v>
      </c>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3"/>
      <c r="AV350" s="1798">
        <f t="shared" si="207"/>
        <v>0</v>
      </c>
      <c r="AW350" s="1798">
        <f t="shared" si="208"/>
        <v>0</v>
      </c>
      <c r="AX350" s="1798" t="str">
        <f t="shared" si="209"/>
        <v>7-2423</v>
      </c>
      <c r="AY350" s="41">
        <f t="shared" si="184"/>
        <v>17.91</v>
      </c>
      <c r="AZ350" s="34">
        <f t="shared" si="185"/>
        <v>52.17</v>
      </c>
      <c r="BA350" s="34">
        <f t="shared" si="186"/>
        <v>52.17</v>
      </c>
      <c r="BB350" s="34">
        <f t="shared" si="187"/>
        <v>52.17</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1274" t="str">
        <f>面积清单!B340</f>
        <v>7-2424</v>
      </c>
      <c r="D351" s="2217" t="s">
        <v>3658</v>
      </c>
      <c r="E351" s="34">
        <f t="shared" si="206"/>
        <v>13.84</v>
      </c>
      <c r="F351" s="35"/>
      <c r="G351" s="36">
        <f t="shared" si="181"/>
        <v>52.17</v>
      </c>
      <c r="H351" s="37">
        <f t="shared" si="182"/>
        <v>52.17</v>
      </c>
      <c r="I351" s="2218">
        <f>面积清单!E340</f>
        <v>52.17</v>
      </c>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3"/>
      <c r="AV351" s="1798">
        <f t="shared" si="207"/>
        <v>0</v>
      </c>
      <c r="AW351" s="1798">
        <f t="shared" si="208"/>
        <v>0</v>
      </c>
      <c r="AX351" s="1798" t="str">
        <f t="shared" si="209"/>
        <v>7-2424</v>
      </c>
      <c r="AY351" s="41">
        <f t="shared" si="184"/>
        <v>17.91</v>
      </c>
      <c r="AZ351" s="34">
        <f t="shared" si="185"/>
        <v>52.17</v>
      </c>
      <c r="BA351" s="34">
        <f t="shared" si="186"/>
        <v>52.17</v>
      </c>
      <c r="BB351" s="34">
        <f t="shared" si="187"/>
        <v>52.17</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1274" t="str">
        <f>面积清单!B341</f>
        <v>7-2425</v>
      </c>
      <c r="D352" s="2217" t="s">
        <v>3658</v>
      </c>
      <c r="E352" s="34">
        <f t="shared" si="206"/>
        <v>13.84</v>
      </c>
      <c r="F352" s="35"/>
      <c r="G352" s="36">
        <f t="shared" si="181"/>
        <v>52.17</v>
      </c>
      <c r="H352" s="37">
        <f t="shared" si="182"/>
        <v>52.17</v>
      </c>
      <c r="I352" s="2218">
        <f>面积清单!E341</f>
        <v>52.17</v>
      </c>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3"/>
      <c r="AV352" s="1798">
        <f t="shared" si="207"/>
        <v>0</v>
      </c>
      <c r="AW352" s="1798">
        <f t="shared" si="208"/>
        <v>0</v>
      </c>
      <c r="AX352" s="1798" t="str">
        <f t="shared" si="209"/>
        <v>7-2425</v>
      </c>
      <c r="AY352" s="41">
        <f t="shared" si="184"/>
        <v>17.91</v>
      </c>
      <c r="AZ352" s="34">
        <f t="shared" si="185"/>
        <v>52.17</v>
      </c>
      <c r="BA352" s="34">
        <f t="shared" si="186"/>
        <v>52.17</v>
      </c>
      <c r="BB352" s="34">
        <f t="shared" si="187"/>
        <v>52.17</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1274" t="str">
        <f>面积清单!B342</f>
        <v>7-2426</v>
      </c>
      <c r="D353" s="2217" t="s">
        <v>3658</v>
      </c>
      <c r="E353" s="34">
        <f t="shared" si="206"/>
        <v>21.42</v>
      </c>
      <c r="F353" s="35"/>
      <c r="G353" s="36">
        <f t="shared" si="181"/>
        <v>80.73</v>
      </c>
      <c r="H353" s="37">
        <f t="shared" si="182"/>
        <v>80.73</v>
      </c>
      <c r="I353" s="2218">
        <f>面积清单!E342</f>
        <v>80.73</v>
      </c>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3"/>
      <c r="AV353" s="1798">
        <f t="shared" si="207"/>
        <v>0</v>
      </c>
      <c r="AW353" s="1798">
        <f t="shared" si="208"/>
        <v>0</v>
      </c>
      <c r="AX353" s="1798" t="str">
        <f t="shared" si="209"/>
        <v>7-2426</v>
      </c>
      <c r="AY353" s="41">
        <f t="shared" si="184"/>
        <v>27.71</v>
      </c>
      <c r="AZ353" s="34">
        <f t="shared" si="185"/>
        <v>80.73</v>
      </c>
      <c r="BA353" s="34">
        <f t="shared" si="186"/>
        <v>80.73</v>
      </c>
      <c r="BB353" s="34">
        <f t="shared" si="187"/>
        <v>80.73</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1274" t="str">
        <f>面积清单!B343</f>
        <v>7-2427</v>
      </c>
      <c r="D354" s="2217" t="s">
        <v>3658</v>
      </c>
      <c r="E354" s="34">
        <f t="shared" si="206"/>
        <v>24.7</v>
      </c>
      <c r="F354" s="35"/>
      <c r="G354" s="36">
        <f t="shared" si="181"/>
        <v>93.08</v>
      </c>
      <c r="H354" s="37">
        <f t="shared" si="182"/>
        <v>93.08</v>
      </c>
      <c r="I354" s="2218">
        <f>面积清单!E343</f>
        <v>93.08</v>
      </c>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3"/>
      <c r="AV354" s="1798">
        <f t="shared" si="207"/>
        <v>0</v>
      </c>
      <c r="AW354" s="1798">
        <f t="shared" si="208"/>
        <v>0</v>
      </c>
      <c r="AX354" s="1798" t="str">
        <f t="shared" si="209"/>
        <v>7-2427</v>
      </c>
      <c r="AY354" s="41">
        <f t="shared" si="184"/>
        <v>31.95</v>
      </c>
      <c r="AZ354" s="34">
        <f t="shared" si="185"/>
        <v>93.08</v>
      </c>
      <c r="BA354" s="34">
        <f t="shared" si="186"/>
        <v>93.08</v>
      </c>
      <c r="BB354" s="34">
        <f t="shared" si="187"/>
        <v>93.08</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1274" t="str">
        <f>面积清单!B344</f>
        <v>7-2428</v>
      </c>
      <c r="D355" s="2217" t="s">
        <v>3658</v>
      </c>
      <c r="E355" s="34">
        <f t="shared" si="206"/>
        <v>24.7</v>
      </c>
      <c r="F355" s="35"/>
      <c r="G355" s="36">
        <f t="shared" si="181"/>
        <v>93.08</v>
      </c>
      <c r="H355" s="37">
        <f t="shared" si="182"/>
        <v>93.08</v>
      </c>
      <c r="I355" s="2218">
        <f>面积清单!E344</f>
        <v>93.08</v>
      </c>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3"/>
      <c r="AV355" s="1798">
        <f t="shared" si="207"/>
        <v>0</v>
      </c>
      <c r="AW355" s="1798">
        <f t="shared" si="208"/>
        <v>0</v>
      </c>
      <c r="AX355" s="1798" t="str">
        <f t="shared" si="209"/>
        <v>7-2428</v>
      </c>
      <c r="AY355" s="41">
        <f t="shared" si="184"/>
        <v>31.95</v>
      </c>
      <c r="AZ355" s="34">
        <f t="shared" si="185"/>
        <v>93.08</v>
      </c>
      <c r="BA355" s="34">
        <f t="shared" si="186"/>
        <v>93.08</v>
      </c>
      <c r="BB355" s="34">
        <f t="shared" si="187"/>
        <v>93.08</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1274" t="str">
        <f>面积清单!B345</f>
        <v>7-2501</v>
      </c>
      <c r="D356" s="2217" t="s">
        <v>3658</v>
      </c>
      <c r="E356" s="34">
        <f t="shared" si="206"/>
        <v>21.42</v>
      </c>
      <c r="F356" s="35"/>
      <c r="G356" s="36">
        <f t="shared" si="181"/>
        <v>80.73</v>
      </c>
      <c r="H356" s="37">
        <f t="shared" si="182"/>
        <v>80.73</v>
      </c>
      <c r="I356" s="2218">
        <f>面积清单!E345</f>
        <v>80.73</v>
      </c>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3"/>
      <c r="AV356" s="1798">
        <f t="shared" si="207"/>
        <v>0</v>
      </c>
      <c r="AW356" s="1798">
        <f t="shared" si="208"/>
        <v>0</v>
      </c>
      <c r="AX356" s="1798" t="str">
        <f t="shared" si="209"/>
        <v>7-2501</v>
      </c>
      <c r="AY356" s="41">
        <f t="shared" si="184"/>
        <v>27.71</v>
      </c>
      <c r="AZ356" s="34">
        <f t="shared" si="185"/>
        <v>80.73</v>
      </c>
      <c r="BA356" s="34">
        <f t="shared" si="186"/>
        <v>80.73</v>
      </c>
      <c r="BB356" s="34">
        <f t="shared" si="187"/>
        <v>80.73</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1274" t="str">
        <f>面积清单!B346</f>
        <v>7-2502</v>
      </c>
      <c r="D357" s="2217" t="s">
        <v>3658</v>
      </c>
      <c r="E357" s="34">
        <f t="shared" si="206"/>
        <v>13.84</v>
      </c>
      <c r="F357" s="35"/>
      <c r="G357" s="36">
        <f t="shared" si="181"/>
        <v>52.17</v>
      </c>
      <c r="H357" s="37">
        <f t="shared" si="182"/>
        <v>52.17</v>
      </c>
      <c r="I357" s="2218">
        <f>面积清单!E346</f>
        <v>52.17</v>
      </c>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3"/>
      <c r="AV357" s="1798">
        <f t="shared" si="207"/>
        <v>0</v>
      </c>
      <c r="AW357" s="1798">
        <f t="shared" si="208"/>
        <v>0</v>
      </c>
      <c r="AX357" s="1798" t="str">
        <f t="shared" si="209"/>
        <v>7-2502</v>
      </c>
      <c r="AY357" s="41">
        <f t="shared" si="184"/>
        <v>17.91</v>
      </c>
      <c r="AZ357" s="34">
        <f t="shared" si="185"/>
        <v>52.17</v>
      </c>
      <c r="BA357" s="34">
        <f t="shared" si="186"/>
        <v>52.17</v>
      </c>
      <c r="BB357" s="34">
        <f t="shared" si="187"/>
        <v>52.17</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1274" t="str">
        <f>面积清单!B347</f>
        <v>7-2503</v>
      </c>
      <c r="D358" s="2217" t="s">
        <v>3658</v>
      </c>
      <c r="E358" s="34">
        <f t="shared" si="206"/>
        <v>13.84</v>
      </c>
      <c r="F358" s="35"/>
      <c r="G358" s="36">
        <f t="shared" si="181"/>
        <v>52.17</v>
      </c>
      <c r="H358" s="37">
        <f t="shared" si="182"/>
        <v>52.17</v>
      </c>
      <c r="I358" s="2218">
        <f>面积清单!E347</f>
        <v>52.17</v>
      </c>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3"/>
      <c r="AV358" s="1798">
        <f t="shared" si="207"/>
        <v>0</v>
      </c>
      <c r="AW358" s="1798">
        <f t="shared" si="208"/>
        <v>0</v>
      </c>
      <c r="AX358" s="1798" t="str">
        <f t="shared" si="209"/>
        <v>7-2503</v>
      </c>
      <c r="AY358" s="41">
        <f t="shared" si="184"/>
        <v>17.91</v>
      </c>
      <c r="AZ358" s="34">
        <f t="shared" si="185"/>
        <v>52.17</v>
      </c>
      <c r="BA358" s="34">
        <f t="shared" si="186"/>
        <v>52.17</v>
      </c>
      <c r="BB358" s="34">
        <f t="shared" si="187"/>
        <v>52.17</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1274" t="str">
        <f>面积清单!B348</f>
        <v>7-2504</v>
      </c>
      <c r="D359" s="2217" t="s">
        <v>3658</v>
      </c>
      <c r="E359" s="34">
        <f t="shared" si="206"/>
        <v>13.84</v>
      </c>
      <c r="F359" s="35"/>
      <c r="G359" s="36">
        <f t="shared" si="181"/>
        <v>52.17</v>
      </c>
      <c r="H359" s="37">
        <f t="shared" si="182"/>
        <v>52.17</v>
      </c>
      <c r="I359" s="2218">
        <f>面积清单!E348</f>
        <v>52.17</v>
      </c>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3"/>
      <c r="AV359" s="1798">
        <f t="shared" si="207"/>
        <v>0</v>
      </c>
      <c r="AW359" s="1798">
        <f t="shared" si="208"/>
        <v>0</v>
      </c>
      <c r="AX359" s="1798" t="str">
        <f t="shared" si="209"/>
        <v>7-2504</v>
      </c>
      <c r="AY359" s="41">
        <f t="shared" si="184"/>
        <v>17.91</v>
      </c>
      <c r="AZ359" s="34">
        <f t="shared" si="185"/>
        <v>52.17</v>
      </c>
      <c r="BA359" s="34">
        <f t="shared" si="186"/>
        <v>52.17</v>
      </c>
      <c r="BB359" s="34">
        <f t="shared" si="187"/>
        <v>52.17</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1274" t="str">
        <f>面积清单!B349</f>
        <v>7-2505</v>
      </c>
      <c r="D360" s="2217" t="s">
        <v>3658</v>
      </c>
      <c r="E360" s="34">
        <f t="shared" si="206"/>
        <v>13.84</v>
      </c>
      <c r="F360" s="35"/>
      <c r="G360" s="36">
        <f t="shared" si="181"/>
        <v>52.17</v>
      </c>
      <c r="H360" s="37">
        <f t="shared" si="182"/>
        <v>52.17</v>
      </c>
      <c r="I360" s="2218">
        <f>面积清单!E349</f>
        <v>52.17</v>
      </c>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3"/>
      <c r="AV360" s="1798">
        <f t="shared" si="207"/>
        <v>0</v>
      </c>
      <c r="AW360" s="1798">
        <f t="shared" si="208"/>
        <v>0</v>
      </c>
      <c r="AX360" s="1798" t="str">
        <f t="shared" si="209"/>
        <v>7-2505</v>
      </c>
      <c r="AY360" s="41">
        <f t="shared" si="184"/>
        <v>17.91</v>
      </c>
      <c r="AZ360" s="34">
        <f t="shared" si="185"/>
        <v>52.17</v>
      </c>
      <c r="BA360" s="34">
        <f t="shared" si="186"/>
        <v>52.17</v>
      </c>
      <c r="BB360" s="34">
        <f t="shared" si="187"/>
        <v>52.17</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1274" t="str">
        <f>面积清单!B350</f>
        <v>7-2506</v>
      </c>
      <c r="D361" s="2217" t="s">
        <v>3658</v>
      </c>
      <c r="E361" s="34">
        <f t="shared" si="206"/>
        <v>13.84</v>
      </c>
      <c r="F361" s="35"/>
      <c r="G361" s="36">
        <f t="shared" si="181"/>
        <v>52.17</v>
      </c>
      <c r="H361" s="37">
        <f t="shared" si="182"/>
        <v>52.17</v>
      </c>
      <c r="I361" s="2218">
        <f>面积清单!E350</f>
        <v>52.17</v>
      </c>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3"/>
      <c r="AV361" s="1798">
        <f t="shared" si="207"/>
        <v>0</v>
      </c>
      <c r="AW361" s="1798">
        <f t="shared" si="208"/>
        <v>0</v>
      </c>
      <c r="AX361" s="1798" t="str">
        <f t="shared" si="209"/>
        <v>7-2506</v>
      </c>
      <c r="AY361" s="41">
        <f t="shared" si="184"/>
        <v>17.91</v>
      </c>
      <c r="AZ361" s="34">
        <f t="shared" si="185"/>
        <v>52.17</v>
      </c>
      <c r="BA361" s="34">
        <f t="shared" si="186"/>
        <v>52.17</v>
      </c>
      <c r="BB361" s="34">
        <f t="shared" si="187"/>
        <v>52.17</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1274" t="str">
        <f>面积清单!B351</f>
        <v>7-2507</v>
      </c>
      <c r="D362" s="2217" t="s">
        <v>3658</v>
      </c>
      <c r="E362" s="34">
        <f t="shared" si="206"/>
        <v>13.84</v>
      </c>
      <c r="F362" s="35"/>
      <c r="G362" s="36">
        <f t="shared" si="181"/>
        <v>52.17</v>
      </c>
      <c r="H362" s="37">
        <f t="shared" si="182"/>
        <v>52.17</v>
      </c>
      <c r="I362" s="2218">
        <f>面积清单!E351</f>
        <v>52.17</v>
      </c>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3"/>
      <c r="AV362" s="1798">
        <f t="shared" si="207"/>
        <v>0</v>
      </c>
      <c r="AW362" s="1798">
        <f t="shared" si="208"/>
        <v>0</v>
      </c>
      <c r="AX362" s="1798" t="str">
        <f t="shared" si="209"/>
        <v>7-2507</v>
      </c>
      <c r="AY362" s="41">
        <f t="shared" si="184"/>
        <v>17.91</v>
      </c>
      <c r="AZ362" s="34">
        <f t="shared" si="185"/>
        <v>52.17</v>
      </c>
      <c r="BA362" s="34">
        <f t="shared" si="186"/>
        <v>52.17</v>
      </c>
      <c r="BB362" s="34">
        <f t="shared" si="187"/>
        <v>52.17</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1274" t="str">
        <f>面积清单!B352</f>
        <v>7-2508</v>
      </c>
      <c r="D363" s="2217" t="s">
        <v>3658</v>
      </c>
      <c r="E363" s="34">
        <f t="shared" si="206"/>
        <v>13.84</v>
      </c>
      <c r="F363" s="35"/>
      <c r="G363" s="36">
        <f t="shared" si="181"/>
        <v>52.17</v>
      </c>
      <c r="H363" s="37">
        <f t="shared" si="182"/>
        <v>52.17</v>
      </c>
      <c r="I363" s="2218">
        <f>面积清单!E352</f>
        <v>52.17</v>
      </c>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3"/>
      <c r="AV363" s="1798">
        <f t="shared" si="207"/>
        <v>0</v>
      </c>
      <c r="AW363" s="1798">
        <f t="shared" si="208"/>
        <v>0</v>
      </c>
      <c r="AX363" s="1798" t="str">
        <f t="shared" si="209"/>
        <v>7-2508</v>
      </c>
      <c r="AY363" s="41">
        <f t="shared" si="184"/>
        <v>17.91</v>
      </c>
      <c r="AZ363" s="34">
        <f t="shared" si="185"/>
        <v>52.17</v>
      </c>
      <c r="BA363" s="34">
        <f t="shared" si="186"/>
        <v>52.17</v>
      </c>
      <c r="BB363" s="34">
        <f t="shared" si="187"/>
        <v>52.17</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1274" t="str">
        <f>面积清单!B353</f>
        <v>7-2509</v>
      </c>
      <c r="D364" s="2217" t="s">
        <v>3658</v>
      </c>
      <c r="E364" s="34">
        <f t="shared" si="206"/>
        <v>13.84</v>
      </c>
      <c r="F364" s="35"/>
      <c r="G364" s="36">
        <f t="shared" ref="G364:G395" si="210">H364+AC364+AT364</f>
        <v>52.17</v>
      </c>
      <c r="H364" s="37">
        <f t="shared" ref="H364:H395" si="211">SUMIF(I$12:AB$12,"总值",I364:AB364)</f>
        <v>52.17</v>
      </c>
      <c r="I364" s="2218">
        <f>面积清单!E353</f>
        <v>52.17</v>
      </c>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3"/>
      <c r="AV364" s="1798">
        <f t="shared" si="207"/>
        <v>0</v>
      </c>
      <c r="AW364" s="1798">
        <f t="shared" si="208"/>
        <v>0</v>
      </c>
      <c r="AX364" s="1798" t="str">
        <f t="shared" si="209"/>
        <v>7-2509</v>
      </c>
      <c r="AY364" s="41">
        <f t="shared" ref="AY364:AY395" si="213">ROUND($AY$6*AZ364/$AZ$5,2)</f>
        <v>17.91</v>
      </c>
      <c r="AZ364" s="34">
        <f t="shared" ref="AZ364:AZ395" si="214">BA364+BL364</f>
        <v>52.17</v>
      </c>
      <c r="BA364" s="34">
        <f t="shared" ref="BA364:BA395" si="215">SUM(BB364:BK364)</f>
        <v>52.17</v>
      </c>
      <c r="BB364" s="34">
        <f t="shared" ref="BB364:BB397" si="216">IF($D364="是",I364-J364,0)</f>
        <v>52.17</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1274" t="str">
        <f>面积清单!B354</f>
        <v>7-2510</v>
      </c>
      <c r="D365" s="2217" t="s">
        <v>3658</v>
      </c>
      <c r="E365" s="34">
        <f t="shared" si="206"/>
        <v>13.84</v>
      </c>
      <c r="F365" s="35"/>
      <c r="G365" s="36">
        <f t="shared" si="210"/>
        <v>52.17</v>
      </c>
      <c r="H365" s="37">
        <f t="shared" si="211"/>
        <v>52.17</v>
      </c>
      <c r="I365" s="2218">
        <f>面积清单!E354</f>
        <v>52.17</v>
      </c>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3"/>
      <c r="AV365" s="1798">
        <f t="shared" si="207"/>
        <v>0</v>
      </c>
      <c r="AW365" s="1798">
        <f t="shared" si="208"/>
        <v>0</v>
      </c>
      <c r="AX365" s="1798" t="str">
        <f t="shared" si="209"/>
        <v>7-2510</v>
      </c>
      <c r="AY365" s="41">
        <f t="shared" si="213"/>
        <v>17.91</v>
      </c>
      <c r="AZ365" s="34">
        <f t="shared" si="214"/>
        <v>52.17</v>
      </c>
      <c r="BA365" s="34">
        <f t="shared" si="215"/>
        <v>52.17</v>
      </c>
      <c r="BB365" s="34">
        <f t="shared" si="216"/>
        <v>52.17</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1274" t="str">
        <f>面积清单!B355</f>
        <v>7-2511</v>
      </c>
      <c r="D366" s="2217" t="s">
        <v>3658</v>
      </c>
      <c r="E366" s="34">
        <f t="shared" si="206"/>
        <v>13.84</v>
      </c>
      <c r="F366" s="35"/>
      <c r="G366" s="36">
        <f t="shared" si="210"/>
        <v>52.17</v>
      </c>
      <c r="H366" s="37">
        <f t="shared" si="211"/>
        <v>52.17</v>
      </c>
      <c r="I366" s="2218">
        <f>面积清单!E355</f>
        <v>52.17</v>
      </c>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3"/>
      <c r="AV366" s="1798">
        <f t="shared" si="207"/>
        <v>0</v>
      </c>
      <c r="AW366" s="1798">
        <f t="shared" si="208"/>
        <v>0</v>
      </c>
      <c r="AX366" s="1798" t="str">
        <f t="shared" si="209"/>
        <v>7-2511</v>
      </c>
      <c r="AY366" s="41">
        <f t="shared" si="213"/>
        <v>17.91</v>
      </c>
      <c r="AZ366" s="34">
        <f t="shared" si="214"/>
        <v>52.17</v>
      </c>
      <c r="BA366" s="34">
        <f t="shared" si="215"/>
        <v>52.17</v>
      </c>
      <c r="BB366" s="34">
        <f t="shared" si="216"/>
        <v>52.17</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1274" t="str">
        <f>面积清单!B356</f>
        <v>7-2512</v>
      </c>
      <c r="D367" s="2217" t="s">
        <v>3658</v>
      </c>
      <c r="E367" s="34">
        <f t="shared" ref="E367:E397" si="235">IF($C$3="是",ROUND($A$3*G367/$B$3,2),ROUND($A$3*(G367-AT367)/$B$3,2))</f>
        <v>21.42</v>
      </c>
      <c r="F367" s="35"/>
      <c r="G367" s="36">
        <f t="shared" si="210"/>
        <v>80.73</v>
      </c>
      <c r="H367" s="37">
        <f t="shared" si="211"/>
        <v>80.73</v>
      </c>
      <c r="I367" s="2218">
        <f>面积清单!E356</f>
        <v>80.73</v>
      </c>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3"/>
      <c r="AV367" s="1798">
        <f t="shared" ref="AV367:AV397" si="236">A367</f>
        <v>0</v>
      </c>
      <c r="AW367" s="1798">
        <f t="shared" ref="AW367:AW397" si="237">B367</f>
        <v>0</v>
      </c>
      <c r="AX367" s="1798" t="str">
        <f t="shared" ref="AX367:AX397" si="238">C367</f>
        <v>7-2512</v>
      </c>
      <c r="AY367" s="41">
        <f t="shared" si="213"/>
        <v>27.71</v>
      </c>
      <c r="AZ367" s="34">
        <f t="shared" si="214"/>
        <v>80.73</v>
      </c>
      <c r="BA367" s="34">
        <f t="shared" si="215"/>
        <v>80.73</v>
      </c>
      <c r="BB367" s="34">
        <f t="shared" si="216"/>
        <v>80.73</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1274" t="str">
        <f>面积清单!B357</f>
        <v>7-2513</v>
      </c>
      <c r="D368" s="2217" t="s">
        <v>3658</v>
      </c>
      <c r="E368" s="34">
        <f t="shared" si="235"/>
        <v>17.88</v>
      </c>
      <c r="F368" s="35"/>
      <c r="G368" s="36">
        <f t="shared" si="210"/>
        <v>67.36</v>
      </c>
      <c r="H368" s="37">
        <f t="shared" si="211"/>
        <v>67.36</v>
      </c>
      <c r="I368" s="2218">
        <f>面积清单!E357</f>
        <v>67.36</v>
      </c>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3"/>
      <c r="AV368" s="1798">
        <f t="shared" si="236"/>
        <v>0</v>
      </c>
      <c r="AW368" s="1798">
        <f t="shared" si="237"/>
        <v>0</v>
      </c>
      <c r="AX368" s="1798" t="str">
        <f t="shared" si="238"/>
        <v>7-2513</v>
      </c>
      <c r="AY368" s="41">
        <f t="shared" si="213"/>
        <v>23.12</v>
      </c>
      <c r="AZ368" s="34">
        <f t="shared" si="214"/>
        <v>67.36</v>
      </c>
      <c r="BA368" s="34">
        <f t="shared" si="215"/>
        <v>67.36</v>
      </c>
      <c r="BB368" s="34">
        <f t="shared" si="216"/>
        <v>67.36</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1274" t="str">
        <f>面积清单!B358</f>
        <v>7-2514</v>
      </c>
      <c r="D369" s="2217" t="s">
        <v>3658</v>
      </c>
      <c r="E369" s="34">
        <f t="shared" si="235"/>
        <v>17.88</v>
      </c>
      <c r="F369" s="35"/>
      <c r="G369" s="36">
        <f t="shared" si="210"/>
        <v>67.36</v>
      </c>
      <c r="H369" s="37">
        <f t="shared" si="211"/>
        <v>67.36</v>
      </c>
      <c r="I369" s="2218">
        <f>面积清单!E358</f>
        <v>67.36</v>
      </c>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3"/>
      <c r="AV369" s="1798">
        <f t="shared" si="236"/>
        <v>0</v>
      </c>
      <c r="AW369" s="1798">
        <f t="shared" si="237"/>
        <v>0</v>
      </c>
      <c r="AX369" s="1798" t="str">
        <f t="shared" si="238"/>
        <v>7-2514</v>
      </c>
      <c r="AY369" s="41">
        <f t="shared" si="213"/>
        <v>23.12</v>
      </c>
      <c r="AZ369" s="34">
        <f t="shared" si="214"/>
        <v>67.36</v>
      </c>
      <c r="BA369" s="34">
        <f t="shared" si="215"/>
        <v>67.36</v>
      </c>
      <c r="BB369" s="34">
        <f t="shared" si="216"/>
        <v>67.36</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1274" t="str">
        <f>面积清单!B359</f>
        <v>7-2515</v>
      </c>
      <c r="D370" s="2217" t="s">
        <v>3658</v>
      </c>
      <c r="E370" s="34">
        <f t="shared" si="235"/>
        <v>21.42</v>
      </c>
      <c r="F370" s="35"/>
      <c r="G370" s="36">
        <f t="shared" si="210"/>
        <v>80.73</v>
      </c>
      <c r="H370" s="37">
        <f t="shared" si="211"/>
        <v>80.73</v>
      </c>
      <c r="I370" s="2218">
        <f>面积清单!E359</f>
        <v>80.73</v>
      </c>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3"/>
      <c r="AV370" s="1798">
        <f t="shared" si="236"/>
        <v>0</v>
      </c>
      <c r="AW370" s="1798">
        <f t="shared" si="237"/>
        <v>0</v>
      </c>
      <c r="AX370" s="1798" t="str">
        <f t="shared" si="238"/>
        <v>7-2515</v>
      </c>
      <c r="AY370" s="41">
        <f t="shared" si="213"/>
        <v>27.71</v>
      </c>
      <c r="AZ370" s="34">
        <f t="shared" si="214"/>
        <v>80.73</v>
      </c>
      <c r="BA370" s="34">
        <f t="shared" si="215"/>
        <v>80.73</v>
      </c>
      <c r="BB370" s="34">
        <f t="shared" si="216"/>
        <v>80.73</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1274" t="str">
        <f>面积清单!B360</f>
        <v>7-2516</v>
      </c>
      <c r="D371" s="2217" t="s">
        <v>3658</v>
      </c>
      <c r="E371" s="34">
        <f t="shared" si="235"/>
        <v>13.84</v>
      </c>
      <c r="F371" s="35"/>
      <c r="G371" s="36">
        <f t="shared" si="210"/>
        <v>52.17</v>
      </c>
      <c r="H371" s="37">
        <f t="shared" si="211"/>
        <v>52.17</v>
      </c>
      <c r="I371" s="2218">
        <f>面积清单!E360</f>
        <v>52.17</v>
      </c>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3"/>
      <c r="AV371" s="1798">
        <f t="shared" si="236"/>
        <v>0</v>
      </c>
      <c r="AW371" s="1798">
        <f t="shared" si="237"/>
        <v>0</v>
      </c>
      <c r="AX371" s="1798" t="str">
        <f t="shared" si="238"/>
        <v>7-2516</v>
      </c>
      <c r="AY371" s="41">
        <f t="shared" si="213"/>
        <v>17.91</v>
      </c>
      <c r="AZ371" s="34">
        <f t="shared" si="214"/>
        <v>52.17</v>
      </c>
      <c r="BA371" s="34">
        <f t="shared" si="215"/>
        <v>52.17</v>
      </c>
      <c r="BB371" s="34">
        <f t="shared" si="216"/>
        <v>52.17</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1274" t="str">
        <f>面积清单!B361</f>
        <v>7-2517</v>
      </c>
      <c r="D372" s="2217" t="s">
        <v>3658</v>
      </c>
      <c r="E372" s="34">
        <f t="shared" si="235"/>
        <v>13.84</v>
      </c>
      <c r="F372" s="35"/>
      <c r="G372" s="36">
        <f t="shared" si="210"/>
        <v>52.17</v>
      </c>
      <c r="H372" s="37">
        <f t="shared" si="211"/>
        <v>52.17</v>
      </c>
      <c r="I372" s="2218">
        <f>面积清单!E361</f>
        <v>52.17</v>
      </c>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3"/>
      <c r="AV372" s="1798">
        <f t="shared" si="236"/>
        <v>0</v>
      </c>
      <c r="AW372" s="1798">
        <f t="shared" si="237"/>
        <v>0</v>
      </c>
      <c r="AX372" s="1798" t="str">
        <f t="shared" si="238"/>
        <v>7-2517</v>
      </c>
      <c r="AY372" s="41">
        <f t="shared" si="213"/>
        <v>17.91</v>
      </c>
      <c r="AZ372" s="34">
        <f t="shared" si="214"/>
        <v>52.17</v>
      </c>
      <c r="BA372" s="34">
        <f t="shared" si="215"/>
        <v>52.17</v>
      </c>
      <c r="BB372" s="34">
        <f t="shared" si="216"/>
        <v>52.17</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1274" t="str">
        <f>面积清单!B362</f>
        <v>7-2518</v>
      </c>
      <c r="D373" s="2217" t="s">
        <v>3658</v>
      </c>
      <c r="E373" s="34">
        <f t="shared" si="235"/>
        <v>13.84</v>
      </c>
      <c r="F373" s="35"/>
      <c r="G373" s="36">
        <f t="shared" si="210"/>
        <v>52.17</v>
      </c>
      <c r="H373" s="37">
        <f t="shared" si="211"/>
        <v>52.17</v>
      </c>
      <c r="I373" s="2218">
        <f>面积清单!E362</f>
        <v>52.17</v>
      </c>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3"/>
      <c r="AV373" s="1798">
        <f t="shared" si="236"/>
        <v>0</v>
      </c>
      <c r="AW373" s="1798">
        <f t="shared" si="237"/>
        <v>0</v>
      </c>
      <c r="AX373" s="1798" t="str">
        <f t="shared" si="238"/>
        <v>7-2518</v>
      </c>
      <c r="AY373" s="41">
        <f t="shared" si="213"/>
        <v>17.91</v>
      </c>
      <c r="AZ373" s="34">
        <f t="shared" si="214"/>
        <v>52.17</v>
      </c>
      <c r="BA373" s="34">
        <f t="shared" si="215"/>
        <v>52.17</v>
      </c>
      <c r="BB373" s="34">
        <f t="shared" si="216"/>
        <v>52.17</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1274" t="str">
        <f>面积清单!B363</f>
        <v>7-2519</v>
      </c>
      <c r="D374" s="2217" t="s">
        <v>3658</v>
      </c>
      <c r="E374" s="34">
        <f t="shared" si="235"/>
        <v>13.84</v>
      </c>
      <c r="F374" s="35"/>
      <c r="G374" s="36">
        <f t="shared" si="210"/>
        <v>52.17</v>
      </c>
      <c r="H374" s="37">
        <f t="shared" si="211"/>
        <v>52.17</v>
      </c>
      <c r="I374" s="2218">
        <f>面积清单!E363</f>
        <v>52.17</v>
      </c>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3"/>
      <c r="AV374" s="1798">
        <f t="shared" si="236"/>
        <v>0</v>
      </c>
      <c r="AW374" s="1798">
        <f t="shared" si="237"/>
        <v>0</v>
      </c>
      <c r="AX374" s="1798" t="str">
        <f t="shared" si="238"/>
        <v>7-2519</v>
      </c>
      <c r="AY374" s="41">
        <f t="shared" si="213"/>
        <v>17.91</v>
      </c>
      <c r="AZ374" s="34">
        <f t="shared" si="214"/>
        <v>52.17</v>
      </c>
      <c r="BA374" s="34">
        <f t="shared" si="215"/>
        <v>52.17</v>
      </c>
      <c r="BB374" s="34">
        <f t="shared" si="216"/>
        <v>52.17</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1274" t="str">
        <f>面积清单!B364</f>
        <v>7-2520</v>
      </c>
      <c r="D375" s="2217" t="s">
        <v>3658</v>
      </c>
      <c r="E375" s="34">
        <f t="shared" si="235"/>
        <v>13.84</v>
      </c>
      <c r="F375" s="35"/>
      <c r="G375" s="36">
        <f t="shared" si="210"/>
        <v>52.17</v>
      </c>
      <c r="H375" s="37">
        <f t="shared" si="211"/>
        <v>52.17</v>
      </c>
      <c r="I375" s="2218">
        <f>面积清单!E364</f>
        <v>52.17</v>
      </c>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3"/>
      <c r="AV375" s="1798">
        <f t="shared" si="236"/>
        <v>0</v>
      </c>
      <c r="AW375" s="1798">
        <f t="shared" si="237"/>
        <v>0</v>
      </c>
      <c r="AX375" s="1798" t="str">
        <f t="shared" si="238"/>
        <v>7-2520</v>
      </c>
      <c r="AY375" s="41">
        <f t="shared" si="213"/>
        <v>17.91</v>
      </c>
      <c r="AZ375" s="34">
        <f t="shared" si="214"/>
        <v>52.17</v>
      </c>
      <c r="BA375" s="34">
        <f t="shared" si="215"/>
        <v>52.17</v>
      </c>
      <c r="BB375" s="34">
        <f t="shared" si="216"/>
        <v>52.17</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1274" t="str">
        <f>面积清单!B365</f>
        <v>7-2521</v>
      </c>
      <c r="D376" s="2217" t="s">
        <v>3658</v>
      </c>
      <c r="E376" s="34">
        <f t="shared" si="235"/>
        <v>13.84</v>
      </c>
      <c r="F376" s="35"/>
      <c r="G376" s="36">
        <f t="shared" si="210"/>
        <v>52.17</v>
      </c>
      <c r="H376" s="37">
        <f t="shared" si="211"/>
        <v>52.17</v>
      </c>
      <c r="I376" s="2218">
        <f>面积清单!E365</f>
        <v>52.17</v>
      </c>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3"/>
      <c r="AV376" s="1798">
        <f t="shared" si="236"/>
        <v>0</v>
      </c>
      <c r="AW376" s="1798">
        <f t="shared" si="237"/>
        <v>0</v>
      </c>
      <c r="AX376" s="1798" t="str">
        <f t="shared" si="238"/>
        <v>7-2521</v>
      </c>
      <c r="AY376" s="41">
        <f t="shared" si="213"/>
        <v>17.91</v>
      </c>
      <c r="AZ376" s="34">
        <f t="shared" si="214"/>
        <v>52.17</v>
      </c>
      <c r="BA376" s="34">
        <f t="shared" si="215"/>
        <v>52.17</v>
      </c>
      <c r="BB376" s="34">
        <f t="shared" si="216"/>
        <v>52.17</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1274" t="str">
        <f>面积清单!B366</f>
        <v>7-2522</v>
      </c>
      <c r="D377" s="2217" t="s">
        <v>3658</v>
      </c>
      <c r="E377" s="34">
        <f t="shared" si="235"/>
        <v>13.84</v>
      </c>
      <c r="F377" s="35"/>
      <c r="G377" s="36">
        <f t="shared" si="210"/>
        <v>52.17</v>
      </c>
      <c r="H377" s="37">
        <f t="shared" si="211"/>
        <v>52.17</v>
      </c>
      <c r="I377" s="2218">
        <f>面积清单!E366</f>
        <v>52.17</v>
      </c>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3"/>
      <c r="AV377" s="1798">
        <f t="shared" si="236"/>
        <v>0</v>
      </c>
      <c r="AW377" s="1798">
        <f t="shared" si="237"/>
        <v>0</v>
      </c>
      <c r="AX377" s="1798" t="str">
        <f t="shared" si="238"/>
        <v>7-2522</v>
      </c>
      <c r="AY377" s="41">
        <f t="shared" si="213"/>
        <v>17.91</v>
      </c>
      <c r="AZ377" s="34">
        <f t="shared" si="214"/>
        <v>52.17</v>
      </c>
      <c r="BA377" s="34">
        <f t="shared" si="215"/>
        <v>52.17</v>
      </c>
      <c r="BB377" s="34">
        <f t="shared" si="216"/>
        <v>52.17</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1274" t="str">
        <f>面积清单!B367</f>
        <v>7-2523</v>
      </c>
      <c r="D378" s="2217" t="s">
        <v>3658</v>
      </c>
      <c r="E378" s="34">
        <f t="shared" si="235"/>
        <v>13.84</v>
      </c>
      <c r="F378" s="35"/>
      <c r="G378" s="36">
        <f t="shared" si="210"/>
        <v>52.17</v>
      </c>
      <c r="H378" s="37">
        <f t="shared" si="211"/>
        <v>52.17</v>
      </c>
      <c r="I378" s="2218">
        <f>面积清单!E367</f>
        <v>52.17</v>
      </c>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3"/>
      <c r="AV378" s="1798">
        <f t="shared" si="236"/>
        <v>0</v>
      </c>
      <c r="AW378" s="1798">
        <f t="shared" si="237"/>
        <v>0</v>
      </c>
      <c r="AX378" s="1798" t="str">
        <f t="shared" si="238"/>
        <v>7-2523</v>
      </c>
      <c r="AY378" s="41">
        <f t="shared" si="213"/>
        <v>17.91</v>
      </c>
      <c r="AZ378" s="34">
        <f t="shared" si="214"/>
        <v>52.17</v>
      </c>
      <c r="BA378" s="34">
        <f t="shared" si="215"/>
        <v>52.17</v>
      </c>
      <c r="BB378" s="34">
        <f t="shared" si="216"/>
        <v>52.17</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1274" t="str">
        <f>面积清单!B368</f>
        <v>7-2524</v>
      </c>
      <c r="D379" s="2217" t="s">
        <v>3658</v>
      </c>
      <c r="E379" s="34">
        <f t="shared" si="235"/>
        <v>13.84</v>
      </c>
      <c r="F379" s="35"/>
      <c r="G379" s="36">
        <f t="shared" si="210"/>
        <v>52.17</v>
      </c>
      <c r="H379" s="37">
        <f t="shared" si="211"/>
        <v>52.17</v>
      </c>
      <c r="I379" s="2218">
        <f>面积清单!E368</f>
        <v>52.17</v>
      </c>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3"/>
      <c r="AV379" s="1798">
        <f t="shared" si="236"/>
        <v>0</v>
      </c>
      <c r="AW379" s="1798">
        <f t="shared" si="237"/>
        <v>0</v>
      </c>
      <c r="AX379" s="1798" t="str">
        <f t="shared" si="238"/>
        <v>7-2524</v>
      </c>
      <c r="AY379" s="41">
        <f t="shared" si="213"/>
        <v>17.91</v>
      </c>
      <c r="AZ379" s="34">
        <f t="shared" si="214"/>
        <v>52.17</v>
      </c>
      <c r="BA379" s="34">
        <f t="shared" si="215"/>
        <v>52.17</v>
      </c>
      <c r="BB379" s="34">
        <f t="shared" si="216"/>
        <v>52.17</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1274" t="str">
        <f>面积清单!B369</f>
        <v>7-2525</v>
      </c>
      <c r="D380" s="2217" t="s">
        <v>3658</v>
      </c>
      <c r="E380" s="34">
        <f t="shared" si="235"/>
        <v>13.84</v>
      </c>
      <c r="F380" s="35"/>
      <c r="G380" s="36">
        <f t="shared" si="210"/>
        <v>52.17</v>
      </c>
      <c r="H380" s="37">
        <f t="shared" si="211"/>
        <v>52.17</v>
      </c>
      <c r="I380" s="2218">
        <f>面积清单!E369</f>
        <v>52.17</v>
      </c>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3"/>
      <c r="AV380" s="1798">
        <f t="shared" si="236"/>
        <v>0</v>
      </c>
      <c r="AW380" s="1798">
        <f t="shared" si="237"/>
        <v>0</v>
      </c>
      <c r="AX380" s="1798" t="str">
        <f t="shared" si="238"/>
        <v>7-2525</v>
      </c>
      <c r="AY380" s="41">
        <f t="shared" si="213"/>
        <v>17.91</v>
      </c>
      <c r="AZ380" s="34">
        <f t="shared" si="214"/>
        <v>52.17</v>
      </c>
      <c r="BA380" s="34">
        <f t="shared" si="215"/>
        <v>52.17</v>
      </c>
      <c r="BB380" s="34">
        <f t="shared" si="216"/>
        <v>52.17</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1274" t="str">
        <f>面积清单!B370</f>
        <v>7-2526</v>
      </c>
      <c r="D381" s="2217" t="s">
        <v>3658</v>
      </c>
      <c r="E381" s="34">
        <f t="shared" si="235"/>
        <v>21.42</v>
      </c>
      <c r="F381" s="35"/>
      <c r="G381" s="36">
        <f t="shared" si="210"/>
        <v>80.73</v>
      </c>
      <c r="H381" s="37">
        <f t="shared" si="211"/>
        <v>80.73</v>
      </c>
      <c r="I381" s="2218">
        <f>面积清单!E370</f>
        <v>80.73</v>
      </c>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3"/>
      <c r="AV381" s="1798">
        <f t="shared" si="236"/>
        <v>0</v>
      </c>
      <c r="AW381" s="1798">
        <f t="shared" si="237"/>
        <v>0</v>
      </c>
      <c r="AX381" s="1798" t="str">
        <f t="shared" si="238"/>
        <v>7-2526</v>
      </c>
      <c r="AY381" s="41">
        <f t="shared" si="213"/>
        <v>27.71</v>
      </c>
      <c r="AZ381" s="34">
        <f t="shared" si="214"/>
        <v>80.73</v>
      </c>
      <c r="BA381" s="34">
        <f t="shared" si="215"/>
        <v>80.73</v>
      </c>
      <c r="BB381" s="34">
        <f t="shared" si="216"/>
        <v>80.73</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1274" t="str">
        <f>面积清单!B371</f>
        <v>7-2527</v>
      </c>
      <c r="D382" s="2217" t="s">
        <v>3658</v>
      </c>
      <c r="E382" s="34">
        <f t="shared" si="235"/>
        <v>24.7</v>
      </c>
      <c r="F382" s="35"/>
      <c r="G382" s="36">
        <f t="shared" si="210"/>
        <v>93.08</v>
      </c>
      <c r="H382" s="37">
        <f t="shared" si="211"/>
        <v>93.08</v>
      </c>
      <c r="I382" s="2218">
        <f>面积清单!E371</f>
        <v>93.08</v>
      </c>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3"/>
      <c r="AV382" s="1798">
        <f t="shared" si="236"/>
        <v>0</v>
      </c>
      <c r="AW382" s="1798">
        <f t="shared" si="237"/>
        <v>0</v>
      </c>
      <c r="AX382" s="1798" t="str">
        <f t="shared" si="238"/>
        <v>7-2527</v>
      </c>
      <c r="AY382" s="41">
        <f t="shared" si="213"/>
        <v>31.95</v>
      </c>
      <c r="AZ382" s="34">
        <f t="shared" si="214"/>
        <v>93.08</v>
      </c>
      <c r="BA382" s="34">
        <f t="shared" si="215"/>
        <v>93.08</v>
      </c>
      <c r="BB382" s="34">
        <f t="shared" si="216"/>
        <v>93.08</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1274" t="str">
        <f>面积清单!B372</f>
        <v>7-2528</v>
      </c>
      <c r="D383" s="2217" t="s">
        <v>3658</v>
      </c>
      <c r="E383" s="34">
        <f t="shared" si="235"/>
        <v>24.7</v>
      </c>
      <c r="F383" s="35"/>
      <c r="G383" s="36">
        <f t="shared" si="210"/>
        <v>93.08</v>
      </c>
      <c r="H383" s="37">
        <f t="shared" si="211"/>
        <v>93.08</v>
      </c>
      <c r="I383" s="2218">
        <f>面积清单!E372</f>
        <v>93.08</v>
      </c>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3"/>
      <c r="AV383" s="1798">
        <f t="shared" si="236"/>
        <v>0</v>
      </c>
      <c r="AW383" s="1798">
        <f t="shared" si="237"/>
        <v>0</v>
      </c>
      <c r="AX383" s="1798" t="str">
        <f t="shared" si="238"/>
        <v>7-2528</v>
      </c>
      <c r="AY383" s="41">
        <f t="shared" si="213"/>
        <v>31.95</v>
      </c>
      <c r="AZ383" s="34">
        <f t="shared" si="214"/>
        <v>93.08</v>
      </c>
      <c r="BA383" s="34">
        <f t="shared" si="215"/>
        <v>93.08</v>
      </c>
      <c r="BB383" s="34">
        <f t="shared" si="216"/>
        <v>93.08</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1274" t="str">
        <f>面积清单!B373</f>
        <v>7-2601</v>
      </c>
      <c r="D384" s="2217" t="s">
        <v>3658</v>
      </c>
      <c r="E384" s="34">
        <f t="shared" si="235"/>
        <v>21.42</v>
      </c>
      <c r="F384" s="35"/>
      <c r="G384" s="36">
        <f t="shared" si="210"/>
        <v>80.73</v>
      </c>
      <c r="H384" s="37">
        <f t="shared" si="211"/>
        <v>80.73</v>
      </c>
      <c r="I384" s="2218">
        <f>面积清单!E373</f>
        <v>80.73</v>
      </c>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3"/>
      <c r="AV384" s="1798">
        <f t="shared" si="236"/>
        <v>0</v>
      </c>
      <c r="AW384" s="1798">
        <f t="shared" si="237"/>
        <v>0</v>
      </c>
      <c r="AX384" s="1798" t="str">
        <f t="shared" si="238"/>
        <v>7-2601</v>
      </c>
      <c r="AY384" s="41">
        <f t="shared" si="213"/>
        <v>27.71</v>
      </c>
      <c r="AZ384" s="34">
        <f t="shared" si="214"/>
        <v>80.73</v>
      </c>
      <c r="BA384" s="34">
        <f t="shared" si="215"/>
        <v>80.73</v>
      </c>
      <c r="BB384" s="34">
        <f t="shared" si="216"/>
        <v>80.73</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1274" t="str">
        <f>面积清单!B374</f>
        <v>7-2602</v>
      </c>
      <c r="D385" s="2217" t="s">
        <v>3658</v>
      </c>
      <c r="E385" s="34">
        <f t="shared" si="235"/>
        <v>13.84</v>
      </c>
      <c r="F385" s="35"/>
      <c r="G385" s="36">
        <f t="shared" si="210"/>
        <v>52.17</v>
      </c>
      <c r="H385" s="37">
        <f t="shared" si="211"/>
        <v>52.17</v>
      </c>
      <c r="I385" s="2218">
        <f>面积清单!E374</f>
        <v>52.17</v>
      </c>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3"/>
      <c r="AV385" s="1798">
        <f t="shared" si="236"/>
        <v>0</v>
      </c>
      <c r="AW385" s="1798">
        <f t="shared" si="237"/>
        <v>0</v>
      </c>
      <c r="AX385" s="1798" t="str">
        <f t="shared" si="238"/>
        <v>7-2602</v>
      </c>
      <c r="AY385" s="41">
        <f t="shared" si="213"/>
        <v>17.91</v>
      </c>
      <c r="AZ385" s="34">
        <f t="shared" si="214"/>
        <v>52.17</v>
      </c>
      <c r="BA385" s="34">
        <f t="shared" si="215"/>
        <v>52.17</v>
      </c>
      <c r="BB385" s="34">
        <f t="shared" si="216"/>
        <v>52.17</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1274" t="str">
        <f>面积清单!B375</f>
        <v>7-2603</v>
      </c>
      <c r="D386" s="2217" t="s">
        <v>3658</v>
      </c>
      <c r="E386" s="34">
        <f t="shared" si="235"/>
        <v>13.84</v>
      </c>
      <c r="F386" s="35"/>
      <c r="G386" s="36">
        <f t="shared" si="210"/>
        <v>52.17</v>
      </c>
      <c r="H386" s="37">
        <f t="shared" si="211"/>
        <v>52.17</v>
      </c>
      <c r="I386" s="2218">
        <f>面积清单!E375</f>
        <v>52.17</v>
      </c>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3"/>
      <c r="AV386" s="1798">
        <f t="shared" si="236"/>
        <v>0</v>
      </c>
      <c r="AW386" s="1798">
        <f t="shared" si="237"/>
        <v>0</v>
      </c>
      <c r="AX386" s="1798" t="str">
        <f t="shared" si="238"/>
        <v>7-2603</v>
      </c>
      <c r="AY386" s="41">
        <f t="shared" si="213"/>
        <v>17.91</v>
      </c>
      <c r="AZ386" s="34">
        <f t="shared" si="214"/>
        <v>52.17</v>
      </c>
      <c r="BA386" s="34">
        <f t="shared" si="215"/>
        <v>52.17</v>
      </c>
      <c r="BB386" s="34">
        <f t="shared" si="216"/>
        <v>52.17</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1274" t="str">
        <f>面积清单!B376</f>
        <v>7-2604</v>
      </c>
      <c r="D387" s="2217" t="s">
        <v>3658</v>
      </c>
      <c r="E387" s="34">
        <f t="shared" si="235"/>
        <v>13.84</v>
      </c>
      <c r="F387" s="35"/>
      <c r="G387" s="36">
        <f t="shared" si="210"/>
        <v>52.17</v>
      </c>
      <c r="H387" s="37">
        <f t="shared" si="211"/>
        <v>52.17</v>
      </c>
      <c r="I387" s="2218">
        <f>面积清单!E376</f>
        <v>52.17</v>
      </c>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3"/>
      <c r="AV387" s="1798">
        <f t="shared" si="236"/>
        <v>0</v>
      </c>
      <c r="AW387" s="1798">
        <f t="shared" si="237"/>
        <v>0</v>
      </c>
      <c r="AX387" s="1798" t="str">
        <f t="shared" si="238"/>
        <v>7-2604</v>
      </c>
      <c r="AY387" s="41">
        <f t="shared" si="213"/>
        <v>17.91</v>
      </c>
      <c r="AZ387" s="34">
        <f t="shared" si="214"/>
        <v>52.17</v>
      </c>
      <c r="BA387" s="34">
        <f t="shared" si="215"/>
        <v>52.17</v>
      </c>
      <c r="BB387" s="34">
        <f t="shared" si="216"/>
        <v>52.17</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1274" t="str">
        <f>面积清单!B377</f>
        <v>7-2605</v>
      </c>
      <c r="D388" s="2217" t="s">
        <v>3658</v>
      </c>
      <c r="E388" s="34">
        <f t="shared" si="235"/>
        <v>13.84</v>
      </c>
      <c r="F388" s="35"/>
      <c r="G388" s="36">
        <f t="shared" si="210"/>
        <v>52.17</v>
      </c>
      <c r="H388" s="37">
        <f t="shared" si="211"/>
        <v>52.17</v>
      </c>
      <c r="I388" s="2218">
        <f>面积清单!E377</f>
        <v>52.17</v>
      </c>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3"/>
      <c r="AV388" s="1798">
        <f t="shared" si="236"/>
        <v>0</v>
      </c>
      <c r="AW388" s="1798">
        <f t="shared" si="237"/>
        <v>0</v>
      </c>
      <c r="AX388" s="1798" t="str">
        <f t="shared" si="238"/>
        <v>7-2605</v>
      </c>
      <c r="AY388" s="41">
        <f t="shared" si="213"/>
        <v>17.91</v>
      </c>
      <c r="AZ388" s="34">
        <f t="shared" si="214"/>
        <v>52.17</v>
      </c>
      <c r="BA388" s="34">
        <f t="shared" si="215"/>
        <v>52.17</v>
      </c>
      <c r="BB388" s="34">
        <f t="shared" si="216"/>
        <v>52.17</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1274" t="str">
        <f>面积清单!B378</f>
        <v>7-2606</v>
      </c>
      <c r="D389" s="2217" t="s">
        <v>3658</v>
      </c>
      <c r="E389" s="34">
        <f t="shared" si="235"/>
        <v>13.84</v>
      </c>
      <c r="F389" s="35"/>
      <c r="G389" s="36">
        <f t="shared" si="210"/>
        <v>52.17</v>
      </c>
      <c r="H389" s="37">
        <f t="shared" si="211"/>
        <v>52.17</v>
      </c>
      <c r="I389" s="2218">
        <f>面积清单!E378</f>
        <v>52.17</v>
      </c>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3"/>
      <c r="AV389" s="1798">
        <f t="shared" si="236"/>
        <v>0</v>
      </c>
      <c r="AW389" s="1798">
        <f t="shared" si="237"/>
        <v>0</v>
      </c>
      <c r="AX389" s="1798" t="str">
        <f t="shared" si="238"/>
        <v>7-2606</v>
      </c>
      <c r="AY389" s="41">
        <f t="shared" si="213"/>
        <v>17.91</v>
      </c>
      <c r="AZ389" s="34">
        <f t="shared" si="214"/>
        <v>52.17</v>
      </c>
      <c r="BA389" s="34">
        <f t="shared" si="215"/>
        <v>52.17</v>
      </c>
      <c r="BB389" s="34">
        <f t="shared" si="216"/>
        <v>52.17</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1274" t="str">
        <f>面积清单!B379</f>
        <v>7-2607</v>
      </c>
      <c r="D390" s="2217" t="s">
        <v>3658</v>
      </c>
      <c r="E390" s="34">
        <f t="shared" si="235"/>
        <v>13.84</v>
      </c>
      <c r="F390" s="35"/>
      <c r="G390" s="36">
        <f t="shared" si="210"/>
        <v>52.17</v>
      </c>
      <c r="H390" s="37">
        <f t="shared" si="211"/>
        <v>52.17</v>
      </c>
      <c r="I390" s="2218">
        <f>面积清单!E379</f>
        <v>52.17</v>
      </c>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3"/>
      <c r="AV390" s="1798">
        <f t="shared" si="236"/>
        <v>0</v>
      </c>
      <c r="AW390" s="1798">
        <f t="shared" si="237"/>
        <v>0</v>
      </c>
      <c r="AX390" s="1798" t="str">
        <f t="shared" si="238"/>
        <v>7-2607</v>
      </c>
      <c r="AY390" s="41">
        <f t="shared" si="213"/>
        <v>17.91</v>
      </c>
      <c r="AZ390" s="34">
        <f t="shared" si="214"/>
        <v>52.17</v>
      </c>
      <c r="BA390" s="34">
        <f t="shared" si="215"/>
        <v>52.17</v>
      </c>
      <c r="BB390" s="34">
        <f t="shared" si="216"/>
        <v>52.17</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1274" t="str">
        <f>面积清单!B380</f>
        <v>7-2608</v>
      </c>
      <c r="D391" s="2217" t="s">
        <v>3658</v>
      </c>
      <c r="E391" s="34">
        <f t="shared" si="235"/>
        <v>13.84</v>
      </c>
      <c r="F391" s="35"/>
      <c r="G391" s="36">
        <f t="shared" si="210"/>
        <v>52.17</v>
      </c>
      <c r="H391" s="37">
        <f t="shared" si="211"/>
        <v>52.17</v>
      </c>
      <c r="I391" s="2218">
        <f>面积清单!E380</f>
        <v>52.17</v>
      </c>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3"/>
      <c r="AV391" s="1798">
        <f t="shared" si="236"/>
        <v>0</v>
      </c>
      <c r="AW391" s="1798">
        <f t="shared" si="237"/>
        <v>0</v>
      </c>
      <c r="AX391" s="1798" t="str">
        <f t="shared" si="238"/>
        <v>7-2608</v>
      </c>
      <c r="AY391" s="41">
        <f t="shared" si="213"/>
        <v>17.91</v>
      </c>
      <c r="AZ391" s="34">
        <f t="shared" si="214"/>
        <v>52.17</v>
      </c>
      <c r="BA391" s="34">
        <f t="shared" si="215"/>
        <v>52.17</v>
      </c>
      <c r="BB391" s="34">
        <f t="shared" si="216"/>
        <v>52.17</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1274" t="str">
        <f>面积清单!B381</f>
        <v>7-2609</v>
      </c>
      <c r="D392" s="2217" t="s">
        <v>3658</v>
      </c>
      <c r="E392" s="34">
        <f t="shared" si="235"/>
        <v>13.84</v>
      </c>
      <c r="F392" s="35"/>
      <c r="G392" s="36">
        <f t="shared" si="210"/>
        <v>52.17</v>
      </c>
      <c r="H392" s="37">
        <f t="shared" si="211"/>
        <v>52.17</v>
      </c>
      <c r="I392" s="2218">
        <f>面积清单!E381</f>
        <v>52.17</v>
      </c>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3"/>
      <c r="AV392" s="1798">
        <f t="shared" si="236"/>
        <v>0</v>
      </c>
      <c r="AW392" s="1798">
        <f t="shared" si="237"/>
        <v>0</v>
      </c>
      <c r="AX392" s="1798" t="str">
        <f t="shared" si="238"/>
        <v>7-2609</v>
      </c>
      <c r="AY392" s="41">
        <f t="shared" si="213"/>
        <v>17.91</v>
      </c>
      <c r="AZ392" s="34">
        <f t="shared" si="214"/>
        <v>52.17</v>
      </c>
      <c r="BA392" s="34">
        <f t="shared" si="215"/>
        <v>52.17</v>
      </c>
      <c r="BB392" s="34">
        <f t="shared" si="216"/>
        <v>52.17</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1274" t="str">
        <f>面积清单!B382</f>
        <v>7-2610</v>
      </c>
      <c r="D393" s="2217" t="s">
        <v>3658</v>
      </c>
      <c r="E393" s="34">
        <f t="shared" si="235"/>
        <v>13.84</v>
      </c>
      <c r="F393" s="35"/>
      <c r="G393" s="36">
        <f t="shared" si="210"/>
        <v>52.17</v>
      </c>
      <c r="H393" s="37">
        <f t="shared" si="211"/>
        <v>52.17</v>
      </c>
      <c r="I393" s="2218">
        <f>面积清单!E382</f>
        <v>52.17</v>
      </c>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3"/>
      <c r="AV393" s="1798">
        <f t="shared" si="236"/>
        <v>0</v>
      </c>
      <c r="AW393" s="1798">
        <f t="shared" si="237"/>
        <v>0</v>
      </c>
      <c r="AX393" s="1798" t="str">
        <f t="shared" si="238"/>
        <v>7-2610</v>
      </c>
      <c r="AY393" s="41">
        <f t="shared" si="213"/>
        <v>17.91</v>
      </c>
      <c r="AZ393" s="34">
        <f t="shared" si="214"/>
        <v>52.17</v>
      </c>
      <c r="BA393" s="34">
        <f t="shared" si="215"/>
        <v>52.17</v>
      </c>
      <c r="BB393" s="34">
        <f t="shared" si="216"/>
        <v>52.17</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1274" t="str">
        <f>面积清单!B383</f>
        <v>7-2611</v>
      </c>
      <c r="D394" s="2217" t="s">
        <v>3658</v>
      </c>
      <c r="E394" s="34">
        <f t="shared" si="235"/>
        <v>13.84</v>
      </c>
      <c r="F394" s="35"/>
      <c r="G394" s="36">
        <f t="shared" si="210"/>
        <v>52.17</v>
      </c>
      <c r="H394" s="37">
        <f t="shared" si="211"/>
        <v>52.17</v>
      </c>
      <c r="I394" s="2218">
        <f>面积清单!E383</f>
        <v>52.17</v>
      </c>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3"/>
      <c r="AV394" s="1798">
        <f t="shared" si="236"/>
        <v>0</v>
      </c>
      <c r="AW394" s="1798">
        <f t="shared" si="237"/>
        <v>0</v>
      </c>
      <c r="AX394" s="1798" t="str">
        <f t="shared" si="238"/>
        <v>7-2611</v>
      </c>
      <c r="AY394" s="41">
        <f t="shared" si="213"/>
        <v>17.91</v>
      </c>
      <c r="AZ394" s="34">
        <f t="shared" si="214"/>
        <v>52.17</v>
      </c>
      <c r="BA394" s="34">
        <f t="shared" si="215"/>
        <v>52.17</v>
      </c>
      <c r="BB394" s="34">
        <f t="shared" si="216"/>
        <v>52.17</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1274" t="str">
        <f>面积清单!B384</f>
        <v>7-2612</v>
      </c>
      <c r="D395" s="2217" t="s">
        <v>3658</v>
      </c>
      <c r="E395" s="34">
        <f t="shared" si="235"/>
        <v>21.42</v>
      </c>
      <c r="F395" s="43"/>
      <c r="G395" s="36">
        <f t="shared" si="210"/>
        <v>80.73</v>
      </c>
      <c r="H395" s="37">
        <f t="shared" si="211"/>
        <v>80.73</v>
      </c>
      <c r="I395" s="2218">
        <f>面积清单!E384</f>
        <v>80.73</v>
      </c>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8"/>
      <c r="AV395" s="1798">
        <f t="shared" si="236"/>
        <v>0</v>
      </c>
      <c r="AW395" s="1798">
        <f t="shared" si="237"/>
        <v>0</v>
      </c>
      <c r="AX395" s="1798" t="str">
        <f t="shared" si="238"/>
        <v>7-2612</v>
      </c>
      <c r="AY395" s="41">
        <f t="shared" si="213"/>
        <v>27.71</v>
      </c>
      <c r="AZ395" s="34">
        <f t="shared" si="214"/>
        <v>80.73</v>
      </c>
      <c r="BA395" s="34">
        <f t="shared" si="215"/>
        <v>80.73</v>
      </c>
      <c r="BB395" s="34">
        <f t="shared" si="216"/>
        <v>80.73</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1274" t="str">
        <f>面积清单!B385</f>
        <v>7-2613</v>
      </c>
      <c r="D396" s="2217" t="s">
        <v>3658</v>
      </c>
      <c r="E396" s="34">
        <f t="shared" si="235"/>
        <v>17.88</v>
      </c>
      <c r="F396" s="43"/>
      <c r="G396" s="36">
        <f>H396+AC396+AT396</f>
        <v>67.36</v>
      </c>
      <c r="H396" s="37">
        <f>SUMIF(I$12:AB$12,"总值",I396:AB396)</f>
        <v>67.36</v>
      </c>
      <c r="I396" s="2218">
        <f>面积清单!E385</f>
        <v>67.36</v>
      </c>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8"/>
      <c r="AV396" s="1798">
        <f t="shared" si="236"/>
        <v>0</v>
      </c>
      <c r="AW396" s="1798">
        <f t="shared" si="237"/>
        <v>0</v>
      </c>
      <c r="AX396" s="1798" t="str">
        <f t="shared" si="238"/>
        <v>7-2613</v>
      </c>
      <c r="AY396" s="41">
        <f>ROUND($AY$6*AZ396/$AZ$5,2)</f>
        <v>23.12</v>
      </c>
      <c r="AZ396" s="34">
        <f>BA396+BL396</f>
        <v>67.36</v>
      </c>
      <c r="BA396" s="34">
        <f>SUM(BB396:BK396)</f>
        <v>67.36</v>
      </c>
      <c r="BB396" s="34">
        <f t="shared" si="216"/>
        <v>67.36</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1274" t="str">
        <f>面积清单!B386</f>
        <v>7-2614</v>
      </c>
      <c r="D397" s="2217" t="s">
        <v>3658</v>
      </c>
      <c r="E397" s="34">
        <f t="shared" si="235"/>
        <v>17.88</v>
      </c>
      <c r="F397" s="43"/>
      <c r="G397" s="36">
        <f>H397+AC397+AT397</f>
        <v>67.36</v>
      </c>
      <c r="H397" s="37">
        <f>SUMIF(I$12:AB$12,"总值",I397:AB397)</f>
        <v>67.36</v>
      </c>
      <c r="I397" s="2218">
        <f>面积清单!E386</f>
        <v>67.36</v>
      </c>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8"/>
      <c r="AV397" s="1798">
        <f t="shared" si="236"/>
        <v>0</v>
      </c>
      <c r="AW397" s="1798">
        <f t="shared" si="237"/>
        <v>0</v>
      </c>
      <c r="AX397" s="1798" t="str">
        <f t="shared" si="238"/>
        <v>7-2614</v>
      </c>
      <c r="AY397" s="41">
        <f>ROUND($AY$6*AZ397/$AZ$5,2)</f>
        <v>23.12</v>
      </c>
      <c r="AZ397" s="34">
        <f>BA397+BL397</f>
        <v>67.36</v>
      </c>
      <c r="BA397" s="34">
        <f>SUM(BB397:BK397)</f>
        <v>67.36</v>
      </c>
      <c r="BB397" s="34">
        <f t="shared" si="216"/>
        <v>67.36</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1274" t="str">
        <f>面积清单!B387</f>
        <v>7-2615</v>
      </c>
      <c r="D398" s="2217" t="s">
        <v>3658</v>
      </c>
      <c r="E398" s="34">
        <f t="shared" ref="E398:E492" si="239">IF($C$3="是",ROUND($A$3*G398/$B$3,2),ROUND($A$3*(G398-AT398)/$B$3,2))</f>
        <v>21.42</v>
      </c>
      <c r="F398" s="35"/>
      <c r="G398" s="36">
        <f t="shared" ref="G398:G489" si="240">H398+AC398+AT398</f>
        <v>80.73</v>
      </c>
      <c r="H398" s="37">
        <f t="shared" ref="H398:H489" si="241">SUMIF(I$12:AB$12,"总值",I398:AB398)</f>
        <v>80.73</v>
      </c>
      <c r="I398" s="2218">
        <f>面积清单!E387</f>
        <v>80.73</v>
      </c>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3"/>
      <c r="AV398" s="1798">
        <f t="shared" ref="AV398:AV492" si="243">A398</f>
        <v>0</v>
      </c>
      <c r="AW398" s="1798">
        <f t="shared" ref="AW398:AW492" si="244">B398</f>
        <v>0</v>
      </c>
      <c r="AX398" s="1798" t="str">
        <f t="shared" ref="AX398:AX492" si="245">C398</f>
        <v>7-2615</v>
      </c>
      <c r="AY398" s="41">
        <f t="shared" ref="AY398:AY489" si="246">ROUND($AY$6*AZ398/$AZ$5,2)</f>
        <v>27.71</v>
      </c>
      <c r="AZ398" s="34">
        <f t="shared" ref="AZ398:AZ489" si="247">BA398+BL398</f>
        <v>80.73</v>
      </c>
      <c r="BA398" s="34">
        <f t="shared" ref="BA398:BA489" si="248">SUM(BB398:BK398)</f>
        <v>80.73</v>
      </c>
      <c r="BB398" s="34">
        <f t="shared" ref="BB398:BB489" si="249">IF($D398="是",I398-J398,0)</f>
        <v>80.73</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1274" t="str">
        <f>面积清单!B388</f>
        <v>7-2616</v>
      </c>
      <c r="D399" s="2217" t="s">
        <v>3658</v>
      </c>
      <c r="E399" s="34">
        <f t="shared" si="239"/>
        <v>13.84</v>
      </c>
      <c r="F399" s="35"/>
      <c r="G399" s="36">
        <f t="shared" si="240"/>
        <v>52.17</v>
      </c>
      <c r="H399" s="37">
        <f t="shared" si="241"/>
        <v>52.17</v>
      </c>
      <c r="I399" s="2218">
        <f>面积清单!E388</f>
        <v>52.17</v>
      </c>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3"/>
      <c r="AV399" s="1798">
        <f t="shared" si="243"/>
        <v>0</v>
      </c>
      <c r="AW399" s="1798">
        <f t="shared" si="244"/>
        <v>0</v>
      </c>
      <c r="AX399" s="1798" t="str">
        <f t="shared" si="245"/>
        <v>7-2616</v>
      </c>
      <c r="AY399" s="41">
        <f t="shared" si="246"/>
        <v>17.91</v>
      </c>
      <c r="AZ399" s="34">
        <f t="shared" si="247"/>
        <v>52.17</v>
      </c>
      <c r="BA399" s="34">
        <f t="shared" si="248"/>
        <v>52.17</v>
      </c>
      <c r="BB399" s="34">
        <f t="shared" si="249"/>
        <v>52.17</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1274" t="str">
        <f>面积清单!B389</f>
        <v>7-2617</v>
      </c>
      <c r="D400" s="2217" t="s">
        <v>3658</v>
      </c>
      <c r="E400" s="34">
        <f t="shared" si="239"/>
        <v>13.84</v>
      </c>
      <c r="F400" s="35"/>
      <c r="G400" s="36">
        <f t="shared" si="240"/>
        <v>52.17</v>
      </c>
      <c r="H400" s="37">
        <f t="shared" si="241"/>
        <v>52.17</v>
      </c>
      <c r="I400" s="2218">
        <f>面积清单!E389</f>
        <v>52.17</v>
      </c>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3"/>
      <c r="AV400" s="1798">
        <f t="shared" si="243"/>
        <v>0</v>
      </c>
      <c r="AW400" s="1798">
        <f t="shared" si="244"/>
        <v>0</v>
      </c>
      <c r="AX400" s="1798" t="str">
        <f t="shared" si="245"/>
        <v>7-2617</v>
      </c>
      <c r="AY400" s="41">
        <f t="shared" si="246"/>
        <v>17.91</v>
      </c>
      <c r="AZ400" s="34">
        <f t="shared" si="247"/>
        <v>52.17</v>
      </c>
      <c r="BA400" s="34">
        <f t="shared" si="248"/>
        <v>52.17</v>
      </c>
      <c r="BB400" s="34">
        <f t="shared" si="249"/>
        <v>52.17</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1274" t="str">
        <f>面积清单!B390</f>
        <v>7-2618</v>
      </c>
      <c r="D401" s="2217" t="s">
        <v>3658</v>
      </c>
      <c r="E401" s="34">
        <f t="shared" si="239"/>
        <v>13.84</v>
      </c>
      <c r="F401" s="35"/>
      <c r="G401" s="36">
        <f t="shared" si="240"/>
        <v>52.17</v>
      </c>
      <c r="H401" s="37">
        <f t="shared" si="241"/>
        <v>52.17</v>
      </c>
      <c r="I401" s="2218">
        <f>面积清单!E390</f>
        <v>52.17</v>
      </c>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3"/>
      <c r="AV401" s="1798">
        <f t="shared" si="243"/>
        <v>0</v>
      </c>
      <c r="AW401" s="1798">
        <f t="shared" si="244"/>
        <v>0</v>
      </c>
      <c r="AX401" s="1798" t="str">
        <f t="shared" si="245"/>
        <v>7-2618</v>
      </c>
      <c r="AY401" s="41">
        <f t="shared" si="246"/>
        <v>17.91</v>
      </c>
      <c r="AZ401" s="34">
        <f t="shared" si="247"/>
        <v>52.17</v>
      </c>
      <c r="BA401" s="34">
        <f t="shared" si="248"/>
        <v>52.17</v>
      </c>
      <c r="BB401" s="34">
        <f t="shared" si="249"/>
        <v>52.17</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1274" t="str">
        <f>面积清单!B391</f>
        <v>7-2619</v>
      </c>
      <c r="D402" s="2217" t="s">
        <v>3658</v>
      </c>
      <c r="E402" s="34">
        <f t="shared" si="239"/>
        <v>13.84</v>
      </c>
      <c r="F402" s="35"/>
      <c r="G402" s="36">
        <f t="shared" si="240"/>
        <v>52.17</v>
      </c>
      <c r="H402" s="37">
        <f t="shared" si="241"/>
        <v>52.17</v>
      </c>
      <c r="I402" s="2218">
        <f>面积清单!E391</f>
        <v>52.17</v>
      </c>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3"/>
      <c r="AV402" s="1798">
        <f t="shared" si="243"/>
        <v>0</v>
      </c>
      <c r="AW402" s="1798">
        <f t="shared" si="244"/>
        <v>0</v>
      </c>
      <c r="AX402" s="1798" t="str">
        <f t="shared" si="245"/>
        <v>7-2619</v>
      </c>
      <c r="AY402" s="41">
        <f t="shared" si="246"/>
        <v>17.91</v>
      </c>
      <c r="AZ402" s="34">
        <f t="shared" si="247"/>
        <v>52.17</v>
      </c>
      <c r="BA402" s="34">
        <f t="shared" si="248"/>
        <v>52.17</v>
      </c>
      <c r="BB402" s="34">
        <f t="shared" si="249"/>
        <v>52.17</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1274" t="str">
        <f>面积清单!B392</f>
        <v>7-2620</v>
      </c>
      <c r="D403" s="2217" t="s">
        <v>3658</v>
      </c>
      <c r="E403" s="34">
        <f t="shared" si="239"/>
        <v>13.84</v>
      </c>
      <c r="F403" s="35"/>
      <c r="G403" s="36">
        <f t="shared" si="240"/>
        <v>52.17</v>
      </c>
      <c r="H403" s="37">
        <f t="shared" si="241"/>
        <v>52.17</v>
      </c>
      <c r="I403" s="2218">
        <f>面积清单!E392</f>
        <v>52.17</v>
      </c>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3"/>
      <c r="AV403" s="1798">
        <f t="shared" si="243"/>
        <v>0</v>
      </c>
      <c r="AW403" s="1798">
        <f t="shared" si="244"/>
        <v>0</v>
      </c>
      <c r="AX403" s="1798" t="str">
        <f t="shared" si="245"/>
        <v>7-2620</v>
      </c>
      <c r="AY403" s="41">
        <f t="shared" si="246"/>
        <v>17.91</v>
      </c>
      <c r="AZ403" s="34">
        <f t="shared" si="247"/>
        <v>52.17</v>
      </c>
      <c r="BA403" s="34">
        <f t="shared" si="248"/>
        <v>52.17</v>
      </c>
      <c r="BB403" s="34">
        <f t="shared" si="249"/>
        <v>52.17</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1274" t="str">
        <f>面积清单!B393</f>
        <v>7-2621</v>
      </c>
      <c r="D404" s="2217" t="s">
        <v>3658</v>
      </c>
      <c r="E404" s="34">
        <f t="shared" si="239"/>
        <v>13.84</v>
      </c>
      <c r="F404" s="35"/>
      <c r="G404" s="36">
        <f t="shared" si="240"/>
        <v>52.17</v>
      </c>
      <c r="H404" s="37">
        <f t="shared" si="241"/>
        <v>52.17</v>
      </c>
      <c r="I404" s="2218">
        <f>面积清单!E393</f>
        <v>52.17</v>
      </c>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3"/>
      <c r="AV404" s="1798">
        <f t="shared" si="243"/>
        <v>0</v>
      </c>
      <c r="AW404" s="1798">
        <f t="shared" si="244"/>
        <v>0</v>
      </c>
      <c r="AX404" s="1798" t="str">
        <f t="shared" si="245"/>
        <v>7-2621</v>
      </c>
      <c r="AY404" s="41">
        <f t="shared" si="246"/>
        <v>17.91</v>
      </c>
      <c r="AZ404" s="34">
        <f t="shared" si="247"/>
        <v>52.17</v>
      </c>
      <c r="BA404" s="34">
        <f t="shared" si="248"/>
        <v>52.17</v>
      </c>
      <c r="BB404" s="34">
        <f t="shared" si="249"/>
        <v>52.17</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1274" t="str">
        <f>面积清单!B394</f>
        <v>7-2622</v>
      </c>
      <c r="D405" s="2217" t="s">
        <v>3658</v>
      </c>
      <c r="E405" s="34">
        <f t="shared" si="239"/>
        <v>13.84</v>
      </c>
      <c r="F405" s="35"/>
      <c r="G405" s="36">
        <f t="shared" si="240"/>
        <v>52.17</v>
      </c>
      <c r="H405" s="37">
        <f t="shared" si="241"/>
        <v>52.17</v>
      </c>
      <c r="I405" s="2218">
        <f>面积清单!E394</f>
        <v>52.17</v>
      </c>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3"/>
      <c r="AV405" s="1798">
        <f t="shared" si="243"/>
        <v>0</v>
      </c>
      <c r="AW405" s="1798">
        <f t="shared" si="244"/>
        <v>0</v>
      </c>
      <c r="AX405" s="1798" t="str">
        <f t="shared" si="245"/>
        <v>7-2622</v>
      </c>
      <c r="AY405" s="41">
        <f t="shared" si="246"/>
        <v>17.91</v>
      </c>
      <c r="AZ405" s="34">
        <f t="shared" si="247"/>
        <v>52.17</v>
      </c>
      <c r="BA405" s="34">
        <f t="shared" si="248"/>
        <v>52.17</v>
      </c>
      <c r="BB405" s="34">
        <f t="shared" si="249"/>
        <v>52.17</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1274" t="str">
        <f>面积清单!B395</f>
        <v>7-2623</v>
      </c>
      <c r="D406" s="2217" t="s">
        <v>3658</v>
      </c>
      <c r="E406" s="34">
        <f t="shared" si="239"/>
        <v>13.84</v>
      </c>
      <c r="F406" s="35"/>
      <c r="G406" s="36">
        <f t="shared" si="240"/>
        <v>52.17</v>
      </c>
      <c r="H406" s="37">
        <f t="shared" si="241"/>
        <v>52.17</v>
      </c>
      <c r="I406" s="2218">
        <f>面积清单!E395</f>
        <v>52.17</v>
      </c>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3"/>
      <c r="AV406" s="1798">
        <f t="shared" si="243"/>
        <v>0</v>
      </c>
      <c r="AW406" s="1798">
        <f t="shared" si="244"/>
        <v>0</v>
      </c>
      <c r="AX406" s="1798" t="str">
        <f t="shared" si="245"/>
        <v>7-2623</v>
      </c>
      <c r="AY406" s="41">
        <f t="shared" si="246"/>
        <v>17.91</v>
      </c>
      <c r="AZ406" s="34">
        <f t="shared" si="247"/>
        <v>52.17</v>
      </c>
      <c r="BA406" s="34">
        <f t="shared" si="248"/>
        <v>52.17</v>
      </c>
      <c r="BB406" s="34">
        <f t="shared" si="249"/>
        <v>52.17</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1274" t="str">
        <f>面积清单!B396</f>
        <v>7-2624</v>
      </c>
      <c r="D407" s="2217" t="s">
        <v>3658</v>
      </c>
      <c r="E407" s="34">
        <f t="shared" si="239"/>
        <v>13.84</v>
      </c>
      <c r="F407" s="35"/>
      <c r="G407" s="36">
        <f t="shared" si="240"/>
        <v>52.17</v>
      </c>
      <c r="H407" s="37">
        <f t="shared" si="241"/>
        <v>52.17</v>
      </c>
      <c r="I407" s="2218">
        <f>面积清单!E396</f>
        <v>52.17</v>
      </c>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3"/>
      <c r="AV407" s="1798">
        <f t="shared" si="243"/>
        <v>0</v>
      </c>
      <c r="AW407" s="1798">
        <f t="shared" si="244"/>
        <v>0</v>
      </c>
      <c r="AX407" s="1798" t="str">
        <f t="shared" si="245"/>
        <v>7-2624</v>
      </c>
      <c r="AY407" s="41">
        <f t="shared" si="246"/>
        <v>17.91</v>
      </c>
      <c r="AZ407" s="34">
        <f t="shared" si="247"/>
        <v>52.17</v>
      </c>
      <c r="BA407" s="34">
        <f t="shared" si="248"/>
        <v>52.17</v>
      </c>
      <c r="BB407" s="34">
        <f t="shared" si="249"/>
        <v>52.17</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1274" t="str">
        <f>面积清单!B397</f>
        <v>7-2625</v>
      </c>
      <c r="D408" s="2217" t="s">
        <v>3658</v>
      </c>
      <c r="E408" s="34">
        <f t="shared" si="239"/>
        <v>13.84</v>
      </c>
      <c r="F408" s="35"/>
      <c r="G408" s="36">
        <f t="shared" si="240"/>
        <v>52.17</v>
      </c>
      <c r="H408" s="37">
        <f t="shared" si="241"/>
        <v>52.17</v>
      </c>
      <c r="I408" s="2218">
        <f>面积清单!E397</f>
        <v>52.17</v>
      </c>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3"/>
      <c r="AV408" s="1798">
        <f t="shared" si="243"/>
        <v>0</v>
      </c>
      <c r="AW408" s="1798">
        <f t="shared" si="244"/>
        <v>0</v>
      </c>
      <c r="AX408" s="1798" t="str">
        <f t="shared" si="245"/>
        <v>7-2625</v>
      </c>
      <c r="AY408" s="41">
        <f t="shared" si="246"/>
        <v>17.91</v>
      </c>
      <c r="AZ408" s="34">
        <f t="shared" si="247"/>
        <v>52.17</v>
      </c>
      <c r="BA408" s="34">
        <f t="shared" si="248"/>
        <v>52.17</v>
      </c>
      <c r="BB408" s="34">
        <f t="shared" si="249"/>
        <v>52.17</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1274" t="str">
        <f>面积清单!B398</f>
        <v>7-2626</v>
      </c>
      <c r="D409" s="2217" t="s">
        <v>3658</v>
      </c>
      <c r="E409" s="34">
        <f t="shared" si="239"/>
        <v>21.42</v>
      </c>
      <c r="F409" s="35"/>
      <c r="G409" s="36">
        <f t="shared" si="240"/>
        <v>80.73</v>
      </c>
      <c r="H409" s="37">
        <f t="shared" si="241"/>
        <v>80.73</v>
      </c>
      <c r="I409" s="2218">
        <f>面积清单!E398</f>
        <v>80.73</v>
      </c>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3"/>
      <c r="AV409" s="1798">
        <f t="shared" si="243"/>
        <v>0</v>
      </c>
      <c r="AW409" s="1798">
        <f t="shared" si="244"/>
        <v>0</v>
      </c>
      <c r="AX409" s="1798" t="str">
        <f t="shared" si="245"/>
        <v>7-2626</v>
      </c>
      <c r="AY409" s="41">
        <f t="shared" si="246"/>
        <v>27.71</v>
      </c>
      <c r="AZ409" s="34">
        <f t="shared" si="247"/>
        <v>80.73</v>
      </c>
      <c r="BA409" s="34">
        <f t="shared" si="248"/>
        <v>80.73</v>
      </c>
      <c r="BB409" s="34">
        <f t="shared" si="249"/>
        <v>80.73</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1274" t="str">
        <f>面积清单!B399</f>
        <v>7-2627</v>
      </c>
      <c r="D410" s="2217" t="s">
        <v>3658</v>
      </c>
      <c r="E410" s="34">
        <f t="shared" si="239"/>
        <v>24.7</v>
      </c>
      <c r="F410" s="35"/>
      <c r="G410" s="36">
        <f t="shared" si="240"/>
        <v>93.08</v>
      </c>
      <c r="H410" s="37">
        <f t="shared" si="241"/>
        <v>93.08</v>
      </c>
      <c r="I410" s="2218">
        <f>面积清单!E399</f>
        <v>93.08</v>
      </c>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3"/>
      <c r="AV410" s="1798">
        <f t="shared" si="243"/>
        <v>0</v>
      </c>
      <c r="AW410" s="1798">
        <f t="shared" si="244"/>
        <v>0</v>
      </c>
      <c r="AX410" s="1798" t="str">
        <f t="shared" si="245"/>
        <v>7-2627</v>
      </c>
      <c r="AY410" s="41">
        <f t="shared" si="246"/>
        <v>31.95</v>
      </c>
      <c r="AZ410" s="34">
        <f t="shared" si="247"/>
        <v>93.08</v>
      </c>
      <c r="BA410" s="34">
        <f t="shared" si="248"/>
        <v>93.08</v>
      </c>
      <c r="BB410" s="34">
        <f t="shared" si="249"/>
        <v>93.08</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1274" t="str">
        <f>面积清单!B400</f>
        <v>7-2628</v>
      </c>
      <c r="D411" s="2217" t="s">
        <v>3658</v>
      </c>
      <c r="E411" s="34">
        <f t="shared" si="239"/>
        <v>24.7</v>
      </c>
      <c r="F411" s="35"/>
      <c r="G411" s="36">
        <f t="shared" si="240"/>
        <v>93.08</v>
      </c>
      <c r="H411" s="37">
        <f t="shared" si="241"/>
        <v>93.08</v>
      </c>
      <c r="I411" s="2218">
        <f>面积清单!E400</f>
        <v>93.08</v>
      </c>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3"/>
      <c r="AV411" s="1798">
        <f t="shared" si="243"/>
        <v>0</v>
      </c>
      <c r="AW411" s="1798">
        <f t="shared" si="244"/>
        <v>0</v>
      </c>
      <c r="AX411" s="1798" t="str">
        <f t="shared" si="245"/>
        <v>7-2628</v>
      </c>
      <c r="AY411" s="41">
        <f t="shared" si="246"/>
        <v>31.95</v>
      </c>
      <c r="AZ411" s="34">
        <f t="shared" si="247"/>
        <v>93.08</v>
      </c>
      <c r="BA411" s="34">
        <f t="shared" si="248"/>
        <v>93.08</v>
      </c>
      <c r="BB411" s="34">
        <f t="shared" si="249"/>
        <v>93.08</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1274" t="str">
        <f>面积清单!B401</f>
        <v>7-2701</v>
      </c>
      <c r="D412" s="2217" t="s">
        <v>3658</v>
      </c>
      <c r="E412" s="34">
        <f t="shared" si="239"/>
        <v>21.42</v>
      </c>
      <c r="F412" s="35"/>
      <c r="G412" s="36">
        <f t="shared" si="240"/>
        <v>80.73</v>
      </c>
      <c r="H412" s="37">
        <f t="shared" si="241"/>
        <v>80.73</v>
      </c>
      <c r="I412" s="2218">
        <f>面积清单!E401</f>
        <v>80.73</v>
      </c>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3"/>
      <c r="AV412" s="1798">
        <f t="shared" si="243"/>
        <v>0</v>
      </c>
      <c r="AW412" s="1798">
        <f t="shared" si="244"/>
        <v>0</v>
      </c>
      <c r="AX412" s="1798" t="str">
        <f t="shared" si="245"/>
        <v>7-2701</v>
      </c>
      <c r="AY412" s="41">
        <f t="shared" si="246"/>
        <v>27.71</v>
      </c>
      <c r="AZ412" s="34">
        <f t="shared" si="247"/>
        <v>80.73</v>
      </c>
      <c r="BA412" s="34">
        <f t="shared" si="248"/>
        <v>80.73</v>
      </c>
      <c r="BB412" s="34">
        <f t="shared" si="249"/>
        <v>80.73</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1274" t="str">
        <f>面积清单!B402</f>
        <v>7-2702</v>
      </c>
      <c r="D413" s="2217" t="s">
        <v>3658</v>
      </c>
      <c r="E413" s="34">
        <f t="shared" si="239"/>
        <v>13.84</v>
      </c>
      <c r="F413" s="35"/>
      <c r="G413" s="36">
        <f t="shared" si="240"/>
        <v>52.17</v>
      </c>
      <c r="H413" s="37">
        <f t="shared" si="241"/>
        <v>52.17</v>
      </c>
      <c r="I413" s="2218">
        <f>面积清单!E402</f>
        <v>52.17</v>
      </c>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3"/>
      <c r="AV413" s="1798">
        <f t="shared" si="243"/>
        <v>0</v>
      </c>
      <c r="AW413" s="1798">
        <f t="shared" si="244"/>
        <v>0</v>
      </c>
      <c r="AX413" s="1798" t="str">
        <f t="shared" si="245"/>
        <v>7-2702</v>
      </c>
      <c r="AY413" s="41">
        <f t="shared" si="246"/>
        <v>17.91</v>
      </c>
      <c r="AZ413" s="34">
        <f t="shared" si="247"/>
        <v>52.17</v>
      </c>
      <c r="BA413" s="34">
        <f t="shared" si="248"/>
        <v>52.17</v>
      </c>
      <c r="BB413" s="34">
        <f t="shared" si="249"/>
        <v>52.17</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1274" t="str">
        <f>面积清单!B403</f>
        <v>7-2703</v>
      </c>
      <c r="D414" s="2217" t="s">
        <v>3658</v>
      </c>
      <c r="E414" s="34">
        <f t="shared" si="239"/>
        <v>13.84</v>
      </c>
      <c r="F414" s="35"/>
      <c r="G414" s="36">
        <f t="shared" si="240"/>
        <v>52.17</v>
      </c>
      <c r="H414" s="37">
        <f t="shared" si="241"/>
        <v>52.17</v>
      </c>
      <c r="I414" s="2218">
        <f>面积清单!E403</f>
        <v>52.17</v>
      </c>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3"/>
      <c r="AV414" s="1798">
        <f t="shared" si="243"/>
        <v>0</v>
      </c>
      <c r="AW414" s="1798">
        <f t="shared" si="244"/>
        <v>0</v>
      </c>
      <c r="AX414" s="1798" t="str">
        <f t="shared" si="245"/>
        <v>7-2703</v>
      </c>
      <c r="AY414" s="41">
        <f t="shared" si="246"/>
        <v>17.91</v>
      </c>
      <c r="AZ414" s="34">
        <f t="shared" si="247"/>
        <v>52.17</v>
      </c>
      <c r="BA414" s="34">
        <f t="shared" si="248"/>
        <v>52.17</v>
      </c>
      <c r="BB414" s="34">
        <f t="shared" si="249"/>
        <v>52.17</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1274" t="str">
        <f>面积清单!B404</f>
        <v>7-2704</v>
      </c>
      <c r="D415" s="2217" t="s">
        <v>3658</v>
      </c>
      <c r="E415" s="34">
        <f t="shared" si="239"/>
        <v>13.84</v>
      </c>
      <c r="F415" s="35"/>
      <c r="G415" s="36">
        <f t="shared" si="240"/>
        <v>52.17</v>
      </c>
      <c r="H415" s="37">
        <f t="shared" si="241"/>
        <v>52.17</v>
      </c>
      <c r="I415" s="2218">
        <f>面积清单!E404</f>
        <v>52.17</v>
      </c>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3"/>
      <c r="AV415" s="1798">
        <f t="shared" si="243"/>
        <v>0</v>
      </c>
      <c r="AW415" s="1798">
        <f t="shared" si="244"/>
        <v>0</v>
      </c>
      <c r="AX415" s="1798" t="str">
        <f t="shared" si="245"/>
        <v>7-2704</v>
      </c>
      <c r="AY415" s="41">
        <f t="shared" si="246"/>
        <v>17.91</v>
      </c>
      <c r="AZ415" s="34">
        <f t="shared" si="247"/>
        <v>52.17</v>
      </c>
      <c r="BA415" s="34">
        <f t="shared" si="248"/>
        <v>52.17</v>
      </c>
      <c r="BB415" s="34">
        <f t="shared" si="249"/>
        <v>52.17</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1274" t="str">
        <f>面积清单!B405</f>
        <v>7-2705</v>
      </c>
      <c r="D416" s="2217" t="s">
        <v>3658</v>
      </c>
      <c r="E416" s="34">
        <f t="shared" si="239"/>
        <v>13.84</v>
      </c>
      <c r="F416" s="35"/>
      <c r="G416" s="36">
        <f t="shared" si="240"/>
        <v>52.17</v>
      </c>
      <c r="H416" s="37">
        <f t="shared" si="241"/>
        <v>52.17</v>
      </c>
      <c r="I416" s="2218">
        <f>面积清单!E405</f>
        <v>52.17</v>
      </c>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3"/>
      <c r="AV416" s="1798">
        <f t="shared" si="243"/>
        <v>0</v>
      </c>
      <c r="AW416" s="1798">
        <f t="shared" si="244"/>
        <v>0</v>
      </c>
      <c r="AX416" s="1798" t="str">
        <f t="shared" si="245"/>
        <v>7-2705</v>
      </c>
      <c r="AY416" s="41">
        <f t="shared" si="246"/>
        <v>17.91</v>
      </c>
      <c r="AZ416" s="34">
        <f t="shared" si="247"/>
        <v>52.17</v>
      </c>
      <c r="BA416" s="34">
        <f t="shared" si="248"/>
        <v>52.17</v>
      </c>
      <c r="BB416" s="34">
        <f t="shared" si="249"/>
        <v>52.17</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1274" t="str">
        <f>面积清单!B406</f>
        <v>7-2706</v>
      </c>
      <c r="D417" s="2217" t="s">
        <v>3658</v>
      </c>
      <c r="E417" s="34">
        <f t="shared" si="239"/>
        <v>13.84</v>
      </c>
      <c r="F417" s="35"/>
      <c r="G417" s="36">
        <f t="shared" si="240"/>
        <v>52.17</v>
      </c>
      <c r="H417" s="37">
        <f t="shared" si="241"/>
        <v>52.17</v>
      </c>
      <c r="I417" s="2218">
        <f>面积清单!E406</f>
        <v>52.17</v>
      </c>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3"/>
      <c r="AV417" s="1798">
        <f t="shared" si="243"/>
        <v>0</v>
      </c>
      <c r="AW417" s="1798">
        <f t="shared" si="244"/>
        <v>0</v>
      </c>
      <c r="AX417" s="1798" t="str">
        <f t="shared" si="245"/>
        <v>7-2706</v>
      </c>
      <c r="AY417" s="41">
        <f t="shared" si="246"/>
        <v>17.91</v>
      </c>
      <c r="AZ417" s="34">
        <f t="shared" si="247"/>
        <v>52.17</v>
      </c>
      <c r="BA417" s="34">
        <f t="shared" si="248"/>
        <v>52.17</v>
      </c>
      <c r="BB417" s="34">
        <f t="shared" si="249"/>
        <v>52.17</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1274" t="str">
        <f>面积清单!B407</f>
        <v>7-2707</v>
      </c>
      <c r="D418" s="2217" t="s">
        <v>3658</v>
      </c>
      <c r="E418" s="34">
        <f t="shared" si="239"/>
        <v>13.84</v>
      </c>
      <c r="F418" s="35"/>
      <c r="G418" s="36">
        <f t="shared" si="240"/>
        <v>52.17</v>
      </c>
      <c r="H418" s="37">
        <f t="shared" si="241"/>
        <v>52.17</v>
      </c>
      <c r="I418" s="2218">
        <f>面积清单!E407</f>
        <v>52.17</v>
      </c>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3"/>
      <c r="AV418" s="1798">
        <f t="shared" si="243"/>
        <v>0</v>
      </c>
      <c r="AW418" s="1798">
        <f t="shared" si="244"/>
        <v>0</v>
      </c>
      <c r="AX418" s="1798" t="str">
        <f t="shared" si="245"/>
        <v>7-2707</v>
      </c>
      <c r="AY418" s="41">
        <f t="shared" si="246"/>
        <v>17.91</v>
      </c>
      <c r="AZ418" s="34">
        <f t="shared" si="247"/>
        <v>52.17</v>
      </c>
      <c r="BA418" s="34">
        <f t="shared" si="248"/>
        <v>52.17</v>
      </c>
      <c r="BB418" s="34">
        <f t="shared" si="249"/>
        <v>52.17</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1274" t="str">
        <f>面积清单!B408</f>
        <v>7-2708</v>
      </c>
      <c r="D419" s="2217" t="s">
        <v>3658</v>
      </c>
      <c r="E419" s="34">
        <f t="shared" si="239"/>
        <v>13.84</v>
      </c>
      <c r="F419" s="35"/>
      <c r="G419" s="36">
        <f t="shared" si="240"/>
        <v>52.17</v>
      </c>
      <c r="H419" s="37">
        <f t="shared" si="241"/>
        <v>52.17</v>
      </c>
      <c r="I419" s="2218">
        <f>面积清单!E408</f>
        <v>52.17</v>
      </c>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3"/>
      <c r="AV419" s="1798">
        <f t="shared" si="243"/>
        <v>0</v>
      </c>
      <c r="AW419" s="1798">
        <f t="shared" si="244"/>
        <v>0</v>
      </c>
      <c r="AX419" s="1798" t="str">
        <f t="shared" si="245"/>
        <v>7-2708</v>
      </c>
      <c r="AY419" s="41">
        <f t="shared" si="246"/>
        <v>17.91</v>
      </c>
      <c r="AZ419" s="34">
        <f t="shared" si="247"/>
        <v>52.17</v>
      </c>
      <c r="BA419" s="34">
        <f t="shared" si="248"/>
        <v>52.17</v>
      </c>
      <c r="BB419" s="34">
        <f t="shared" si="249"/>
        <v>52.17</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1274" t="str">
        <f>面积清单!B409</f>
        <v>7-2709</v>
      </c>
      <c r="D420" s="2217" t="s">
        <v>3658</v>
      </c>
      <c r="E420" s="34">
        <f t="shared" si="239"/>
        <v>13.84</v>
      </c>
      <c r="F420" s="35"/>
      <c r="G420" s="36">
        <f t="shared" si="240"/>
        <v>52.17</v>
      </c>
      <c r="H420" s="37">
        <f t="shared" si="241"/>
        <v>52.17</v>
      </c>
      <c r="I420" s="2218">
        <f>面积清单!E409</f>
        <v>52.17</v>
      </c>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3"/>
      <c r="AV420" s="1798">
        <f t="shared" si="243"/>
        <v>0</v>
      </c>
      <c r="AW420" s="1798">
        <f t="shared" si="244"/>
        <v>0</v>
      </c>
      <c r="AX420" s="1798" t="str">
        <f t="shared" si="245"/>
        <v>7-2709</v>
      </c>
      <c r="AY420" s="41">
        <f t="shared" si="246"/>
        <v>17.91</v>
      </c>
      <c r="AZ420" s="34">
        <f t="shared" si="247"/>
        <v>52.17</v>
      </c>
      <c r="BA420" s="34">
        <f t="shared" si="248"/>
        <v>52.17</v>
      </c>
      <c r="BB420" s="34">
        <f t="shared" si="249"/>
        <v>52.17</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1274" t="str">
        <f>面积清单!B410</f>
        <v>7-2710</v>
      </c>
      <c r="D421" s="2217" t="s">
        <v>3658</v>
      </c>
      <c r="E421" s="34">
        <f t="shared" si="239"/>
        <v>13.84</v>
      </c>
      <c r="F421" s="35"/>
      <c r="G421" s="36">
        <f t="shared" si="240"/>
        <v>52.17</v>
      </c>
      <c r="H421" s="37">
        <f t="shared" si="241"/>
        <v>52.17</v>
      </c>
      <c r="I421" s="2218">
        <f>面积清单!E410</f>
        <v>52.17</v>
      </c>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3"/>
      <c r="AV421" s="1798">
        <f t="shared" si="243"/>
        <v>0</v>
      </c>
      <c r="AW421" s="1798">
        <f t="shared" si="244"/>
        <v>0</v>
      </c>
      <c r="AX421" s="1798" t="str">
        <f t="shared" si="245"/>
        <v>7-2710</v>
      </c>
      <c r="AY421" s="41">
        <f t="shared" si="246"/>
        <v>17.91</v>
      </c>
      <c r="AZ421" s="34">
        <f t="shared" si="247"/>
        <v>52.17</v>
      </c>
      <c r="BA421" s="34">
        <f t="shared" si="248"/>
        <v>52.17</v>
      </c>
      <c r="BB421" s="34">
        <f t="shared" si="249"/>
        <v>52.17</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1274" t="str">
        <f>面积清单!B411</f>
        <v>7-2711</v>
      </c>
      <c r="D422" s="2217" t="s">
        <v>3658</v>
      </c>
      <c r="E422" s="34">
        <f t="shared" si="239"/>
        <v>13.84</v>
      </c>
      <c r="F422" s="35"/>
      <c r="G422" s="36">
        <f t="shared" si="240"/>
        <v>52.17</v>
      </c>
      <c r="H422" s="37">
        <f t="shared" si="241"/>
        <v>52.17</v>
      </c>
      <c r="I422" s="2218">
        <f>面积清单!E411</f>
        <v>52.17</v>
      </c>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3"/>
      <c r="AV422" s="1798">
        <f t="shared" si="243"/>
        <v>0</v>
      </c>
      <c r="AW422" s="1798">
        <f t="shared" si="244"/>
        <v>0</v>
      </c>
      <c r="AX422" s="1798" t="str">
        <f t="shared" si="245"/>
        <v>7-2711</v>
      </c>
      <c r="AY422" s="41">
        <f t="shared" si="246"/>
        <v>17.91</v>
      </c>
      <c r="AZ422" s="34">
        <f t="shared" si="247"/>
        <v>52.17</v>
      </c>
      <c r="BA422" s="34">
        <f t="shared" si="248"/>
        <v>52.17</v>
      </c>
      <c r="BB422" s="34">
        <f t="shared" si="249"/>
        <v>52.17</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1274" t="str">
        <f>面积清单!B412</f>
        <v>7-2712</v>
      </c>
      <c r="D423" s="2217" t="s">
        <v>3658</v>
      </c>
      <c r="E423" s="34">
        <f t="shared" si="239"/>
        <v>21.42</v>
      </c>
      <c r="F423" s="35"/>
      <c r="G423" s="36">
        <f t="shared" si="240"/>
        <v>80.73</v>
      </c>
      <c r="H423" s="37">
        <f t="shared" si="241"/>
        <v>80.73</v>
      </c>
      <c r="I423" s="2218">
        <f>面积清单!E412</f>
        <v>80.73</v>
      </c>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3"/>
      <c r="AV423" s="1798">
        <f t="shared" si="243"/>
        <v>0</v>
      </c>
      <c r="AW423" s="1798">
        <f t="shared" si="244"/>
        <v>0</v>
      </c>
      <c r="AX423" s="1798" t="str">
        <f t="shared" si="245"/>
        <v>7-2712</v>
      </c>
      <c r="AY423" s="41">
        <f t="shared" si="246"/>
        <v>27.71</v>
      </c>
      <c r="AZ423" s="34">
        <f t="shared" si="247"/>
        <v>80.73</v>
      </c>
      <c r="BA423" s="34">
        <f t="shared" si="248"/>
        <v>80.73</v>
      </c>
      <c r="BB423" s="34">
        <f t="shared" si="249"/>
        <v>80.73</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1274" t="str">
        <f>面积清单!B413</f>
        <v>7-2713</v>
      </c>
      <c r="D424" s="2217" t="s">
        <v>3658</v>
      </c>
      <c r="E424" s="34">
        <f t="shared" si="239"/>
        <v>17.88</v>
      </c>
      <c r="F424" s="35"/>
      <c r="G424" s="36">
        <f t="shared" si="240"/>
        <v>67.36</v>
      </c>
      <c r="H424" s="37">
        <f t="shared" si="241"/>
        <v>67.36</v>
      </c>
      <c r="I424" s="2218">
        <f>面积清单!E413</f>
        <v>67.36</v>
      </c>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3"/>
      <c r="AV424" s="1798">
        <f t="shared" si="243"/>
        <v>0</v>
      </c>
      <c r="AW424" s="1798">
        <f t="shared" si="244"/>
        <v>0</v>
      </c>
      <c r="AX424" s="1798" t="str">
        <f t="shared" si="245"/>
        <v>7-2713</v>
      </c>
      <c r="AY424" s="41">
        <f t="shared" si="246"/>
        <v>23.12</v>
      </c>
      <c r="AZ424" s="34">
        <f t="shared" si="247"/>
        <v>67.36</v>
      </c>
      <c r="BA424" s="34">
        <f t="shared" si="248"/>
        <v>67.36</v>
      </c>
      <c r="BB424" s="34">
        <f t="shared" si="249"/>
        <v>67.36</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1274" t="str">
        <f>面积清单!B414</f>
        <v>7-2714</v>
      </c>
      <c r="D425" s="2217" t="s">
        <v>3658</v>
      </c>
      <c r="E425" s="34">
        <f t="shared" si="239"/>
        <v>17.88</v>
      </c>
      <c r="F425" s="35"/>
      <c r="G425" s="36">
        <f t="shared" si="240"/>
        <v>67.36</v>
      </c>
      <c r="H425" s="37">
        <f t="shared" si="241"/>
        <v>67.36</v>
      </c>
      <c r="I425" s="2218">
        <f>面积清单!E414</f>
        <v>67.36</v>
      </c>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3"/>
      <c r="AV425" s="1798">
        <f t="shared" si="243"/>
        <v>0</v>
      </c>
      <c r="AW425" s="1798">
        <f t="shared" si="244"/>
        <v>0</v>
      </c>
      <c r="AX425" s="1798" t="str">
        <f t="shared" si="245"/>
        <v>7-2714</v>
      </c>
      <c r="AY425" s="41">
        <f t="shared" si="246"/>
        <v>23.12</v>
      </c>
      <c r="AZ425" s="34">
        <f t="shared" si="247"/>
        <v>67.36</v>
      </c>
      <c r="BA425" s="34">
        <f t="shared" si="248"/>
        <v>67.36</v>
      </c>
      <c r="BB425" s="34">
        <f t="shared" si="249"/>
        <v>67.36</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1274" t="str">
        <f>面积清单!B415</f>
        <v>7-2715</v>
      </c>
      <c r="D426" s="2217" t="s">
        <v>3658</v>
      </c>
      <c r="E426" s="34">
        <f t="shared" si="239"/>
        <v>21.42</v>
      </c>
      <c r="F426" s="35"/>
      <c r="G426" s="36">
        <f t="shared" si="240"/>
        <v>80.73</v>
      </c>
      <c r="H426" s="37">
        <f t="shared" si="241"/>
        <v>80.73</v>
      </c>
      <c r="I426" s="2218">
        <f>面积清单!E415</f>
        <v>80.73</v>
      </c>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3"/>
      <c r="AV426" s="1798">
        <f t="shared" si="243"/>
        <v>0</v>
      </c>
      <c r="AW426" s="1798">
        <f t="shared" si="244"/>
        <v>0</v>
      </c>
      <c r="AX426" s="1798" t="str">
        <f t="shared" si="245"/>
        <v>7-2715</v>
      </c>
      <c r="AY426" s="41">
        <f t="shared" si="246"/>
        <v>27.71</v>
      </c>
      <c r="AZ426" s="34">
        <f t="shared" si="247"/>
        <v>80.73</v>
      </c>
      <c r="BA426" s="34">
        <f t="shared" si="248"/>
        <v>80.73</v>
      </c>
      <c r="BB426" s="34">
        <f t="shared" si="249"/>
        <v>80.73</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1274" t="str">
        <f>面积清单!B416</f>
        <v>7-2716</v>
      </c>
      <c r="D427" s="2217" t="s">
        <v>3658</v>
      </c>
      <c r="E427" s="34">
        <f t="shared" si="239"/>
        <v>13.84</v>
      </c>
      <c r="F427" s="35"/>
      <c r="G427" s="36">
        <f t="shared" si="240"/>
        <v>52.17</v>
      </c>
      <c r="H427" s="37">
        <f t="shared" si="241"/>
        <v>52.17</v>
      </c>
      <c r="I427" s="2218">
        <f>面积清单!E416</f>
        <v>52.17</v>
      </c>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3"/>
      <c r="AV427" s="1798">
        <f t="shared" si="243"/>
        <v>0</v>
      </c>
      <c r="AW427" s="1798">
        <f t="shared" si="244"/>
        <v>0</v>
      </c>
      <c r="AX427" s="1798" t="str">
        <f t="shared" si="245"/>
        <v>7-2716</v>
      </c>
      <c r="AY427" s="41">
        <f t="shared" si="246"/>
        <v>17.91</v>
      </c>
      <c r="AZ427" s="34">
        <f t="shared" si="247"/>
        <v>52.17</v>
      </c>
      <c r="BA427" s="34">
        <f t="shared" si="248"/>
        <v>52.17</v>
      </c>
      <c r="BB427" s="34">
        <f t="shared" si="249"/>
        <v>52.17</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1274" t="str">
        <f>面积清单!B417</f>
        <v>7-2717</v>
      </c>
      <c r="D428" s="2217" t="s">
        <v>3658</v>
      </c>
      <c r="E428" s="34">
        <f t="shared" si="239"/>
        <v>13.84</v>
      </c>
      <c r="F428" s="35"/>
      <c r="G428" s="36">
        <f t="shared" si="240"/>
        <v>52.17</v>
      </c>
      <c r="H428" s="37">
        <f t="shared" si="241"/>
        <v>52.17</v>
      </c>
      <c r="I428" s="2218">
        <f>面积清单!E417</f>
        <v>52.17</v>
      </c>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3"/>
      <c r="AV428" s="1798">
        <f t="shared" si="243"/>
        <v>0</v>
      </c>
      <c r="AW428" s="1798">
        <f t="shared" si="244"/>
        <v>0</v>
      </c>
      <c r="AX428" s="1798" t="str">
        <f t="shared" si="245"/>
        <v>7-2717</v>
      </c>
      <c r="AY428" s="41">
        <f t="shared" si="246"/>
        <v>17.91</v>
      </c>
      <c r="AZ428" s="34">
        <f t="shared" si="247"/>
        <v>52.17</v>
      </c>
      <c r="BA428" s="34">
        <f t="shared" si="248"/>
        <v>52.17</v>
      </c>
      <c r="BB428" s="34">
        <f t="shared" si="249"/>
        <v>52.17</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1274" t="str">
        <f>面积清单!B418</f>
        <v>7-2718</v>
      </c>
      <c r="D429" s="2217" t="s">
        <v>3658</v>
      </c>
      <c r="E429" s="34">
        <f t="shared" si="239"/>
        <v>13.84</v>
      </c>
      <c r="F429" s="35"/>
      <c r="G429" s="36">
        <f t="shared" si="240"/>
        <v>52.17</v>
      </c>
      <c r="H429" s="37">
        <f t="shared" si="241"/>
        <v>52.17</v>
      </c>
      <c r="I429" s="2218">
        <f>面积清单!E418</f>
        <v>52.17</v>
      </c>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3"/>
      <c r="AV429" s="1798">
        <f t="shared" si="243"/>
        <v>0</v>
      </c>
      <c r="AW429" s="1798">
        <f t="shared" si="244"/>
        <v>0</v>
      </c>
      <c r="AX429" s="1798" t="str">
        <f t="shared" si="245"/>
        <v>7-2718</v>
      </c>
      <c r="AY429" s="41">
        <f t="shared" si="246"/>
        <v>17.91</v>
      </c>
      <c r="AZ429" s="34">
        <f t="shared" si="247"/>
        <v>52.17</v>
      </c>
      <c r="BA429" s="34">
        <f t="shared" si="248"/>
        <v>52.17</v>
      </c>
      <c r="BB429" s="34">
        <f t="shared" si="249"/>
        <v>52.17</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1274" t="str">
        <f>面积清单!B419</f>
        <v>7-2719</v>
      </c>
      <c r="D430" s="2217" t="s">
        <v>3658</v>
      </c>
      <c r="E430" s="34">
        <f t="shared" si="239"/>
        <v>13.84</v>
      </c>
      <c r="F430" s="35"/>
      <c r="G430" s="36">
        <f t="shared" si="240"/>
        <v>52.17</v>
      </c>
      <c r="H430" s="37">
        <f t="shared" si="241"/>
        <v>52.17</v>
      </c>
      <c r="I430" s="2218">
        <f>面积清单!E419</f>
        <v>52.17</v>
      </c>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3"/>
      <c r="AV430" s="1798">
        <f t="shared" si="243"/>
        <v>0</v>
      </c>
      <c r="AW430" s="1798">
        <f t="shared" si="244"/>
        <v>0</v>
      </c>
      <c r="AX430" s="1798" t="str">
        <f t="shared" si="245"/>
        <v>7-2719</v>
      </c>
      <c r="AY430" s="41">
        <f t="shared" si="246"/>
        <v>17.91</v>
      </c>
      <c r="AZ430" s="34">
        <f t="shared" si="247"/>
        <v>52.17</v>
      </c>
      <c r="BA430" s="34">
        <f t="shared" si="248"/>
        <v>52.17</v>
      </c>
      <c r="BB430" s="34">
        <f t="shared" si="249"/>
        <v>52.17</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1274" t="str">
        <f>面积清单!B420</f>
        <v>7-2720</v>
      </c>
      <c r="D431" s="2217" t="s">
        <v>3658</v>
      </c>
      <c r="E431" s="34">
        <f t="shared" si="239"/>
        <v>13.84</v>
      </c>
      <c r="F431" s="35"/>
      <c r="G431" s="36">
        <f t="shared" si="240"/>
        <v>52.17</v>
      </c>
      <c r="H431" s="37">
        <f t="shared" si="241"/>
        <v>52.17</v>
      </c>
      <c r="I431" s="2218">
        <f>面积清单!E420</f>
        <v>52.17</v>
      </c>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3"/>
      <c r="AV431" s="1798">
        <f t="shared" si="243"/>
        <v>0</v>
      </c>
      <c r="AW431" s="1798">
        <f t="shared" si="244"/>
        <v>0</v>
      </c>
      <c r="AX431" s="1798" t="str">
        <f t="shared" si="245"/>
        <v>7-2720</v>
      </c>
      <c r="AY431" s="41">
        <f t="shared" si="246"/>
        <v>17.91</v>
      </c>
      <c r="AZ431" s="34">
        <f t="shared" si="247"/>
        <v>52.17</v>
      </c>
      <c r="BA431" s="34">
        <f t="shared" si="248"/>
        <v>52.17</v>
      </c>
      <c r="BB431" s="34">
        <f t="shared" si="249"/>
        <v>52.17</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1274" t="str">
        <f>面积清单!B421</f>
        <v>7-2721</v>
      </c>
      <c r="D432" s="2217" t="s">
        <v>3658</v>
      </c>
      <c r="E432" s="34">
        <f t="shared" si="239"/>
        <v>13.84</v>
      </c>
      <c r="F432" s="35"/>
      <c r="G432" s="36">
        <f t="shared" si="240"/>
        <v>52.17</v>
      </c>
      <c r="H432" s="37">
        <f t="shared" si="241"/>
        <v>52.17</v>
      </c>
      <c r="I432" s="2218">
        <f>面积清单!E421</f>
        <v>52.17</v>
      </c>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3"/>
      <c r="AV432" s="1798">
        <f t="shared" si="243"/>
        <v>0</v>
      </c>
      <c r="AW432" s="1798">
        <f t="shared" si="244"/>
        <v>0</v>
      </c>
      <c r="AX432" s="1798" t="str">
        <f t="shared" si="245"/>
        <v>7-2721</v>
      </c>
      <c r="AY432" s="41">
        <f t="shared" si="246"/>
        <v>17.91</v>
      </c>
      <c r="AZ432" s="34">
        <f t="shared" si="247"/>
        <v>52.17</v>
      </c>
      <c r="BA432" s="34">
        <f t="shared" si="248"/>
        <v>52.17</v>
      </c>
      <c r="BB432" s="34">
        <f t="shared" si="249"/>
        <v>52.17</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1274" t="str">
        <f>面积清单!B422</f>
        <v>7-2722</v>
      </c>
      <c r="D433" s="2217" t="s">
        <v>3658</v>
      </c>
      <c r="E433" s="34">
        <f t="shared" si="239"/>
        <v>13.84</v>
      </c>
      <c r="F433" s="35"/>
      <c r="G433" s="36">
        <f t="shared" si="240"/>
        <v>52.17</v>
      </c>
      <c r="H433" s="37">
        <f t="shared" si="241"/>
        <v>52.17</v>
      </c>
      <c r="I433" s="2218">
        <f>面积清单!E422</f>
        <v>52.17</v>
      </c>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3"/>
      <c r="AV433" s="1798">
        <f t="shared" si="243"/>
        <v>0</v>
      </c>
      <c r="AW433" s="1798">
        <f t="shared" si="244"/>
        <v>0</v>
      </c>
      <c r="AX433" s="1798" t="str">
        <f t="shared" si="245"/>
        <v>7-2722</v>
      </c>
      <c r="AY433" s="41">
        <f t="shared" si="246"/>
        <v>17.91</v>
      </c>
      <c r="AZ433" s="34">
        <f t="shared" si="247"/>
        <v>52.17</v>
      </c>
      <c r="BA433" s="34">
        <f t="shared" si="248"/>
        <v>52.17</v>
      </c>
      <c r="BB433" s="34">
        <f t="shared" si="249"/>
        <v>52.17</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1274" t="str">
        <f>面积清单!B423</f>
        <v>7-2723</v>
      </c>
      <c r="D434" s="2217" t="s">
        <v>3658</v>
      </c>
      <c r="E434" s="34">
        <f t="shared" si="239"/>
        <v>13.84</v>
      </c>
      <c r="F434" s="35"/>
      <c r="G434" s="36">
        <f t="shared" si="240"/>
        <v>52.17</v>
      </c>
      <c r="H434" s="37">
        <f t="shared" si="241"/>
        <v>52.17</v>
      </c>
      <c r="I434" s="2218">
        <f>面积清单!E423</f>
        <v>52.17</v>
      </c>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3"/>
      <c r="AV434" s="1798">
        <f t="shared" si="243"/>
        <v>0</v>
      </c>
      <c r="AW434" s="1798">
        <f t="shared" si="244"/>
        <v>0</v>
      </c>
      <c r="AX434" s="1798" t="str">
        <f t="shared" si="245"/>
        <v>7-2723</v>
      </c>
      <c r="AY434" s="41">
        <f t="shared" si="246"/>
        <v>17.91</v>
      </c>
      <c r="AZ434" s="34">
        <f t="shared" si="247"/>
        <v>52.17</v>
      </c>
      <c r="BA434" s="34">
        <f t="shared" si="248"/>
        <v>52.17</v>
      </c>
      <c r="BB434" s="34">
        <f t="shared" si="249"/>
        <v>52.17</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1274" t="str">
        <f>面积清单!B424</f>
        <v>7-2724</v>
      </c>
      <c r="D435" s="2217" t="s">
        <v>3658</v>
      </c>
      <c r="E435" s="34">
        <f t="shared" si="239"/>
        <v>13.84</v>
      </c>
      <c r="F435" s="35"/>
      <c r="G435" s="36">
        <f t="shared" si="240"/>
        <v>52.17</v>
      </c>
      <c r="H435" s="37">
        <f t="shared" si="241"/>
        <v>52.17</v>
      </c>
      <c r="I435" s="2218">
        <f>面积清单!E424</f>
        <v>52.17</v>
      </c>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3"/>
      <c r="AV435" s="1798">
        <f t="shared" si="243"/>
        <v>0</v>
      </c>
      <c r="AW435" s="1798">
        <f t="shared" si="244"/>
        <v>0</v>
      </c>
      <c r="AX435" s="1798" t="str">
        <f t="shared" si="245"/>
        <v>7-2724</v>
      </c>
      <c r="AY435" s="41">
        <f t="shared" si="246"/>
        <v>17.91</v>
      </c>
      <c r="AZ435" s="34">
        <f t="shared" si="247"/>
        <v>52.17</v>
      </c>
      <c r="BA435" s="34">
        <f t="shared" si="248"/>
        <v>52.17</v>
      </c>
      <c r="BB435" s="34">
        <f t="shared" si="249"/>
        <v>52.17</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1274" t="str">
        <f>面积清单!B425</f>
        <v>7-2725</v>
      </c>
      <c r="D436" s="2217" t="s">
        <v>3658</v>
      </c>
      <c r="E436" s="34">
        <f t="shared" si="239"/>
        <v>13.84</v>
      </c>
      <c r="F436" s="35"/>
      <c r="G436" s="36">
        <f t="shared" si="240"/>
        <v>52.17</v>
      </c>
      <c r="H436" s="37">
        <f t="shared" si="241"/>
        <v>52.17</v>
      </c>
      <c r="I436" s="2218">
        <f>面积清单!E425</f>
        <v>52.17</v>
      </c>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3"/>
      <c r="AV436" s="1798">
        <f t="shared" si="243"/>
        <v>0</v>
      </c>
      <c r="AW436" s="1798">
        <f t="shared" si="244"/>
        <v>0</v>
      </c>
      <c r="AX436" s="1798" t="str">
        <f t="shared" si="245"/>
        <v>7-2725</v>
      </c>
      <c r="AY436" s="41">
        <f t="shared" si="246"/>
        <v>17.91</v>
      </c>
      <c r="AZ436" s="34">
        <f t="shared" si="247"/>
        <v>52.17</v>
      </c>
      <c r="BA436" s="34">
        <f t="shared" si="248"/>
        <v>52.17</v>
      </c>
      <c r="BB436" s="34">
        <f t="shared" si="249"/>
        <v>52.17</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1274" t="str">
        <f>面积清单!B426</f>
        <v>7-2726</v>
      </c>
      <c r="D437" s="2217" t="s">
        <v>3658</v>
      </c>
      <c r="E437" s="34">
        <f t="shared" si="239"/>
        <v>21.42</v>
      </c>
      <c r="F437" s="35"/>
      <c r="G437" s="36">
        <f t="shared" si="240"/>
        <v>80.73</v>
      </c>
      <c r="H437" s="37">
        <f t="shared" si="241"/>
        <v>80.73</v>
      </c>
      <c r="I437" s="2218">
        <f>面积清单!E426</f>
        <v>80.73</v>
      </c>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3"/>
      <c r="AV437" s="1798">
        <f t="shared" si="243"/>
        <v>0</v>
      </c>
      <c r="AW437" s="1798">
        <f t="shared" si="244"/>
        <v>0</v>
      </c>
      <c r="AX437" s="1798" t="str">
        <f t="shared" si="245"/>
        <v>7-2726</v>
      </c>
      <c r="AY437" s="41">
        <f t="shared" si="246"/>
        <v>27.71</v>
      </c>
      <c r="AZ437" s="34">
        <f t="shared" si="247"/>
        <v>80.73</v>
      </c>
      <c r="BA437" s="34">
        <f t="shared" si="248"/>
        <v>80.73</v>
      </c>
      <c r="BB437" s="34">
        <f t="shared" si="249"/>
        <v>80.73</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1274" t="str">
        <f>面积清单!B427</f>
        <v>7-2727</v>
      </c>
      <c r="D438" s="2217" t="s">
        <v>3658</v>
      </c>
      <c r="E438" s="34">
        <f t="shared" si="239"/>
        <v>24.7</v>
      </c>
      <c r="F438" s="35"/>
      <c r="G438" s="36">
        <f t="shared" si="240"/>
        <v>93.08</v>
      </c>
      <c r="H438" s="37">
        <f t="shared" si="241"/>
        <v>93.08</v>
      </c>
      <c r="I438" s="2218">
        <f>面积清单!E427</f>
        <v>93.08</v>
      </c>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3"/>
      <c r="AV438" s="1798">
        <f t="shared" si="243"/>
        <v>0</v>
      </c>
      <c r="AW438" s="1798">
        <f t="shared" si="244"/>
        <v>0</v>
      </c>
      <c r="AX438" s="1798" t="str">
        <f t="shared" si="245"/>
        <v>7-2727</v>
      </c>
      <c r="AY438" s="41">
        <f t="shared" si="246"/>
        <v>31.95</v>
      </c>
      <c r="AZ438" s="34">
        <f t="shared" si="247"/>
        <v>93.08</v>
      </c>
      <c r="BA438" s="34">
        <f t="shared" si="248"/>
        <v>93.08</v>
      </c>
      <c r="BB438" s="34">
        <f t="shared" si="249"/>
        <v>93.08</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1274" t="str">
        <f>面积清单!B428</f>
        <v>7-2728</v>
      </c>
      <c r="D439" s="2217" t="s">
        <v>3658</v>
      </c>
      <c r="E439" s="34">
        <f t="shared" si="239"/>
        <v>24.7</v>
      </c>
      <c r="F439" s="35"/>
      <c r="G439" s="36">
        <f t="shared" si="240"/>
        <v>93.08</v>
      </c>
      <c r="H439" s="37">
        <f t="shared" si="241"/>
        <v>93.08</v>
      </c>
      <c r="I439" s="2218">
        <f>面积清单!E428</f>
        <v>93.08</v>
      </c>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3"/>
      <c r="AV439" s="1798">
        <f t="shared" si="243"/>
        <v>0</v>
      </c>
      <c r="AW439" s="1798">
        <f t="shared" si="244"/>
        <v>0</v>
      </c>
      <c r="AX439" s="1798" t="str">
        <f t="shared" si="245"/>
        <v>7-2728</v>
      </c>
      <c r="AY439" s="41">
        <f t="shared" si="246"/>
        <v>31.95</v>
      </c>
      <c r="AZ439" s="34">
        <f t="shared" si="247"/>
        <v>93.08</v>
      </c>
      <c r="BA439" s="34">
        <f t="shared" si="248"/>
        <v>93.08</v>
      </c>
      <c r="BB439" s="34">
        <f t="shared" si="249"/>
        <v>93.08</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1274" t="str">
        <f>面积清单!B429</f>
        <v>7-301</v>
      </c>
      <c r="D440" s="2217" t="s">
        <v>3658</v>
      </c>
      <c r="E440" s="34">
        <f t="shared" si="239"/>
        <v>19.45</v>
      </c>
      <c r="F440" s="35"/>
      <c r="G440" s="36">
        <f t="shared" si="240"/>
        <v>73.3</v>
      </c>
      <c r="H440" s="37">
        <f t="shared" si="241"/>
        <v>73.3</v>
      </c>
      <c r="I440" s="2218">
        <f>面积清单!E429</f>
        <v>73.3</v>
      </c>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3"/>
      <c r="AV440" s="1798">
        <f t="shared" si="243"/>
        <v>0</v>
      </c>
      <c r="AW440" s="1798">
        <f t="shared" si="244"/>
        <v>0</v>
      </c>
      <c r="AX440" s="1798" t="str">
        <f t="shared" si="245"/>
        <v>7-301</v>
      </c>
      <c r="AY440" s="41">
        <f t="shared" si="246"/>
        <v>25.16</v>
      </c>
      <c r="AZ440" s="34">
        <f t="shared" si="247"/>
        <v>73.3</v>
      </c>
      <c r="BA440" s="34">
        <f t="shared" si="248"/>
        <v>73.3</v>
      </c>
      <c r="BB440" s="34">
        <f t="shared" si="249"/>
        <v>73.3</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1274" t="str">
        <f>面积清单!B430</f>
        <v>7-302</v>
      </c>
      <c r="D441" s="2217" t="s">
        <v>3658</v>
      </c>
      <c r="E441" s="34">
        <f t="shared" si="239"/>
        <v>12.57</v>
      </c>
      <c r="F441" s="35"/>
      <c r="G441" s="36">
        <f t="shared" si="240"/>
        <v>47.36</v>
      </c>
      <c r="H441" s="37">
        <f t="shared" si="241"/>
        <v>47.36</v>
      </c>
      <c r="I441" s="2218">
        <f>面积清单!E430</f>
        <v>47.36</v>
      </c>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3"/>
      <c r="AV441" s="1798">
        <f t="shared" si="243"/>
        <v>0</v>
      </c>
      <c r="AW441" s="1798">
        <f t="shared" si="244"/>
        <v>0</v>
      </c>
      <c r="AX441" s="1798" t="str">
        <f t="shared" si="245"/>
        <v>7-302</v>
      </c>
      <c r="AY441" s="41">
        <f t="shared" si="246"/>
        <v>16.260000000000002</v>
      </c>
      <c r="AZ441" s="34">
        <f t="shared" si="247"/>
        <v>47.36</v>
      </c>
      <c r="BA441" s="34">
        <f t="shared" si="248"/>
        <v>47.36</v>
      </c>
      <c r="BB441" s="34">
        <f t="shared" si="249"/>
        <v>47.36</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1274" t="str">
        <f>面积清单!B431</f>
        <v>7-303</v>
      </c>
      <c r="D442" s="2217" t="s">
        <v>3658</v>
      </c>
      <c r="E442" s="34">
        <f t="shared" si="239"/>
        <v>25.14</v>
      </c>
      <c r="F442" s="35"/>
      <c r="G442" s="36">
        <f t="shared" si="240"/>
        <v>94.72</v>
      </c>
      <c r="H442" s="37">
        <f t="shared" si="241"/>
        <v>94.72</v>
      </c>
      <c r="I442" s="2218">
        <f>面积清单!E431</f>
        <v>94.72</v>
      </c>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3"/>
      <c r="AV442" s="1798">
        <f t="shared" si="243"/>
        <v>0</v>
      </c>
      <c r="AW442" s="1798">
        <f t="shared" si="244"/>
        <v>0</v>
      </c>
      <c r="AX442" s="1798" t="str">
        <f t="shared" si="245"/>
        <v>7-303</v>
      </c>
      <c r="AY442" s="41">
        <f t="shared" si="246"/>
        <v>32.520000000000003</v>
      </c>
      <c r="AZ442" s="34">
        <f t="shared" si="247"/>
        <v>94.72</v>
      </c>
      <c r="BA442" s="34">
        <f t="shared" si="248"/>
        <v>94.72</v>
      </c>
      <c r="BB442" s="34">
        <f t="shared" si="249"/>
        <v>94.72</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1274" t="str">
        <f>面积清单!B432</f>
        <v>7-304</v>
      </c>
      <c r="D443" s="2217" t="s">
        <v>3658</v>
      </c>
      <c r="E443" s="34">
        <f t="shared" si="239"/>
        <v>25.14</v>
      </c>
      <c r="F443" s="35"/>
      <c r="G443" s="36">
        <f t="shared" si="240"/>
        <v>94.72</v>
      </c>
      <c r="H443" s="37">
        <f t="shared" si="241"/>
        <v>94.72</v>
      </c>
      <c r="I443" s="2218">
        <f>面积清单!E432</f>
        <v>94.72</v>
      </c>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3"/>
      <c r="AV443" s="1798">
        <f t="shared" si="243"/>
        <v>0</v>
      </c>
      <c r="AW443" s="1798">
        <f t="shared" si="244"/>
        <v>0</v>
      </c>
      <c r="AX443" s="1798" t="str">
        <f t="shared" si="245"/>
        <v>7-304</v>
      </c>
      <c r="AY443" s="41">
        <f t="shared" si="246"/>
        <v>32.520000000000003</v>
      </c>
      <c r="AZ443" s="34">
        <f t="shared" si="247"/>
        <v>94.72</v>
      </c>
      <c r="BA443" s="34">
        <f t="shared" si="248"/>
        <v>94.72</v>
      </c>
      <c r="BB443" s="34">
        <f t="shared" si="249"/>
        <v>94.72</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1274" t="str">
        <f>面积清单!B433</f>
        <v>7-305</v>
      </c>
      <c r="D444" s="2217" t="s">
        <v>3658</v>
      </c>
      <c r="E444" s="34">
        <f t="shared" si="239"/>
        <v>25.14</v>
      </c>
      <c r="F444" s="35"/>
      <c r="G444" s="36">
        <f t="shared" si="240"/>
        <v>94.72</v>
      </c>
      <c r="H444" s="37">
        <f t="shared" si="241"/>
        <v>94.72</v>
      </c>
      <c r="I444" s="2218">
        <f>面积清单!E433</f>
        <v>94.72</v>
      </c>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3"/>
      <c r="AV444" s="1798">
        <f t="shared" si="243"/>
        <v>0</v>
      </c>
      <c r="AW444" s="1798">
        <f t="shared" si="244"/>
        <v>0</v>
      </c>
      <c r="AX444" s="1798" t="str">
        <f t="shared" si="245"/>
        <v>7-305</v>
      </c>
      <c r="AY444" s="41">
        <f t="shared" si="246"/>
        <v>32.520000000000003</v>
      </c>
      <c r="AZ444" s="34">
        <f t="shared" si="247"/>
        <v>94.72</v>
      </c>
      <c r="BA444" s="34">
        <f t="shared" si="248"/>
        <v>94.72</v>
      </c>
      <c r="BB444" s="34">
        <f t="shared" si="249"/>
        <v>94.72</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1274" t="str">
        <f>面积清单!B434</f>
        <v>7-306</v>
      </c>
      <c r="D445" s="2217" t="s">
        <v>3658</v>
      </c>
      <c r="E445" s="34">
        <f t="shared" si="239"/>
        <v>25.14</v>
      </c>
      <c r="F445" s="35"/>
      <c r="G445" s="36">
        <f t="shared" si="240"/>
        <v>94.72</v>
      </c>
      <c r="H445" s="37">
        <f t="shared" si="241"/>
        <v>94.72</v>
      </c>
      <c r="I445" s="2218">
        <f>面积清单!E434</f>
        <v>94.72</v>
      </c>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3"/>
      <c r="AV445" s="1798">
        <f t="shared" si="243"/>
        <v>0</v>
      </c>
      <c r="AW445" s="1798">
        <f t="shared" si="244"/>
        <v>0</v>
      </c>
      <c r="AX445" s="1798" t="str">
        <f t="shared" si="245"/>
        <v>7-306</v>
      </c>
      <c r="AY445" s="41">
        <f t="shared" si="246"/>
        <v>32.520000000000003</v>
      </c>
      <c r="AZ445" s="34">
        <f t="shared" si="247"/>
        <v>94.72</v>
      </c>
      <c r="BA445" s="34">
        <f t="shared" si="248"/>
        <v>94.72</v>
      </c>
      <c r="BB445" s="34">
        <f t="shared" si="249"/>
        <v>94.72</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1274" t="str">
        <f>面积清单!B435</f>
        <v>7-307</v>
      </c>
      <c r="D446" s="2217" t="s">
        <v>3658</v>
      </c>
      <c r="E446" s="34">
        <f t="shared" si="239"/>
        <v>52.56</v>
      </c>
      <c r="F446" s="35"/>
      <c r="G446" s="36">
        <f t="shared" si="240"/>
        <v>198.06</v>
      </c>
      <c r="H446" s="37">
        <f t="shared" si="241"/>
        <v>198.06</v>
      </c>
      <c r="I446" s="2218">
        <f>面积清单!E435</f>
        <v>198.06</v>
      </c>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3"/>
      <c r="AV446" s="1798">
        <f t="shared" si="243"/>
        <v>0</v>
      </c>
      <c r="AW446" s="1798">
        <f t="shared" si="244"/>
        <v>0</v>
      </c>
      <c r="AX446" s="1798" t="str">
        <f t="shared" si="245"/>
        <v>7-307</v>
      </c>
      <c r="AY446" s="41">
        <f t="shared" si="246"/>
        <v>67.989999999999995</v>
      </c>
      <c r="AZ446" s="34">
        <f t="shared" si="247"/>
        <v>198.06</v>
      </c>
      <c r="BA446" s="34">
        <f t="shared" si="248"/>
        <v>198.06</v>
      </c>
      <c r="BB446" s="34">
        <f t="shared" si="249"/>
        <v>198.06</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1274" t="str">
        <f>面积清单!B436</f>
        <v>7-308</v>
      </c>
      <c r="D447" s="2217" t="s">
        <v>3658</v>
      </c>
      <c r="E447" s="34">
        <f t="shared" si="239"/>
        <v>52.56</v>
      </c>
      <c r="F447" s="35"/>
      <c r="G447" s="36">
        <f t="shared" si="240"/>
        <v>198.06</v>
      </c>
      <c r="H447" s="37">
        <f t="shared" si="241"/>
        <v>198.06</v>
      </c>
      <c r="I447" s="2218">
        <f>面积清单!E436</f>
        <v>198.06</v>
      </c>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3"/>
      <c r="AV447" s="1798">
        <f t="shared" si="243"/>
        <v>0</v>
      </c>
      <c r="AW447" s="1798">
        <f t="shared" si="244"/>
        <v>0</v>
      </c>
      <c r="AX447" s="1798" t="str">
        <f t="shared" si="245"/>
        <v>7-308</v>
      </c>
      <c r="AY447" s="41">
        <f t="shared" si="246"/>
        <v>67.989999999999995</v>
      </c>
      <c r="AZ447" s="34">
        <f t="shared" si="247"/>
        <v>198.06</v>
      </c>
      <c r="BA447" s="34">
        <f t="shared" si="248"/>
        <v>198.06</v>
      </c>
      <c r="BB447" s="34">
        <f t="shared" si="249"/>
        <v>198.06</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1274" t="str">
        <f>面积清单!B437</f>
        <v>7-309</v>
      </c>
      <c r="D448" s="2217" t="s">
        <v>3658</v>
      </c>
      <c r="E448" s="34">
        <f t="shared" si="239"/>
        <v>52.56</v>
      </c>
      <c r="F448" s="35"/>
      <c r="G448" s="36">
        <f t="shared" si="240"/>
        <v>198.06</v>
      </c>
      <c r="H448" s="37">
        <f t="shared" si="241"/>
        <v>198.06</v>
      </c>
      <c r="I448" s="2218">
        <f>面积清单!E437</f>
        <v>198.06</v>
      </c>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3"/>
      <c r="AV448" s="1798">
        <f t="shared" si="243"/>
        <v>0</v>
      </c>
      <c r="AW448" s="1798">
        <f t="shared" si="244"/>
        <v>0</v>
      </c>
      <c r="AX448" s="1798" t="str">
        <f t="shared" si="245"/>
        <v>7-309</v>
      </c>
      <c r="AY448" s="41">
        <f t="shared" si="246"/>
        <v>67.989999999999995</v>
      </c>
      <c r="AZ448" s="34">
        <f t="shared" si="247"/>
        <v>198.06</v>
      </c>
      <c r="BA448" s="34">
        <f t="shared" si="248"/>
        <v>198.06</v>
      </c>
      <c r="BB448" s="34">
        <f t="shared" si="249"/>
        <v>198.06</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1274" t="str">
        <f>面积清单!B438</f>
        <v>7-310</v>
      </c>
      <c r="D449" s="2217" t="s">
        <v>3658</v>
      </c>
      <c r="E449" s="34">
        <f t="shared" si="239"/>
        <v>60.07</v>
      </c>
      <c r="F449" s="35"/>
      <c r="G449" s="36">
        <f t="shared" si="240"/>
        <v>226.35</v>
      </c>
      <c r="H449" s="37">
        <f t="shared" si="241"/>
        <v>226.35</v>
      </c>
      <c r="I449" s="2218">
        <f>面积清单!E438</f>
        <v>226.35</v>
      </c>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3"/>
      <c r="AV449" s="1798">
        <f t="shared" si="243"/>
        <v>0</v>
      </c>
      <c r="AW449" s="1798">
        <f t="shared" si="244"/>
        <v>0</v>
      </c>
      <c r="AX449" s="1798" t="str">
        <f t="shared" si="245"/>
        <v>7-310</v>
      </c>
      <c r="AY449" s="41">
        <f t="shared" si="246"/>
        <v>77.7</v>
      </c>
      <c r="AZ449" s="34">
        <f t="shared" si="247"/>
        <v>226.35</v>
      </c>
      <c r="BA449" s="34">
        <f t="shared" si="248"/>
        <v>226.35</v>
      </c>
      <c r="BB449" s="34">
        <f t="shared" si="249"/>
        <v>226.35</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1274" t="str">
        <f>面积清单!B439</f>
        <v>7-311</v>
      </c>
      <c r="D450" s="2217" t="s">
        <v>3658</v>
      </c>
      <c r="E450" s="34">
        <f t="shared" si="239"/>
        <v>12.57</v>
      </c>
      <c r="F450" s="35"/>
      <c r="G450" s="36">
        <f t="shared" si="240"/>
        <v>47.36</v>
      </c>
      <c r="H450" s="37">
        <f t="shared" si="241"/>
        <v>47.36</v>
      </c>
      <c r="I450" s="2218">
        <f>面积清单!E439</f>
        <v>47.36</v>
      </c>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3"/>
      <c r="AV450" s="1798">
        <f t="shared" si="243"/>
        <v>0</v>
      </c>
      <c r="AW450" s="1798">
        <f t="shared" si="244"/>
        <v>0</v>
      </c>
      <c r="AX450" s="1798" t="str">
        <f t="shared" si="245"/>
        <v>7-311</v>
      </c>
      <c r="AY450" s="41">
        <f t="shared" si="246"/>
        <v>16.260000000000002</v>
      </c>
      <c r="AZ450" s="34">
        <f t="shared" si="247"/>
        <v>47.36</v>
      </c>
      <c r="BA450" s="34">
        <f t="shared" si="248"/>
        <v>47.36</v>
      </c>
      <c r="BB450" s="34">
        <f t="shared" si="249"/>
        <v>47.36</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1274" t="str">
        <f>面积清单!B440</f>
        <v>7-312</v>
      </c>
      <c r="D451" s="2217" t="s">
        <v>3658</v>
      </c>
      <c r="E451" s="34">
        <f t="shared" si="239"/>
        <v>19.45</v>
      </c>
      <c r="F451" s="35"/>
      <c r="G451" s="36">
        <f t="shared" si="240"/>
        <v>73.3</v>
      </c>
      <c r="H451" s="37">
        <f t="shared" si="241"/>
        <v>73.3</v>
      </c>
      <c r="I451" s="2218">
        <f>面积清单!E440</f>
        <v>73.3</v>
      </c>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3"/>
      <c r="AV451" s="1798">
        <f t="shared" si="243"/>
        <v>0</v>
      </c>
      <c r="AW451" s="1798">
        <f t="shared" si="244"/>
        <v>0</v>
      </c>
      <c r="AX451" s="1798" t="str">
        <f t="shared" si="245"/>
        <v>7-312</v>
      </c>
      <c r="AY451" s="41">
        <f t="shared" si="246"/>
        <v>25.16</v>
      </c>
      <c r="AZ451" s="34">
        <f t="shared" si="247"/>
        <v>73.3</v>
      </c>
      <c r="BA451" s="34">
        <f t="shared" si="248"/>
        <v>73.3</v>
      </c>
      <c r="BB451" s="34">
        <f t="shared" si="249"/>
        <v>73.3</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1274" t="str">
        <f>面积清单!B441</f>
        <v>7-313</v>
      </c>
      <c r="D452" s="2217" t="s">
        <v>3658</v>
      </c>
      <c r="E452" s="34">
        <f t="shared" si="239"/>
        <v>34.5</v>
      </c>
      <c r="F452" s="35"/>
      <c r="G452" s="36">
        <f t="shared" si="240"/>
        <v>130.02000000000001</v>
      </c>
      <c r="H452" s="37">
        <f t="shared" si="241"/>
        <v>130.02000000000001</v>
      </c>
      <c r="I452" s="2218">
        <f>面积清单!E441</f>
        <v>130.02000000000001</v>
      </c>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3"/>
      <c r="AV452" s="1798">
        <f t="shared" si="243"/>
        <v>0</v>
      </c>
      <c r="AW452" s="1798">
        <f t="shared" si="244"/>
        <v>0</v>
      </c>
      <c r="AX452" s="1798" t="str">
        <f t="shared" si="245"/>
        <v>7-313</v>
      </c>
      <c r="AY452" s="41">
        <f t="shared" si="246"/>
        <v>44.63</v>
      </c>
      <c r="AZ452" s="34">
        <f t="shared" si="247"/>
        <v>130.02000000000001</v>
      </c>
      <c r="BA452" s="34">
        <f t="shared" si="248"/>
        <v>130.02000000000001</v>
      </c>
      <c r="BB452" s="34">
        <f t="shared" si="249"/>
        <v>130.02000000000001</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1274" t="str">
        <f>面积清单!B442</f>
        <v>7-401</v>
      </c>
      <c r="D453" s="2217" t="s">
        <v>3658</v>
      </c>
      <c r="E453" s="34">
        <f t="shared" si="239"/>
        <v>19.45</v>
      </c>
      <c r="F453" s="35"/>
      <c r="G453" s="36">
        <f t="shared" si="240"/>
        <v>73.3</v>
      </c>
      <c r="H453" s="37">
        <f t="shared" si="241"/>
        <v>73.3</v>
      </c>
      <c r="I453" s="2218">
        <f>面积清单!E442</f>
        <v>73.3</v>
      </c>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3"/>
      <c r="AV453" s="1798">
        <f t="shared" si="243"/>
        <v>0</v>
      </c>
      <c r="AW453" s="1798">
        <f t="shared" si="244"/>
        <v>0</v>
      </c>
      <c r="AX453" s="1798" t="str">
        <f t="shared" si="245"/>
        <v>7-401</v>
      </c>
      <c r="AY453" s="41">
        <f t="shared" si="246"/>
        <v>25.16</v>
      </c>
      <c r="AZ453" s="34">
        <f t="shared" si="247"/>
        <v>73.3</v>
      </c>
      <c r="BA453" s="34">
        <f t="shared" si="248"/>
        <v>73.3</v>
      </c>
      <c r="BB453" s="34">
        <f t="shared" si="249"/>
        <v>73.3</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1274" t="str">
        <f>面积清单!B443</f>
        <v>7-402</v>
      </c>
      <c r="D454" s="2217" t="s">
        <v>3658</v>
      </c>
      <c r="E454" s="34">
        <f t="shared" si="239"/>
        <v>12.57</v>
      </c>
      <c r="F454" s="35"/>
      <c r="G454" s="36">
        <f t="shared" si="240"/>
        <v>47.36</v>
      </c>
      <c r="H454" s="37">
        <f t="shared" si="241"/>
        <v>47.36</v>
      </c>
      <c r="I454" s="2218">
        <f>面积清单!E443</f>
        <v>47.36</v>
      </c>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3"/>
      <c r="AV454" s="1798">
        <f t="shared" si="243"/>
        <v>0</v>
      </c>
      <c r="AW454" s="1798">
        <f t="shared" si="244"/>
        <v>0</v>
      </c>
      <c r="AX454" s="1798" t="str">
        <f t="shared" si="245"/>
        <v>7-402</v>
      </c>
      <c r="AY454" s="41">
        <f t="shared" si="246"/>
        <v>16.260000000000002</v>
      </c>
      <c r="AZ454" s="34">
        <f t="shared" si="247"/>
        <v>47.36</v>
      </c>
      <c r="BA454" s="34">
        <f t="shared" si="248"/>
        <v>47.36</v>
      </c>
      <c r="BB454" s="34">
        <f t="shared" si="249"/>
        <v>47.36</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1274" t="str">
        <f>面积清单!B444</f>
        <v>7-403</v>
      </c>
      <c r="D455" s="2217" t="s">
        <v>3658</v>
      </c>
      <c r="E455" s="34">
        <f t="shared" si="239"/>
        <v>25.14</v>
      </c>
      <c r="F455" s="35"/>
      <c r="G455" s="36">
        <f t="shared" si="240"/>
        <v>94.72</v>
      </c>
      <c r="H455" s="37">
        <f t="shared" si="241"/>
        <v>94.72</v>
      </c>
      <c r="I455" s="2218">
        <f>面积清单!E444</f>
        <v>94.72</v>
      </c>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3"/>
      <c r="AV455" s="1798">
        <f t="shared" si="243"/>
        <v>0</v>
      </c>
      <c r="AW455" s="1798">
        <f t="shared" si="244"/>
        <v>0</v>
      </c>
      <c r="AX455" s="1798" t="str">
        <f t="shared" si="245"/>
        <v>7-403</v>
      </c>
      <c r="AY455" s="41">
        <f t="shared" si="246"/>
        <v>32.520000000000003</v>
      </c>
      <c r="AZ455" s="34">
        <f t="shared" si="247"/>
        <v>94.72</v>
      </c>
      <c r="BA455" s="34">
        <f t="shared" si="248"/>
        <v>94.72</v>
      </c>
      <c r="BB455" s="34">
        <f t="shared" si="249"/>
        <v>94.72</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1274" t="str">
        <f>面积清单!B445</f>
        <v>7-404</v>
      </c>
      <c r="D456" s="2217" t="s">
        <v>3658</v>
      </c>
      <c r="E456" s="34">
        <f t="shared" si="239"/>
        <v>25.14</v>
      </c>
      <c r="F456" s="35"/>
      <c r="G456" s="36">
        <f t="shared" si="240"/>
        <v>94.72</v>
      </c>
      <c r="H456" s="37">
        <f t="shared" si="241"/>
        <v>94.72</v>
      </c>
      <c r="I456" s="2218">
        <f>面积清单!E445</f>
        <v>94.72</v>
      </c>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3"/>
      <c r="AV456" s="1798">
        <f t="shared" si="243"/>
        <v>0</v>
      </c>
      <c r="AW456" s="1798">
        <f t="shared" si="244"/>
        <v>0</v>
      </c>
      <c r="AX456" s="1798" t="str">
        <f t="shared" si="245"/>
        <v>7-404</v>
      </c>
      <c r="AY456" s="41">
        <f t="shared" si="246"/>
        <v>32.520000000000003</v>
      </c>
      <c r="AZ456" s="34">
        <f t="shared" si="247"/>
        <v>94.72</v>
      </c>
      <c r="BA456" s="34">
        <f t="shared" si="248"/>
        <v>94.72</v>
      </c>
      <c r="BB456" s="34">
        <f t="shared" si="249"/>
        <v>94.72</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1274" t="str">
        <f>面积清单!B446</f>
        <v>7-405</v>
      </c>
      <c r="D457" s="2217" t="s">
        <v>3658</v>
      </c>
      <c r="E457" s="34">
        <f t="shared" si="239"/>
        <v>25.14</v>
      </c>
      <c r="F457" s="35"/>
      <c r="G457" s="36">
        <f t="shared" si="240"/>
        <v>94.72</v>
      </c>
      <c r="H457" s="37">
        <f t="shared" si="241"/>
        <v>94.72</v>
      </c>
      <c r="I457" s="2218">
        <f>面积清单!E446</f>
        <v>94.72</v>
      </c>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3"/>
      <c r="AV457" s="1798">
        <f t="shared" si="243"/>
        <v>0</v>
      </c>
      <c r="AW457" s="1798">
        <f t="shared" si="244"/>
        <v>0</v>
      </c>
      <c r="AX457" s="1798" t="str">
        <f t="shared" si="245"/>
        <v>7-405</v>
      </c>
      <c r="AY457" s="41">
        <f t="shared" si="246"/>
        <v>32.520000000000003</v>
      </c>
      <c r="AZ457" s="34">
        <f t="shared" si="247"/>
        <v>94.72</v>
      </c>
      <c r="BA457" s="34">
        <f t="shared" si="248"/>
        <v>94.72</v>
      </c>
      <c r="BB457" s="34">
        <f t="shared" si="249"/>
        <v>94.72</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1274" t="str">
        <f>面积清单!B447</f>
        <v>7-406</v>
      </c>
      <c r="D458" s="2217" t="s">
        <v>3658</v>
      </c>
      <c r="E458" s="34">
        <f t="shared" si="239"/>
        <v>25.14</v>
      </c>
      <c r="F458" s="35"/>
      <c r="G458" s="36">
        <f t="shared" si="240"/>
        <v>94.72</v>
      </c>
      <c r="H458" s="37">
        <f t="shared" si="241"/>
        <v>94.72</v>
      </c>
      <c r="I458" s="2218">
        <f>面积清单!E447</f>
        <v>94.72</v>
      </c>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3"/>
      <c r="AV458" s="1798">
        <f t="shared" si="243"/>
        <v>0</v>
      </c>
      <c r="AW458" s="1798">
        <f t="shared" si="244"/>
        <v>0</v>
      </c>
      <c r="AX458" s="1798" t="str">
        <f t="shared" si="245"/>
        <v>7-406</v>
      </c>
      <c r="AY458" s="41">
        <f t="shared" si="246"/>
        <v>32.520000000000003</v>
      </c>
      <c r="AZ458" s="34">
        <f t="shared" si="247"/>
        <v>94.72</v>
      </c>
      <c r="BA458" s="34">
        <f t="shared" si="248"/>
        <v>94.72</v>
      </c>
      <c r="BB458" s="34">
        <f t="shared" si="249"/>
        <v>94.72</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1274" t="str">
        <f>面积清单!B448</f>
        <v>7-407</v>
      </c>
      <c r="D459" s="2217" t="s">
        <v>3658</v>
      </c>
      <c r="E459" s="34">
        <f t="shared" si="239"/>
        <v>52.56</v>
      </c>
      <c r="F459" s="35"/>
      <c r="G459" s="36">
        <f t="shared" si="240"/>
        <v>198.06</v>
      </c>
      <c r="H459" s="37">
        <f t="shared" si="241"/>
        <v>198.06</v>
      </c>
      <c r="I459" s="2218">
        <f>面积清单!E448</f>
        <v>198.06</v>
      </c>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3"/>
      <c r="AV459" s="1798">
        <f t="shared" si="243"/>
        <v>0</v>
      </c>
      <c r="AW459" s="1798">
        <f t="shared" si="244"/>
        <v>0</v>
      </c>
      <c r="AX459" s="1798" t="str">
        <f t="shared" si="245"/>
        <v>7-407</v>
      </c>
      <c r="AY459" s="41">
        <f t="shared" si="246"/>
        <v>67.989999999999995</v>
      </c>
      <c r="AZ459" s="34">
        <f t="shared" si="247"/>
        <v>198.06</v>
      </c>
      <c r="BA459" s="34">
        <f t="shared" si="248"/>
        <v>198.06</v>
      </c>
      <c r="BB459" s="34">
        <f t="shared" si="249"/>
        <v>198.06</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1274" t="str">
        <f>面积清单!B449</f>
        <v>7-408</v>
      </c>
      <c r="D460" s="2217" t="s">
        <v>3658</v>
      </c>
      <c r="E460" s="34">
        <f t="shared" si="239"/>
        <v>52.56</v>
      </c>
      <c r="F460" s="35"/>
      <c r="G460" s="36">
        <f t="shared" si="240"/>
        <v>198.06</v>
      </c>
      <c r="H460" s="37">
        <f t="shared" si="241"/>
        <v>198.06</v>
      </c>
      <c r="I460" s="2218">
        <f>面积清单!E449</f>
        <v>198.06</v>
      </c>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3"/>
      <c r="AV460" s="1798">
        <f t="shared" si="243"/>
        <v>0</v>
      </c>
      <c r="AW460" s="1798">
        <f t="shared" si="244"/>
        <v>0</v>
      </c>
      <c r="AX460" s="1798" t="str">
        <f t="shared" si="245"/>
        <v>7-408</v>
      </c>
      <c r="AY460" s="41">
        <f t="shared" si="246"/>
        <v>67.989999999999995</v>
      </c>
      <c r="AZ460" s="34">
        <f t="shared" si="247"/>
        <v>198.06</v>
      </c>
      <c r="BA460" s="34">
        <f t="shared" si="248"/>
        <v>198.06</v>
      </c>
      <c r="BB460" s="34">
        <f t="shared" si="249"/>
        <v>198.06</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1274" t="str">
        <f>面积清单!B450</f>
        <v>7-409</v>
      </c>
      <c r="D461" s="2217" t="s">
        <v>3658</v>
      </c>
      <c r="E461" s="34">
        <f t="shared" si="239"/>
        <v>52.56</v>
      </c>
      <c r="F461" s="35"/>
      <c r="G461" s="36">
        <f t="shared" si="240"/>
        <v>198.06</v>
      </c>
      <c r="H461" s="37">
        <f t="shared" si="241"/>
        <v>198.06</v>
      </c>
      <c r="I461" s="2218">
        <f>面积清单!E450</f>
        <v>198.06</v>
      </c>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3"/>
      <c r="AV461" s="1798">
        <f t="shared" si="243"/>
        <v>0</v>
      </c>
      <c r="AW461" s="1798">
        <f t="shared" si="244"/>
        <v>0</v>
      </c>
      <c r="AX461" s="1798" t="str">
        <f t="shared" si="245"/>
        <v>7-409</v>
      </c>
      <c r="AY461" s="41">
        <f t="shared" si="246"/>
        <v>67.989999999999995</v>
      </c>
      <c r="AZ461" s="34">
        <f t="shared" si="247"/>
        <v>198.06</v>
      </c>
      <c r="BA461" s="34">
        <f t="shared" si="248"/>
        <v>198.06</v>
      </c>
      <c r="BB461" s="34">
        <f t="shared" si="249"/>
        <v>198.06</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1274" t="str">
        <f>面积清单!B451</f>
        <v>7-410</v>
      </c>
      <c r="D462" s="2217" t="s">
        <v>3658</v>
      </c>
      <c r="E462" s="34">
        <f t="shared" si="239"/>
        <v>60.07</v>
      </c>
      <c r="F462" s="35"/>
      <c r="G462" s="36">
        <f t="shared" si="240"/>
        <v>226.35</v>
      </c>
      <c r="H462" s="37">
        <f t="shared" si="241"/>
        <v>226.35</v>
      </c>
      <c r="I462" s="2218">
        <f>面积清单!E451</f>
        <v>226.35</v>
      </c>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3"/>
      <c r="AV462" s="1798">
        <f t="shared" si="243"/>
        <v>0</v>
      </c>
      <c r="AW462" s="1798">
        <f t="shared" si="244"/>
        <v>0</v>
      </c>
      <c r="AX462" s="1798" t="str">
        <f t="shared" si="245"/>
        <v>7-410</v>
      </c>
      <c r="AY462" s="41">
        <f t="shared" si="246"/>
        <v>77.7</v>
      </c>
      <c r="AZ462" s="34">
        <f t="shared" si="247"/>
        <v>226.35</v>
      </c>
      <c r="BA462" s="34">
        <f t="shared" si="248"/>
        <v>226.35</v>
      </c>
      <c r="BB462" s="34">
        <f t="shared" si="249"/>
        <v>226.35</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1274" t="str">
        <f>面积清单!B452</f>
        <v>7-411</v>
      </c>
      <c r="D463" s="2217" t="s">
        <v>3658</v>
      </c>
      <c r="E463" s="34">
        <f t="shared" si="239"/>
        <v>12.57</v>
      </c>
      <c r="F463" s="35"/>
      <c r="G463" s="36">
        <f t="shared" si="240"/>
        <v>47.36</v>
      </c>
      <c r="H463" s="37">
        <f t="shared" si="241"/>
        <v>47.36</v>
      </c>
      <c r="I463" s="2218">
        <f>面积清单!E452</f>
        <v>47.36</v>
      </c>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3"/>
      <c r="AV463" s="1798">
        <f t="shared" si="243"/>
        <v>0</v>
      </c>
      <c r="AW463" s="1798">
        <f t="shared" si="244"/>
        <v>0</v>
      </c>
      <c r="AX463" s="1798" t="str">
        <f t="shared" si="245"/>
        <v>7-411</v>
      </c>
      <c r="AY463" s="41">
        <f t="shared" si="246"/>
        <v>16.260000000000002</v>
      </c>
      <c r="AZ463" s="34">
        <f t="shared" si="247"/>
        <v>47.36</v>
      </c>
      <c r="BA463" s="34">
        <f t="shared" si="248"/>
        <v>47.36</v>
      </c>
      <c r="BB463" s="34">
        <f t="shared" si="249"/>
        <v>47.36</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1274" t="str">
        <f>面积清单!B453</f>
        <v>7-412</v>
      </c>
      <c r="D464" s="2217" t="s">
        <v>3658</v>
      </c>
      <c r="E464" s="34">
        <f t="shared" si="239"/>
        <v>19.45</v>
      </c>
      <c r="F464" s="35"/>
      <c r="G464" s="36">
        <f t="shared" si="240"/>
        <v>73.3</v>
      </c>
      <c r="H464" s="37">
        <f t="shared" si="241"/>
        <v>73.3</v>
      </c>
      <c r="I464" s="2218">
        <f>面积清单!E453</f>
        <v>73.3</v>
      </c>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3"/>
      <c r="AV464" s="1798">
        <f t="shared" si="243"/>
        <v>0</v>
      </c>
      <c r="AW464" s="1798">
        <f t="shared" si="244"/>
        <v>0</v>
      </c>
      <c r="AX464" s="1798" t="str">
        <f t="shared" si="245"/>
        <v>7-412</v>
      </c>
      <c r="AY464" s="41">
        <f t="shared" si="246"/>
        <v>25.16</v>
      </c>
      <c r="AZ464" s="34">
        <f t="shared" si="247"/>
        <v>73.3</v>
      </c>
      <c r="BA464" s="34">
        <f t="shared" si="248"/>
        <v>73.3</v>
      </c>
      <c r="BB464" s="34">
        <f t="shared" si="249"/>
        <v>73.3</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1274" t="str">
        <f>面积清单!B454</f>
        <v>7-413</v>
      </c>
      <c r="D465" s="2217" t="s">
        <v>3658</v>
      </c>
      <c r="E465" s="34">
        <f t="shared" si="239"/>
        <v>34.5</v>
      </c>
      <c r="F465" s="35"/>
      <c r="G465" s="36">
        <f t="shared" si="240"/>
        <v>130.02000000000001</v>
      </c>
      <c r="H465" s="37">
        <f t="shared" si="241"/>
        <v>130.02000000000001</v>
      </c>
      <c r="I465" s="2218">
        <f>面积清单!E454</f>
        <v>130.02000000000001</v>
      </c>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3"/>
      <c r="AV465" s="1798">
        <f t="shared" si="243"/>
        <v>0</v>
      </c>
      <c r="AW465" s="1798">
        <f t="shared" si="244"/>
        <v>0</v>
      </c>
      <c r="AX465" s="1798" t="str">
        <f t="shared" si="245"/>
        <v>7-413</v>
      </c>
      <c r="AY465" s="41">
        <f t="shared" si="246"/>
        <v>44.63</v>
      </c>
      <c r="AZ465" s="34">
        <f t="shared" si="247"/>
        <v>130.02000000000001</v>
      </c>
      <c r="BA465" s="34">
        <f t="shared" si="248"/>
        <v>130.02000000000001</v>
      </c>
      <c r="BB465" s="34">
        <f t="shared" si="249"/>
        <v>130.02000000000001</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1274" t="str">
        <f>面积清单!B455</f>
        <v>7-501</v>
      </c>
      <c r="D466" s="2217" t="s">
        <v>3658</v>
      </c>
      <c r="E466" s="34">
        <f t="shared" si="239"/>
        <v>19.45</v>
      </c>
      <c r="F466" s="35"/>
      <c r="G466" s="36">
        <f t="shared" si="240"/>
        <v>73.3</v>
      </c>
      <c r="H466" s="37">
        <f t="shared" si="241"/>
        <v>73.3</v>
      </c>
      <c r="I466" s="2218">
        <f>面积清单!E455</f>
        <v>73.3</v>
      </c>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3"/>
      <c r="AV466" s="1798">
        <f t="shared" si="243"/>
        <v>0</v>
      </c>
      <c r="AW466" s="1798">
        <f t="shared" si="244"/>
        <v>0</v>
      </c>
      <c r="AX466" s="1798" t="str">
        <f t="shared" si="245"/>
        <v>7-501</v>
      </c>
      <c r="AY466" s="41">
        <f t="shared" si="246"/>
        <v>25.16</v>
      </c>
      <c r="AZ466" s="34">
        <f t="shared" si="247"/>
        <v>73.3</v>
      </c>
      <c r="BA466" s="34">
        <f t="shared" si="248"/>
        <v>73.3</v>
      </c>
      <c r="BB466" s="34">
        <f t="shared" si="249"/>
        <v>73.3</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1274" t="str">
        <f>面积清单!B456</f>
        <v>7-502</v>
      </c>
      <c r="D467" s="2217" t="s">
        <v>3658</v>
      </c>
      <c r="E467" s="34">
        <f t="shared" si="239"/>
        <v>12.57</v>
      </c>
      <c r="F467" s="35"/>
      <c r="G467" s="36">
        <f t="shared" si="240"/>
        <v>47.36</v>
      </c>
      <c r="H467" s="37">
        <f t="shared" si="241"/>
        <v>47.36</v>
      </c>
      <c r="I467" s="2218">
        <f>面积清单!E456</f>
        <v>47.36</v>
      </c>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3"/>
      <c r="AV467" s="1798">
        <f t="shared" si="243"/>
        <v>0</v>
      </c>
      <c r="AW467" s="1798">
        <f t="shared" si="244"/>
        <v>0</v>
      </c>
      <c r="AX467" s="1798" t="str">
        <f t="shared" si="245"/>
        <v>7-502</v>
      </c>
      <c r="AY467" s="41">
        <f t="shared" si="246"/>
        <v>16.260000000000002</v>
      </c>
      <c r="AZ467" s="34">
        <f t="shared" si="247"/>
        <v>47.36</v>
      </c>
      <c r="BA467" s="34">
        <f t="shared" si="248"/>
        <v>47.36</v>
      </c>
      <c r="BB467" s="34">
        <f t="shared" si="249"/>
        <v>47.36</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1274" t="str">
        <f>面积清单!B457</f>
        <v>7-503</v>
      </c>
      <c r="D468" s="2217" t="s">
        <v>3658</v>
      </c>
      <c r="E468" s="34">
        <f t="shared" si="239"/>
        <v>25.14</v>
      </c>
      <c r="F468" s="35"/>
      <c r="G468" s="36">
        <f t="shared" si="240"/>
        <v>94.72</v>
      </c>
      <c r="H468" s="37">
        <f t="shared" si="241"/>
        <v>94.72</v>
      </c>
      <c r="I468" s="2218">
        <f>面积清单!E457</f>
        <v>94.72</v>
      </c>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3"/>
      <c r="AV468" s="1798">
        <f t="shared" si="243"/>
        <v>0</v>
      </c>
      <c r="AW468" s="1798">
        <f t="shared" si="244"/>
        <v>0</v>
      </c>
      <c r="AX468" s="1798" t="str">
        <f t="shared" si="245"/>
        <v>7-503</v>
      </c>
      <c r="AY468" s="41">
        <f t="shared" si="246"/>
        <v>32.520000000000003</v>
      </c>
      <c r="AZ468" s="34">
        <f t="shared" si="247"/>
        <v>94.72</v>
      </c>
      <c r="BA468" s="34">
        <f t="shared" si="248"/>
        <v>94.72</v>
      </c>
      <c r="BB468" s="34">
        <f t="shared" si="249"/>
        <v>94.72</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1274" t="str">
        <f>面积清单!B458</f>
        <v>7-504</v>
      </c>
      <c r="D469" s="2217" t="s">
        <v>3658</v>
      </c>
      <c r="E469" s="34">
        <f t="shared" si="239"/>
        <v>25.14</v>
      </c>
      <c r="F469" s="35"/>
      <c r="G469" s="36">
        <f t="shared" si="240"/>
        <v>94.72</v>
      </c>
      <c r="H469" s="37">
        <f t="shared" si="241"/>
        <v>94.72</v>
      </c>
      <c r="I469" s="2218">
        <f>面积清单!E458</f>
        <v>94.72</v>
      </c>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3"/>
      <c r="AV469" s="1798">
        <f t="shared" si="243"/>
        <v>0</v>
      </c>
      <c r="AW469" s="1798">
        <f t="shared" si="244"/>
        <v>0</v>
      </c>
      <c r="AX469" s="1798" t="str">
        <f t="shared" si="245"/>
        <v>7-504</v>
      </c>
      <c r="AY469" s="41">
        <f t="shared" si="246"/>
        <v>32.520000000000003</v>
      </c>
      <c r="AZ469" s="34">
        <f t="shared" si="247"/>
        <v>94.72</v>
      </c>
      <c r="BA469" s="34">
        <f t="shared" si="248"/>
        <v>94.72</v>
      </c>
      <c r="BB469" s="34">
        <f t="shared" si="249"/>
        <v>94.72</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1274" t="str">
        <f>面积清单!B459</f>
        <v>7-505</v>
      </c>
      <c r="D470" s="2217" t="s">
        <v>3658</v>
      </c>
      <c r="E470" s="34">
        <f t="shared" si="239"/>
        <v>25.14</v>
      </c>
      <c r="F470" s="35"/>
      <c r="G470" s="36">
        <f t="shared" si="240"/>
        <v>94.72</v>
      </c>
      <c r="H470" s="37">
        <f t="shared" si="241"/>
        <v>94.72</v>
      </c>
      <c r="I470" s="2218">
        <f>面积清单!E459</f>
        <v>94.72</v>
      </c>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3"/>
      <c r="AV470" s="1798">
        <f t="shared" si="243"/>
        <v>0</v>
      </c>
      <c r="AW470" s="1798">
        <f t="shared" si="244"/>
        <v>0</v>
      </c>
      <c r="AX470" s="1798" t="str">
        <f t="shared" si="245"/>
        <v>7-505</v>
      </c>
      <c r="AY470" s="41">
        <f t="shared" si="246"/>
        <v>32.520000000000003</v>
      </c>
      <c r="AZ470" s="34">
        <f t="shared" si="247"/>
        <v>94.72</v>
      </c>
      <c r="BA470" s="34">
        <f t="shared" si="248"/>
        <v>94.72</v>
      </c>
      <c r="BB470" s="34">
        <f t="shared" si="249"/>
        <v>94.72</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1274" t="str">
        <f>面积清单!B460</f>
        <v>7-506</v>
      </c>
      <c r="D471" s="2217" t="s">
        <v>3658</v>
      </c>
      <c r="E471" s="34">
        <f t="shared" si="239"/>
        <v>25.14</v>
      </c>
      <c r="F471" s="35"/>
      <c r="G471" s="36">
        <f t="shared" si="240"/>
        <v>94.72</v>
      </c>
      <c r="H471" s="37">
        <f t="shared" si="241"/>
        <v>94.72</v>
      </c>
      <c r="I471" s="2218">
        <f>面积清单!E460</f>
        <v>94.72</v>
      </c>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3"/>
      <c r="AV471" s="1798">
        <f t="shared" si="243"/>
        <v>0</v>
      </c>
      <c r="AW471" s="1798">
        <f t="shared" si="244"/>
        <v>0</v>
      </c>
      <c r="AX471" s="1798" t="str">
        <f t="shared" si="245"/>
        <v>7-506</v>
      </c>
      <c r="AY471" s="41">
        <f t="shared" si="246"/>
        <v>32.520000000000003</v>
      </c>
      <c r="AZ471" s="34">
        <f t="shared" si="247"/>
        <v>94.72</v>
      </c>
      <c r="BA471" s="34">
        <f t="shared" si="248"/>
        <v>94.72</v>
      </c>
      <c r="BB471" s="34">
        <f t="shared" si="249"/>
        <v>94.72</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1274" t="str">
        <f>面积清单!B461</f>
        <v>7-507</v>
      </c>
      <c r="D472" s="2217" t="s">
        <v>3658</v>
      </c>
      <c r="E472" s="34">
        <f t="shared" si="239"/>
        <v>52.56</v>
      </c>
      <c r="F472" s="35"/>
      <c r="G472" s="36">
        <f t="shared" si="240"/>
        <v>198.06</v>
      </c>
      <c r="H472" s="37">
        <f t="shared" si="241"/>
        <v>198.06</v>
      </c>
      <c r="I472" s="2218">
        <f>面积清单!E461</f>
        <v>198.06</v>
      </c>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3"/>
      <c r="AV472" s="1798">
        <f t="shared" si="243"/>
        <v>0</v>
      </c>
      <c r="AW472" s="1798">
        <f t="shared" si="244"/>
        <v>0</v>
      </c>
      <c r="AX472" s="1798" t="str">
        <f t="shared" si="245"/>
        <v>7-507</v>
      </c>
      <c r="AY472" s="41">
        <f t="shared" si="246"/>
        <v>67.989999999999995</v>
      </c>
      <c r="AZ472" s="34">
        <f t="shared" si="247"/>
        <v>198.06</v>
      </c>
      <c r="BA472" s="34">
        <f t="shared" si="248"/>
        <v>198.06</v>
      </c>
      <c r="BB472" s="34">
        <f t="shared" si="249"/>
        <v>198.06</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1274" t="str">
        <f>面积清单!B462</f>
        <v>7-508</v>
      </c>
      <c r="D473" s="2217" t="s">
        <v>3658</v>
      </c>
      <c r="E473" s="34">
        <f t="shared" si="239"/>
        <v>52.56</v>
      </c>
      <c r="F473" s="35"/>
      <c r="G473" s="36">
        <f t="shared" si="240"/>
        <v>198.06</v>
      </c>
      <c r="H473" s="37">
        <f t="shared" si="241"/>
        <v>198.06</v>
      </c>
      <c r="I473" s="2218">
        <f>面积清单!E462</f>
        <v>198.06</v>
      </c>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3"/>
      <c r="AV473" s="1798">
        <f t="shared" si="243"/>
        <v>0</v>
      </c>
      <c r="AW473" s="1798">
        <f t="shared" si="244"/>
        <v>0</v>
      </c>
      <c r="AX473" s="1798" t="str">
        <f t="shared" si="245"/>
        <v>7-508</v>
      </c>
      <c r="AY473" s="41">
        <f t="shared" si="246"/>
        <v>67.989999999999995</v>
      </c>
      <c r="AZ473" s="34">
        <f t="shared" si="247"/>
        <v>198.06</v>
      </c>
      <c r="BA473" s="34">
        <f t="shared" si="248"/>
        <v>198.06</v>
      </c>
      <c r="BB473" s="34">
        <f t="shared" si="249"/>
        <v>198.06</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1274" t="str">
        <f>面积清单!B463</f>
        <v>7-509</v>
      </c>
      <c r="D474" s="2217" t="s">
        <v>3658</v>
      </c>
      <c r="E474" s="34">
        <f t="shared" si="239"/>
        <v>52.56</v>
      </c>
      <c r="F474" s="35"/>
      <c r="G474" s="36">
        <f t="shared" si="240"/>
        <v>198.06</v>
      </c>
      <c r="H474" s="37">
        <f t="shared" si="241"/>
        <v>198.06</v>
      </c>
      <c r="I474" s="2218">
        <f>面积清单!E463</f>
        <v>198.06</v>
      </c>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3"/>
      <c r="AV474" s="1798">
        <f t="shared" si="243"/>
        <v>0</v>
      </c>
      <c r="AW474" s="1798">
        <f t="shared" si="244"/>
        <v>0</v>
      </c>
      <c r="AX474" s="1798" t="str">
        <f t="shared" si="245"/>
        <v>7-509</v>
      </c>
      <c r="AY474" s="41">
        <f t="shared" si="246"/>
        <v>67.989999999999995</v>
      </c>
      <c r="AZ474" s="34">
        <f t="shared" si="247"/>
        <v>198.06</v>
      </c>
      <c r="BA474" s="34">
        <f t="shared" si="248"/>
        <v>198.06</v>
      </c>
      <c r="BB474" s="34">
        <f t="shared" si="249"/>
        <v>198.06</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1274" t="str">
        <f>面积清单!B464</f>
        <v>7-510</v>
      </c>
      <c r="D475" s="2217" t="s">
        <v>3658</v>
      </c>
      <c r="E475" s="34">
        <f t="shared" si="239"/>
        <v>60.07</v>
      </c>
      <c r="F475" s="35"/>
      <c r="G475" s="36">
        <f t="shared" si="240"/>
        <v>226.35</v>
      </c>
      <c r="H475" s="37">
        <f t="shared" si="241"/>
        <v>226.35</v>
      </c>
      <c r="I475" s="2218">
        <f>面积清单!E464</f>
        <v>226.35</v>
      </c>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3"/>
      <c r="AV475" s="1798">
        <f t="shared" si="243"/>
        <v>0</v>
      </c>
      <c r="AW475" s="1798">
        <f t="shared" si="244"/>
        <v>0</v>
      </c>
      <c r="AX475" s="1798" t="str">
        <f t="shared" si="245"/>
        <v>7-510</v>
      </c>
      <c r="AY475" s="41">
        <f t="shared" si="246"/>
        <v>77.7</v>
      </c>
      <c r="AZ475" s="34">
        <f t="shared" si="247"/>
        <v>226.35</v>
      </c>
      <c r="BA475" s="34">
        <f t="shared" si="248"/>
        <v>226.35</v>
      </c>
      <c r="BB475" s="34">
        <f t="shared" si="249"/>
        <v>226.35</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1274" t="str">
        <f>面积清单!B465</f>
        <v>7-511</v>
      </c>
      <c r="D476" s="2217" t="s">
        <v>3658</v>
      </c>
      <c r="E476" s="34">
        <f t="shared" si="239"/>
        <v>12.57</v>
      </c>
      <c r="F476" s="35"/>
      <c r="G476" s="36">
        <f t="shared" si="240"/>
        <v>47.36</v>
      </c>
      <c r="H476" s="37">
        <f t="shared" si="241"/>
        <v>47.36</v>
      </c>
      <c r="I476" s="2218">
        <f>面积清单!E465</f>
        <v>47.36</v>
      </c>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3"/>
      <c r="AV476" s="1798">
        <f t="shared" si="243"/>
        <v>0</v>
      </c>
      <c r="AW476" s="1798">
        <f t="shared" si="244"/>
        <v>0</v>
      </c>
      <c r="AX476" s="1798" t="str">
        <f t="shared" si="245"/>
        <v>7-511</v>
      </c>
      <c r="AY476" s="41">
        <f t="shared" si="246"/>
        <v>16.260000000000002</v>
      </c>
      <c r="AZ476" s="34">
        <f t="shared" si="247"/>
        <v>47.36</v>
      </c>
      <c r="BA476" s="34">
        <f t="shared" si="248"/>
        <v>47.36</v>
      </c>
      <c r="BB476" s="34">
        <f t="shared" si="249"/>
        <v>47.36</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1274" t="str">
        <f>面积清单!B466</f>
        <v>7-512</v>
      </c>
      <c r="D477" s="2217" t="s">
        <v>3658</v>
      </c>
      <c r="E477" s="34">
        <f t="shared" si="239"/>
        <v>19.45</v>
      </c>
      <c r="F477" s="35"/>
      <c r="G477" s="36">
        <f t="shared" si="240"/>
        <v>73.3</v>
      </c>
      <c r="H477" s="37">
        <f t="shared" si="241"/>
        <v>73.3</v>
      </c>
      <c r="I477" s="2218">
        <f>面积清单!E466</f>
        <v>73.3</v>
      </c>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3"/>
      <c r="AV477" s="1798">
        <f t="shared" si="243"/>
        <v>0</v>
      </c>
      <c r="AW477" s="1798">
        <f t="shared" si="244"/>
        <v>0</v>
      </c>
      <c r="AX477" s="1798" t="str">
        <f t="shared" si="245"/>
        <v>7-512</v>
      </c>
      <c r="AY477" s="41">
        <f t="shared" si="246"/>
        <v>25.16</v>
      </c>
      <c r="AZ477" s="34">
        <f t="shared" si="247"/>
        <v>73.3</v>
      </c>
      <c r="BA477" s="34">
        <f t="shared" si="248"/>
        <v>73.3</v>
      </c>
      <c r="BB477" s="34">
        <f t="shared" si="249"/>
        <v>73.3</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1274" t="str">
        <f>面积清单!B467</f>
        <v>7-513</v>
      </c>
      <c r="D478" s="2217" t="s">
        <v>3658</v>
      </c>
      <c r="E478" s="34">
        <f t="shared" si="239"/>
        <v>34.5</v>
      </c>
      <c r="F478" s="35"/>
      <c r="G478" s="36">
        <f t="shared" si="240"/>
        <v>130.02000000000001</v>
      </c>
      <c r="H478" s="37">
        <f t="shared" si="241"/>
        <v>130.02000000000001</v>
      </c>
      <c r="I478" s="2218">
        <f>面积清单!E467</f>
        <v>130.02000000000001</v>
      </c>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3"/>
      <c r="AV478" s="1798">
        <f t="shared" si="243"/>
        <v>0</v>
      </c>
      <c r="AW478" s="1798">
        <f t="shared" si="244"/>
        <v>0</v>
      </c>
      <c r="AX478" s="1798" t="str">
        <f t="shared" si="245"/>
        <v>7-513</v>
      </c>
      <c r="AY478" s="41">
        <f t="shared" si="246"/>
        <v>44.63</v>
      </c>
      <c r="AZ478" s="34">
        <f t="shared" si="247"/>
        <v>130.02000000000001</v>
      </c>
      <c r="BA478" s="34">
        <f t="shared" si="248"/>
        <v>130.02000000000001</v>
      </c>
      <c r="BB478" s="34">
        <f t="shared" si="249"/>
        <v>130.02000000000001</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1274" t="str">
        <f>面积清单!B468</f>
        <v>7-601</v>
      </c>
      <c r="D479" s="2217" t="s">
        <v>3658</v>
      </c>
      <c r="E479" s="34">
        <f t="shared" si="239"/>
        <v>20.309999999999999</v>
      </c>
      <c r="F479" s="35"/>
      <c r="G479" s="36">
        <f t="shared" si="240"/>
        <v>76.540000000000006</v>
      </c>
      <c r="H479" s="37">
        <f t="shared" si="241"/>
        <v>76.540000000000006</v>
      </c>
      <c r="I479" s="2218">
        <f>面积清单!E468</f>
        <v>76.540000000000006</v>
      </c>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3"/>
      <c r="AV479" s="1798">
        <f t="shared" si="243"/>
        <v>0</v>
      </c>
      <c r="AW479" s="1798">
        <f t="shared" si="244"/>
        <v>0</v>
      </c>
      <c r="AX479" s="1798" t="str">
        <f t="shared" si="245"/>
        <v>7-601</v>
      </c>
      <c r="AY479" s="41">
        <f t="shared" si="246"/>
        <v>26.28</v>
      </c>
      <c r="AZ479" s="34">
        <f t="shared" si="247"/>
        <v>76.540000000000006</v>
      </c>
      <c r="BA479" s="34">
        <f t="shared" si="248"/>
        <v>76.540000000000006</v>
      </c>
      <c r="BB479" s="34">
        <f t="shared" si="249"/>
        <v>76.540000000000006</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1274" t="str">
        <f>面积清单!B469</f>
        <v>7-602</v>
      </c>
      <c r="D480" s="2217" t="s">
        <v>3658</v>
      </c>
      <c r="E480" s="34">
        <f t="shared" si="239"/>
        <v>13.12</v>
      </c>
      <c r="F480" s="35"/>
      <c r="G480" s="36">
        <f t="shared" si="240"/>
        <v>49.45</v>
      </c>
      <c r="H480" s="37">
        <f t="shared" si="241"/>
        <v>49.45</v>
      </c>
      <c r="I480" s="2218">
        <f>面积清单!E469</f>
        <v>49.45</v>
      </c>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3"/>
      <c r="AV480" s="1798">
        <f t="shared" si="243"/>
        <v>0</v>
      </c>
      <c r="AW480" s="1798">
        <f t="shared" si="244"/>
        <v>0</v>
      </c>
      <c r="AX480" s="1798" t="str">
        <f t="shared" si="245"/>
        <v>7-602</v>
      </c>
      <c r="AY480" s="41">
        <f t="shared" si="246"/>
        <v>16.98</v>
      </c>
      <c r="AZ480" s="34">
        <f t="shared" si="247"/>
        <v>49.45</v>
      </c>
      <c r="BA480" s="34">
        <f t="shared" si="248"/>
        <v>49.45</v>
      </c>
      <c r="BB480" s="34">
        <f t="shared" si="249"/>
        <v>49.45</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1274" t="str">
        <f>面积清单!B470</f>
        <v>7-603</v>
      </c>
      <c r="D481" s="2217" t="s">
        <v>3658</v>
      </c>
      <c r="E481" s="34">
        <f t="shared" si="239"/>
        <v>26.25</v>
      </c>
      <c r="F481" s="35"/>
      <c r="G481" s="36">
        <f t="shared" si="240"/>
        <v>98.91</v>
      </c>
      <c r="H481" s="37">
        <f t="shared" si="241"/>
        <v>98.91</v>
      </c>
      <c r="I481" s="2218">
        <f>面积清单!E470</f>
        <v>98.91</v>
      </c>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3"/>
      <c r="AV481" s="1798">
        <f t="shared" si="243"/>
        <v>0</v>
      </c>
      <c r="AW481" s="1798">
        <f t="shared" si="244"/>
        <v>0</v>
      </c>
      <c r="AX481" s="1798" t="str">
        <f t="shared" si="245"/>
        <v>7-603</v>
      </c>
      <c r="AY481" s="41">
        <f t="shared" si="246"/>
        <v>33.96</v>
      </c>
      <c r="AZ481" s="34">
        <f t="shared" si="247"/>
        <v>98.91</v>
      </c>
      <c r="BA481" s="34">
        <f t="shared" si="248"/>
        <v>98.91</v>
      </c>
      <c r="BB481" s="34">
        <f t="shared" si="249"/>
        <v>98.91</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1274" t="str">
        <f>面积清单!B471</f>
        <v>7-604</v>
      </c>
      <c r="D482" s="2217" t="s">
        <v>3658</v>
      </c>
      <c r="E482" s="34">
        <f t="shared" si="239"/>
        <v>26.25</v>
      </c>
      <c r="F482" s="35"/>
      <c r="G482" s="36">
        <f t="shared" si="240"/>
        <v>98.91</v>
      </c>
      <c r="H482" s="37">
        <f t="shared" si="241"/>
        <v>98.91</v>
      </c>
      <c r="I482" s="2218">
        <f>面积清单!E471</f>
        <v>98.91</v>
      </c>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3"/>
      <c r="AV482" s="1798">
        <f t="shared" si="243"/>
        <v>0</v>
      </c>
      <c r="AW482" s="1798">
        <f t="shared" si="244"/>
        <v>0</v>
      </c>
      <c r="AX482" s="1798" t="str">
        <f t="shared" si="245"/>
        <v>7-604</v>
      </c>
      <c r="AY482" s="41">
        <f t="shared" si="246"/>
        <v>33.96</v>
      </c>
      <c r="AZ482" s="34">
        <f t="shared" si="247"/>
        <v>98.91</v>
      </c>
      <c r="BA482" s="34">
        <f t="shared" si="248"/>
        <v>98.91</v>
      </c>
      <c r="BB482" s="34">
        <f t="shared" si="249"/>
        <v>98.91</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1274" t="str">
        <f>面积清单!B472</f>
        <v>7-605</v>
      </c>
      <c r="D483" s="2217" t="s">
        <v>3658</v>
      </c>
      <c r="E483" s="34">
        <f t="shared" si="239"/>
        <v>26.25</v>
      </c>
      <c r="F483" s="35"/>
      <c r="G483" s="36">
        <f t="shared" si="240"/>
        <v>98.91</v>
      </c>
      <c r="H483" s="37">
        <f t="shared" si="241"/>
        <v>98.91</v>
      </c>
      <c r="I483" s="2218">
        <f>面积清单!E472</f>
        <v>98.91</v>
      </c>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3"/>
      <c r="AV483" s="1798">
        <f t="shared" si="243"/>
        <v>0</v>
      </c>
      <c r="AW483" s="1798">
        <f t="shared" si="244"/>
        <v>0</v>
      </c>
      <c r="AX483" s="1798" t="str">
        <f t="shared" si="245"/>
        <v>7-605</v>
      </c>
      <c r="AY483" s="41">
        <f t="shared" si="246"/>
        <v>33.96</v>
      </c>
      <c r="AZ483" s="34">
        <f t="shared" si="247"/>
        <v>98.91</v>
      </c>
      <c r="BA483" s="34">
        <f t="shared" si="248"/>
        <v>98.91</v>
      </c>
      <c r="BB483" s="34">
        <f t="shared" si="249"/>
        <v>98.91</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1274" t="str">
        <f>面积清单!B473</f>
        <v>7-606</v>
      </c>
      <c r="D484" s="2217" t="s">
        <v>3658</v>
      </c>
      <c r="E484" s="34">
        <f t="shared" si="239"/>
        <v>26.25</v>
      </c>
      <c r="F484" s="35"/>
      <c r="G484" s="36">
        <f t="shared" si="240"/>
        <v>98.91</v>
      </c>
      <c r="H484" s="37">
        <f t="shared" si="241"/>
        <v>98.91</v>
      </c>
      <c r="I484" s="2218">
        <f>面积清单!E473</f>
        <v>98.91</v>
      </c>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3"/>
      <c r="AV484" s="1798">
        <f t="shared" si="243"/>
        <v>0</v>
      </c>
      <c r="AW484" s="1798">
        <f t="shared" si="244"/>
        <v>0</v>
      </c>
      <c r="AX484" s="1798" t="str">
        <f t="shared" si="245"/>
        <v>7-606</v>
      </c>
      <c r="AY484" s="41">
        <f t="shared" si="246"/>
        <v>33.96</v>
      </c>
      <c r="AZ484" s="34">
        <f t="shared" si="247"/>
        <v>98.91</v>
      </c>
      <c r="BA484" s="34">
        <f t="shared" si="248"/>
        <v>98.91</v>
      </c>
      <c r="BB484" s="34">
        <f t="shared" si="249"/>
        <v>98.91</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1274" t="str">
        <f>面积清单!B474</f>
        <v>7-607</v>
      </c>
      <c r="D485" s="2217" t="s">
        <v>3658</v>
      </c>
      <c r="E485" s="34">
        <f t="shared" si="239"/>
        <v>33.43</v>
      </c>
      <c r="F485" s="35"/>
      <c r="G485" s="36">
        <f t="shared" si="240"/>
        <v>125.99</v>
      </c>
      <c r="H485" s="37">
        <f t="shared" si="241"/>
        <v>125.99</v>
      </c>
      <c r="I485" s="2218">
        <f>面积清单!E474</f>
        <v>125.99</v>
      </c>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3"/>
      <c r="AV485" s="1798">
        <f t="shared" si="243"/>
        <v>0</v>
      </c>
      <c r="AW485" s="1798">
        <f t="shared" si="244"/>
        <v>0</v>
      </c>
      <c r="AX485" s="1798" t="str">
        <f t="shared" si="245"/>
        <v>7-607</v>
      </c>
      <c r="AY485" s="41">
        <f t="shared" si="246"/>
        <v>43.25</v>
      </c>
      <c r="AZ485" s="34">
        <f t="shared" si="247"/>
        <v>125.99</v>
      </c>
      <c r="BA485" s="34">
        <f t="shared" si="248"/>
        <v>125.99</v>
      </c>
      <c r="BB485" s="34">
        <f t="shared" si="249"/>
        <v>125.99</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1274" t="str">
        <f>面积清单!B475</f>
        <v>7-608</v>
      </c>
      <c r="D486" s="2217" t="s">
        <v>3658</v>
      </c>
      <c r="E486" s="34">
        <f t="shared" si="239"/>
        <v>36.03</v>
      </c>
      <c r="F486" s="35"/>
      <c r="G486" s="36">
        <f t="shared" si="240"/>
        <v>135.76</v>
      </c>
      <c r="H486" s="37">
        <f t="shared" si="241"/>
        <v>135.76</v>
      </c>
      <c r="I486" s="2218">
        <f>面积清单!E475</f>
        <v>135.76</v>
      </c>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3"/>
      <c r="AV486" s="1798">
        <f t="shared" si="243"/>
        <v>0</v>
      </c>
      <c r="AW486" s="1798">
        <f t="shared" si="244"/>
        <v>0</v>
      </c>
      <c r="AX486" s="1798" t="str">
        <f t="shared" si="245"/>
        <v>7-608</v>
      </c>
      <c r="AY486" s="41">
        <f t="shared" si="246"/>
        <v>46.61</v>
      </c>
      <c r="AZ486" s="34">
        <f t="shared" si="247"/>
        <v>135.76</v>
      </c>
      <c r="BA486" s="34">
        <f t="shared" si="248"/>
        <v>135.76</v>
      </c>
      <c r="BB486" s="34">
        <f t="shared" si="249"/>
        <v>135.76</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1274" t="str">
        <f>面积清单!B476</f>
        <v>7-609</v>
      </c>
      <c r="D487" s="2217" t="s">
        <v>3658</v>
      </c>
      <c r="E487" s="34">
        <f t="shared" si="239"/>
        <v>33.43</v>
      </c>
      <c r="F487" s="35"/>
      <c r="G487" s="36">
        <f t="shared" si="240"/>
        <v>125.99</v>
      </c>
      <c r="H487" s="37">
        <f t="shared" si="241"/>
        <v>125.99</v>
      </c>
      <c r="I487" s="2218">
        <f>面积清单!E476</f>
        <v>125.99</v>
      </c>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3"/>
      <c r="AV487" s="1798">
        <f t="shared" si="243"/>
        <v>0</v>
      </c>
      <c r="AW487" s="1798">
        <f t="shared" si="244"/>
        <v>0</v>
      </c>
      <c r="AX487" s="1798" t="str">
        <f t="shared" si="245"/>
        <v>7-609</v>
      </c>
      <c r="AY487" s="41">
        <f t="shared" si="246"/>
        <v>43.25</v>
      </c>
      <c r="AZ487" s="34">
        <f t="shared" si="247"/>
        <v>125.99</v>
      </c>
      <c r="BA487" s="34">
        <f t="shared" si="248"/>
        <v>125.99</v>
      </c>
      <c r="BB487" s="34">
        <f t="shared" si="249"/>
        <v>125.99</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1274" t="str">
        <f>面积清单!B477</f>
        <v>7-610</v>
      </c>
      <c r="D488" s="2217" t="s">
        <v>3658</v>
      </c>
      <c r="E488" s="34">
        <f t="shared" si="239"/>
        <v>26.25</v>
      </c>
      <c r="F488" s="35"/>
      <c r="G488" s="36">
        <f t="shared" si="240"/>
        <v>98.91</v>
      </c>
      <c r="H488" s="37">
        <f t="shared" si="241"/>
        <v>98.91</v>
      </c>
      <c r="I488" s="2218">
        <f>面积清单!E477</f>
        <v>98.91</v>
      </c>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3"/>
      <c r="AV488" s="1798">
        <f t="shared" si="243"/>
        <v>0</v>
      </c>
      <c r="AW488" s="1798">
        <f t="shared" si="244"/>
        <v>0</v>
      </c>
      <c r="AX488" s="1798" t="str">
        <f t="shared" si="245"/>
        <v>7-610</v>
      </c>
      <c r="AY488" s="41">
        <f t="shared" si="246"/>
        <v>33.96</v>
      </c>
      <c r="AZ488" s="34">
        <f t="shared" si="247"/>
        <v>98.91</v>
      </c>
      <c r="BA488" s="34">
        <f t="shared" si="248"/>
        <v>98.91</v>
      </c>
      <c r="BB488" s="34">
        <f t="shared" si="249"/>
        <v>98.91</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1274" t="str">
        <f>面积清单!B478</f>
        <v>7-611</v>
      </c>
      <c r="D489" s="2217" t="s">
        <v>3658</v>
      </c>
      <c r="E489" s="34">
        <f t="shared" si="239"/>
        <v>26.25</v>
      </c>
      <c r="F489" s="35"/>
      <c r="G489" s="36">
        <f t="shared" si="240"/>
        <v>98.91</v>
      </c>
      <c r="H489" s="37">
        <f t="shared" si="241"/>
        <v>98.91</v>
      </c>
      <c r="I489" s="2218">
        <f>面积清单!E478</f>
        <v>98.91</v>
      </c>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3"/>
      <c r="AV489" s="1798">
        <f t="shared" si="243"/>
        <v>0</v>
      </c>
      <c r="AW489" s="1798">
        <f t="shared" si="244"/>
        <v>0</v>
      </c>
      <c r="AX489" s="1798" t="str">
        <f t="shared" si="245"/>
        <v>7-611</v>
      </c>
      <c r="AY489" s="41">
        <f t="shared" si="246"/>
        <v>33.96</v>
      </c>
      <c r="AZ489" s="34">
        <f t="shared" si="247"/>
        <v>98.91</v>
      </c>
      <c r="BA489" s="34">
        <f t="shared" si="248"/>
        <v>98.91</v>
      </c>
      <c r="BB489" s="34">
        <f t="shared" si="249"/>
        <v>98.91</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1274" t="str">
        <f>面积清单!B479</f>
        <v>7-612</v>
      </c>
      <c r="D490" s="2217" t="s">
        <v>3658</v>
      </c>
      <c r="E490" s="34">
        <f t="shared" si="239"/>
        <v>26.25</v>
      </c>
      <c r="F490" s="43"/>
      <c r="G490" s="36">
        <f t="shared" ref="G490:G521" si="268">H490+AC490+AT490</f>
        <v>98.91</v>
      </c>
      <c r="H490" s="37">
        <f t="shared" ref="H490:H521" si="269">SUMIF(I$12:AB$12,"总值",I490:AB490)</f>
        <v>98.91</v>
      </c>
      <c r="I490" s="2218">
        <f>面积清单!E479</f>
        <v>98.91</v>
      </c>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8"/>
      <c r="AV490" s="1798">
        <f t="shared" si="243"/>
        <v>0</v>
      </c>
      <c r="AW490" s="1798">
        <f t="shared" si="244"/>
        <v>0</v>
      </c>
      <c r="AX490" s="1798" t="str">
        <f t="shared" si="245"/>
        <v>7-612</v>
      </c>
      <c r="AY490" s="41">
        <f t="shared" ref="AY490:AY521" si="271">ROUND($AY$6*AZ490/$AZ$5,2)</f>
        <v>33.96</v>
      </c>
      <c r="AZ490" s="34">
        <f t="shared" ref="AZ490:AZ521" si="272">BA490+BL490</f>
        <v>98.91</v>
      </c>
      <c r="BA490" s="34">
        <f t="shared" ref="BA490:BA521" si="273">SUM(BB490:BK490)</f>
        <v>98.91</v>
      </c>
      <c r="BB490" s="34">
        <f t="shared" ref="BB490:BB521" si="274">IF($D490="是",I490-J490,0)</f>
        <v>98.91</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1274" t="str">
        <f>面积清单!B480</f>
        <v>7-613</v>
      </c>
      <c r="D491" s="2217" t="s">
        <v>3658</v>
      </c>
      <c r="E491" s="34">
        <f t="shared" si="239"/>
        <v>26.25</v>
      </c>
      <c r="F491" s="43"/>
      <c r="G491" s="36">
        <f t="shared" si="268"/>
        <v>98.91</v>
      </c>
      <c r="H491" s="37">
        <f t="shared" si="269"/>
        <v>98.91</v>
      </c>
      <c r="I491" s="2218">
        <f>面积清单!E480</f>
        <v>98.91</v>
      </c>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8"/>
      <c r="AV491" s="1798">
        <f t="shared" si="243"/>
        <v>0</v>
      </c>
      <c r="AW491" s="1798">
        <f t="shared" si="244"/>
        <v>0</v>
      </c>
      <c r="AX491" s="1798" t="str">
        <f t="shared" si="245"/>
        <v>7-613</v>
      </c>
      <c r="AY491" s="41">
        <f t="shared" si="271"/>
        <v>33.96</v>
      </c>
      <c r="AZ491" s="34">
        <f t="shared" si="272"/>
        <v>98.91</v>
      </c>
      <c r="BA491" s="34">
        <f t="shared" si="273"/>
        <v>98.91</v>
      </c>
      <c r="BB491" s="34">
        <f t="shared" si="274"/>
        <v>98.91</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1274" t="str">
        <f>面积清单!B481</f>
        <v>7-614</v>
      </c>
      <c r="D492" s="2217" t="s">
        <v>3658</v>
      </c>
      <c r="E492" s="34">
        <f t="shared" si="239"/>
        <v>13.12</v>
      </c>
      <c r="F492" s="43"/>
      <c r="G492" s="36">
        <f t="shared" si="268"/>
        <v>49.45</v>
      </c>
      <c r="H492" s="37">
        <f t="shared" si="269"/>
        <v>49.45</v>
      </c>
      <c r="I492" s="2218">
        <f>面积清单!E481</f>
        <v>49.45</v>
      </c>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8"/>
      <c r="AV492" s="1798">
        <f t="shared" si="243"/>
        <v>0</v>
      </c>
      <c r="AW492" s="1798">
        <f t="shared" si="244"/>
        <v>0</v>
      </c>
      <c r="AX492" s="1798" t="str">
        <f t="shared" si="245"/>
        <v>7-614</v>
      </c>
      <c r="AY492" s="41">
        <f t="shared" si="271"/>
        <v>16.98</v>
      </c>
      <c r="AZ492" s="34">
        <f t="shared" si="272"/>
        <v>49.45</v>
      </c>
      <c r="BA492" s="34">
        <f t="shared" si="273"/>
        <v>49.45</v>
      </c>
      <c r="BB492" s="34">
        <f t="shared" si="274"/>
        <v>49.45</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1274" t="str">
        <f>面积清单!B482</f>
        <v>7-615</v>
      </c>
      <c r="D493" s="2217" t="s">
        <v>3658</v>
      </c>
      <c r="E493" s="34">
        <f t="shared" ref="E493:E519" si="293">IF($C$3="是",ROUND($A$3*G493/$B$3,2),ROUND($A$3*(G493-AT493)/$B$3,2))</f>
        <v>20.309999999999999</v>
      </c>
      <c r="F493" s="35"/>
      <c r="G493" s="36">
        <f t="shared" si="268"/>
        <v>76.540000000000006</v>
      </c>
      <c r="H493" s="37">
        <f t="shared" si="269"/>
        <v>76.540000000000006</v>
      </c>
      <c r="I493" s="2218">
        <f>面积清单!E482</f>
        <v>76.540000000000006</v>
      </c>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3"/>
      <c r="AV493" s="1798">
        <f t="shared" ref="AV493:AV520" si="294">A493</f>
        <v>0</v>
      </c>
      <c r="AW493" s="1798">
        <f t="shared" ref="AW493:AW520" si="295">B493</f>
        <v>0</v>
      </c>
      <c r="AX493" s="1798" t="str">
        <f t="shared" ref="AX493:AX520" si="296">C493</f>
        <v>7-615</v>
      </c>
      <c r="AY493" s="41">
        <f t="shared" si="271"/>
        <v>26.28</v>
      </c>
      <c r="AZ493" s="34">
        <f t="shared" si="272"/>
        <v>76.540000000000006</v>
      </c>
      <c r="BA493" s="34">
        <f t="shared" si="273"/>
        <v>76.540000000000006</v>
      </c>
      <c r="BB493" s="34">
        <f t="shared" si="274"/>
        <v>76.540000000000006</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1274" t="str">
        <f>面积清单!B483</f>
        <v>7-616</v>
      </c>
      <c r="D494" s="2217" t="s">
        <v>3658</v>
      </c>
      <c r="E494" s="34">
        <f t="shared" si="293"/>
        <v>36.03</v>
      </c>
      <c r="F494" s="35"/>
      <c r="G494" s="36">
        <f t="shared" si="268"/>
        <v>135.76</v>
      </c>
      <c r="H494" s="37">
        <f t="shared" si="269"/>
        <v>135.76</v>
      </c>
      <c r="I494" s="2218">
        <f>面积清单!E483</f>
        <v>135.76</v>
      </c>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3"/>
      <c r="AV494" s="1798">
        <f t="shared" si="294"/>
        <v>0</v>
      </c>
      <c r="AW494" s="1798">
        <f t="shared" si="295"/>
        <v>0</v>
      </c>
      <c r="AX494" s="1798" t="str">
        <f t="shared" si="296"/>
        <v>7-616</v>
      </c>
      <c r="AY494" s="41">
        <f t="shared" si="271"/>
        <v>46.61</v>
      </c>
      <c r="AZ494" s="34">
        <f t="shared" si="272"/>
        <v>135.76</v>
      </c>
      <c r="BA494" s="34">
        <f t="shared" si="273"/>
        <v>135.76</v>
      </c>
      <c r="BB494" s="34">
        <f t="shared" si="274"/>
        <v>135.76</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1274" t="str">
        <f>面积清单!B484</f>
        <v>7-701</v>
      </c>
      <c r="D495" s="2217" t="s">
        <v>3658</v>
      </c>
      <c r="E495" s="34">
        <f t="shared" si="293"/>
        <v>20.309999999999999</v>
      </c>
      <c r="F495" s="35"/>
      <c r="G495" s="36">
        <f t="shared" si="268"/>
        <v>76.540000000000006</v>
      </c>
      <c r="H495" s="37">
        <f t="shared" si="269"/>
        <v>76.540000000000006</v>
      </c>
      <c r="I495" s="2218">
        <f>面积清单!E484</f>
        <v>76.540000000000006</v>
      </c>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3"/>
      <c r="AV495" s="1798">
        <f t="shared" si="294"/>
        <v>0</v>
      </c>
      <c r="AW495" s="1798">
        <f t="shared" si="295"/>
        <v>0</v>
      </c>
      <c r="AX495" s="1798" t="str">
        <f t="shared" si="296"/>
        <v>7-701</v>
      </c>
      <c r="AY495" s="41">
        <f t="shared" si="271"/>
        <v>26.28</v>
      </c>
      <c r="AZ495" s="34">
        <f t="shared" si="272"/>
        <v>76.540000000000006</v>
      </c>
      <c r="BA495" s="34">
        <f t="shared" si="273"/>
        <v>76.540000000000006</v>
      </c>
      <c r="BB495" s="34">
        <f t="shared" si="274"/>
        <v>76.540000000000006</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1274" t="str">
        <f>面积清单!B485</f>
        <v>7-702</v>
      </c>
      <c r="D496" s="2217" t="s">
        <v>3658</v>
      </c>
      <c r="E496" s="34">
        <f t="shared" si="293"/>
        <v>13.12</v>
      </c>
      <c r="F496" s="35"/>
      <c r="G496" s="36">
        <f t="shared" si="268"/>
        <v>49.45</v>
      </c>
      <c r="H496" s="37">
        <f t="shared" si="269"/>
        <v>49.45</v>
      </c>
      <c r="I496" s="2218">
        <f>面积清单!E485</f>
        <v>49.45</v>
      </c>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3"/>
      <c r="AV496" s="1798">
        <f t="shared" si="294"/>
        <v>0</v>
      </c>
      <c r="AW496" s="1798">
        <f t="shared" si="295"/>
        <v>0</v>
      </c>
      <c r="AX496" s="1798" t="str">
        <f t="shared" si="296"/>
        <v>7-702</v>
      </c>
      <c r="AY496" s="41">
        <f t="shared" si="271"/>
        <v>16.98</v>
      </c>
      <c r="AZ496" s="34">
        <f t="shared" si="272"/>
        <v>49.45</v>
      </c>
      <c r="BA496" s="34">
        <f t="shared" si="273"/>
        <v>49.45</v>
      </c>
      <c r="BB496" s="34">
        <f t="shared" si="274"/>
        <v>49.45</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1274" t="str">
        <f>面积清单!B486</f>
        <v>7-703</v>
      </c>
      <c r="D497" s="2217" t="s">
        <v>3658</v>
      </c>
      <c r="E497" s="34">
        <f t="shared" si="293"/>
        <v>26.25</v>
      </c>
      <c r="F497" s="35"/>
      <c r="G497" s="36">
        <f t="shared" si="268"/>
        <v>98.91</v>
      </c>
      <c r="H497" s="37">
        <f t="shared" si="269"/>
        <v>98.91</v>
      </c>
      <c r="I497" s="2218">
        <f>面积清单!E486</f>
        <v>98.91</v>
      </c>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3"/>
      <c r="AV497" s="1798">
        <f t="shared" si="294"/>
        <v>0</v>
      </c>
      <c r="AW497" s="1798">
        <f t="shared" si="295"/>
        <v>0</v>
      </c>
      <c r="AX497" s="1798" t="str">
        <f t="shared" si="296"/>
        <v>7-703</v>
      </c>
      <c r="AY497" s="41">
        <f t="shared" si="271"/>
        <v>33.96</v>
      </c>
      <c r="AZ497" s="34">
        <f t="shared" si="272"/>
        <v>98.91</v>
      </c>
      <c r="BA497" s="34">
        <f t="shared" si="273"/>
        <v>98.91</v>
      </c>
      <c r="BB497" s="34">
        <f t="shared" si="274"/>
        <v>98.91</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1274" t="str">
        <f>面积清单!B487</f>
        <v>7-704</v>
      </c>
      <c r="D498" s="2217" t="s">
        <v>3658</v>
      </c>
      <c r="E498" s="34">
        <f t="shared" si="293"/>
        <v>26.25</v>
      </c>
      <c r="F498" s="35"/>
      <c r="G498" s="36">
        <f t="shared" si="268"/>
        <v>98.91</v>
      </c>
      <c r="H498" s="37">
        <f t="shared" si="269"/>
        <v>98.91</v>
      </c>
      <c r="I498" s="2218">
        <f>面积清单!E487</f>
        <v>98.91</v>
      </c>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3"/>
      <c r="AV498" s="1798">
        <f t="shared" si="294"/>
        <v>0</v>
      </c>
      <c r="AW498" s="1798">
        <f t="shared" si="295"/>
        <v>0</v>
      </c>
      <c r="AX498" s="1798" t="str">
        <f t="shared" si="296"/>
        <v>7-704</v>
      </c>
      <c r="AY498" s="41">
        <f t="shared" si="271"/>
        <v>33.96</v>
      </c>
      <c r="AZ498" s="34">
        <f t="shared" si="272"/>
        <v>98.91</v>
      </c>
      <c r="BA498" s="34">
        <f t="shared" si="273"/>
        <v>98.91</v>
      </c>
      <c r="BB498" s="34">
        <f t="shared" si="274"/>
        <v>98.91</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1274" t="str">
        <f>面积清单!B488</f>
        <v>7-705</v>
      </c>
      <c r="D499" s="2217" t="s">
        <v>3658</v>
      </c>
      <c r="E499" s="34">
        <f t="shared" si="293"/>
        <v>26.25</v>
      </c>
      <c r="F499" s="35"/>
      <c r="G499" s="36">
        <f t="shared" si="268"/>
        <v>98.91</v>
      </c>
      <c r="H499" s="37">
        <f t="shared" si="269"/>
        <v>98.91</v>
      </c>
      <c r="I499" s="2218">
        <f>面积清单!E488</f>
        <v>98.91</v>
      </c>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3"/>
      <c r="AV499" s="1798">
        <f t="shared" si="294"/>
        <v>0</v>
      </c>
      <c r="AW499" s="1798">
        <f t="shared" si="295"/>
        <v>0</v>
      </c>
      <c r="AX499" s="1798" t="str">
        <f t="shared" si="296"/>
        <v>7-705</v>
      </c>
      <c r="AY499" s="41">
        <f t="shared" si="271"/>
        <v>33.96</v>
      </c>
      <c r="AZ499" s="34">
        <f t="shared" si="272"/>
        <v>98.91</v>
      </c>
      <c r="BA499" s="34">
        <f t="shared" si="273"/>
        <v>98.91</v>
      </c>
      <c r="BB499" s="34">
        <f t="shared" si="274"/>
        <v>98.91</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1274" t="str">
        <f>面积清单!B489</f>
        <v>7-706</v>
      </c>
      <c r="D500" s="2217" t="s">
        <v>3658</v>
      </c>
      <c r="E500" s="34">
        <f t="shared" si="293"/>
        <v>26.25</v>
      </c>
      <c r="F500" s="35"/>
      <c r="G500" s="36">
        <f t="shared" si="268"/>
        <v>98.91</v>
      </c>
      <c r="H500" s="37">
        <f t="shared" si="269"/>
        <v>98.91</v>
      </c>
      <c r="I500" s="2218">
        <f>面积清单!E489</f>
        <v>98.91</v>
      </c>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3"/>
      <c r="AV500" s="1798">
        <f t="shared" si="294"/>
        <v>0</v>
      </c>
      <c r="AW500" s="1798">
        <f t="shared" si="295"/>
        <v>0</v>
      </c>
      <c r="AX500" s="1798" t="str">
        <f t="shared" si="296"/>
        <v>7-706</v>
      </c>
      <c r="AY500" s="41">
        <f t="shared" si="271"/>
        <v>33.96</v>
      </c>
      <c r="AZ500" s="34">
        <f t="shared" si="272"/>
        <v>98.91</v>
      </c>
      <c r="BA500" s="34">
        <f t="shared" si="273"/>
        <v>98.91</v>
      </c>
      <c r="BB500" s="34">
        <f t="shared" si="274"/>
        <v>98.91</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1274" t="str">
        <f>面积清单!B490</f>
        <v>7-707</v>
      </c>
      <c r="D501" s="2217" t="s">
        <v>3658</v>
      </c>
      <c r="E501" s="34">
        <f t="shared" si="293"/>
        <v>33.43</v>
      </c>
      <c r="F501" s="35"/>
      <c r="G501" s="36">
        <f t="shared" si="268"/>
        <v>125.99</v>
      </c>
      <c r="H501" s="37">
        <f t="shared" si="269"/>
        <v>125.99</v>
      </c>
      <c r="I501" s="2218">
        <f>面积清单!E490</f>
        <v>125.99</v>
      </c>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3"/>
      <c r="AV501" s="1798">
        <f t="shared" si="294"/>
        <v>0</v>
      </c>
      <c r="AW501" s="1798">
        <f t="shared" si="295"/>
        <v>0</v>
      </c>
      <c r="AX501" s="1798" t="str">
        <f t="shared" si="296"/>
        <v>7-707</v>
      </c>
      <c r="AY501" s="41">
        <f t="shared" si="271"/>
        <v>43.25</v>
      </c>
      <c r="AZ501" s="34">
        <f t="shared" si="272"/>
        <v>125.99</v>
      </c>
      <c r="BA501" s="34">
        <f t="shared" si="273"/>
        <v>125.99</v>
      </c>
      <c r="BB501" s="34">
        <f t="shared" si="274"/>
        <v>125.99</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1274" t="str">
        <f>面积清单!B491</f>
        <v>7-708</v>
      </c>
      <c r="D502" s="2217" t="s">
        <v>3658</v>
      </c>
      <c r="E502" s="34">
        <f t="shared" si="293"/>
        <v>36.03</v>
      </c>
      <c r="F502" s="35"/>
      <c r="G502" s="36">
        <f t="shared" si="268"/>
        <v>135.76</v>
      </c>
      <c r="H502" s="37">
        <f t="shared" si="269"/>
        <v>135.76</v>
      </c>
      <c r="I502" s="2218">
        <f>面积清单!E491</f>
        <v>135.76</v>
      </c>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3"/>
      <c r="AV502" s="1798">
        <f t="shared" si="294"/>
        <v>0</v>
      </c>
      <c r="AW502" s="1798">
        <f t="shared" si="295"/>
        <v>0</v>
      </c>
      <c r="AX502" s="1798" t="str">
        <f t="shared" si="296"/>
        <v>7-708</v>
      </c>
      <c r="AY502" s="41">
        <f t="shared" si="271"/>
        <v>46.61</v>
      </c>
      <c r="AZ502" s="34">
        <f t="shared" si="272"/>
        <v>135.76</v>
      </c>
      <c r="BA502" s="34">
        <f t="shared" si="273"/>
        <v>135.76</v>
      </c>
      <c r="BB502" s="34">
        <f t="shared" si="274"/>
        <v>135.76</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1274" t="str">
        <f>面积清单!B492</f>
        <v>7-709</v>
      </c>
      <c r="D503" s="2217" t="s">
        <v>3658</v>
      </c>
      <c r="E503" s="34">
        <f t="shared" si="293"/>
        <v>33.43</v>
      </c>
      <c r="F503" s="35"/>
      <c r="G503" s="36">
        <f t="shared" si="268"/>
        <v>125.99</v>
      </c>
      <c r="H503" s="37">
        <f t="shared" si="269"/>
        <v>125.99</v>
      </c>
      <c r="I503" s="2218">
        <f>面积清单!E492</f>
        <v>125.99</v>
      </c>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3"/>
      <c r="AV503" s="1798">
        <f t="shared" si="294"/>
        <v>0</v>
      </c>
      <c r="AW503" s="1798">
        <f t="shared" si="295"/>
        <v>0</v>
      </c>
      <c r="AX503" s="1798" t="str">
        <f t="shared" si="296"/>
        <v>7-709</v>
      </c>
      <c r="AY503" s="41">
        <f t="shared" si="271"/>
        <v>43.25</v>
      </c>
      <c r="AZ503" s="34">
        <f t="shared" si="272"/>
        <v>125.99</v>
      </c>
      <c r="BA503" s="34">
        <f t="shared" si="273"/>
        <v>125.99</v>
      </c>
      <c r="BB503" s="34">
        <f t="shared" si="274"/>
        <v>125.99</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1274" t="str">
        <f>面积清单!B493</f>
        <v>7-710</v>
      </c>
      <c r="D504" s="2217" t="s">
        <v>3658</v>
      </c>
      <c r="E504" s="34">
        <f t="shared" si="293"/>
        <v>26.25</v>
      </c>
      <c r="F504" s="35"/>
      <c r="G504" s="36">
        <f t="shared" si="268"/>
        <v>98.91</v>
      </c>
      <c r="H504" s="37">
        <f t="shared" si="269"/>
        <v>98.91</v>
      </c>
      <c r="I504" s="2218">
        <f>面积清单!E493</f>
        <v>98.91</v>
      </c>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3"/>
      <c r="AV504" s="1798">
        <f t="shared" si="294"/>
        <v>0</v>
      </c>
      <c r="AW504" s="1798">
        <f t="shared" si="295"/>
        <v>0</v>
      </c>
      <c r="AX504" s="1798" t="str">
        <f t="shared" si="296"/>
        <v>7-710</v>
      </c>
      <c r="AY504" s="41">
        <f t="shared" si="271"/>
        <v>33.96</v>
      </c>
      <c r="AZ504" s="34">
        <f t="shared" si="272"/>
        <v>98.91</v>
      </c>
      <c r="BA504" s="34">
        <f t="shared" si="273"/>
        <v>98.91</v>
      </c>
      <c r="BB504" s="34">
        <f t="shared" si="274"/>
        <v>98.91</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1274" t="str">
        <f>面积清单!B494</f>
        <v>7-711</v>
      </c>
      <c r="D505" s="2217" t="s">
        <v>3658</v>
      </c>
      <c r="E505" s="34">
        <f t="shared" si="293"/>
        <v>26.25</v>
      </c>
      <c r="F505" s="35"/>
      <c r="G505" s="36">
        <f t="shared" si="268"/>
        <v>98.91</v>
      </c>
      <c r="H505" s="37">
        <f t="shared" si="269"/>
        <v>98.91</v>
      </c>
      <c r="I505" s="2218">
        <f>面积清单!E494</f>
        <v>98.91</v>
      </c>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3"/>
      <c r="AV505" s="1798">
        <f t="shared" si="294"/>
        <v>0</v>
      </c>
      <c r="AW505" s="1798">
        <f t="shared" si="295"/>
        <v>0</v>
      </c>
      <c r="AX505" s="1798" t="str">
        <f t="shared" si="296"/>
        <v>7-711</v>
      </c>
      <c r="AY505" s="41">
        <f t="shared" si="271"/>
        <v>33.96</v>
      </c>
      <c r="AZ505" s="34">
        <f t="shared" si="272"/>
        <v>98.91</v>
      </c>
      <c r="BA505" s="34">
        <f t="shared" si="273"/>
        <v>98.91</v>
      </c>
      <c r="BB505" s="34">
        <f t="shared" si="274"/>
        <v>98.91</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1274" t="str">
        <f>面积清单!B495</f>
        <v>7-712</v>
      </c>
      <c r="D506" s="2217" t="s">
        <v>3658</v>
      </c>
      <c r="E506" s="34">
        <f t="shared" si="293"/>
        <v>26.25</v>
      </c>
      <c r="F506" s="35"/>
      <c r="G506" s="36">
        <f t="shared" si="268"/>
        <v>98.91</v>
      </c>
      <c r="H506" s="37">
        <f t="shared" si="269"/>
        <v>98.91</v>
      </c>
      <c r="I506" s="2218">
        <f>面积清单!E495</f>
        <v>98.91</v>
      </c>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3"/>
      <c r="AV506" s="1798">
        <f t="shared" si="294"/>
        <v>0</v>
      </c>
      <c r="AW506" s="1798">
        <f t="shared" si="295"/>
        <v>0</v>
      </c>
      <c r="AX506" s="1798" t="str">
        <f t="shared" si="296"/>
        <v>7-712</v>
      </c>
      <c r="AY506" s="41">
        <f t="shared" si="271"/>
        <v>33.96</v>
      </c>
      <c r="AZ506" s="34">
        <f t="shared" si="272"/>
        <v>98.91</v>
      </c>
      <c r="BA506" s="34">
        <f t="shared" si="273"/>
        <v>98.91</v>
      </c>
      <c r="BB506" s="34">
        <f t="shared" si="274"/>
        <v>98.91</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1274" t="str">
        <f>面积清单!B496</f>
        <v>7-713</v>
      </c>
      <c r="D507" s="2217" t="s">
        <v>3658</v>
      </c>
      <c r="E507" s="34">
        <f t="shared" si="293"/>
        <v>26.25</v>
      </c>
      <c r="F507" s="35"/>
      <c r="G507" s="36">
        <f t="shared" si="268"/>
        <v>98.91</v>
      </c>
      <c r="H507" s="37">
        <f t="shared" si="269"/>
        <v>98.91</v>
      </c>
      <c r="I507" s="2218">
        <f>面积清单!E496</f>
        <v>98.91</v>
      </c>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3"/>
      <c r="AV507" s="1798">
        <f t="shared" si="294"/>
        <v>0</v>
      </c>
      <c r="AW507" s="1798">
        <f t="shared" si="295"/>
        <v>0</v>
      </c>
      <c r="AX507" s="1798" t="str">
        <f t="shared" si="296"/>
        <v>7-713</v>
      </c>
      <c r="AY507" s="41">
        <f t="shared" si="271"/>
        <v>33.96</v>
      </c>
      <c r="AZ507" s="34">
        <f t="shared" si="272"/>
        <v>98.91</v>
      </c>
      <c r="BA507" s="34">
        <f t="shared" si="273"/>
        <v>98.91</v>
      </c>
      <c r="BB507" s="34">
        <f t="shared" si="274"/>
        <v>98.91</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1274" t="str">
        <f>面积清单!B497</f>
        <v>7-714</v>
      </c>
      <c r="D508" s="2217" t="s">
        <v>3658</v>
      </c>
      <c r="E508" s="34">
        <f t="shared" si="293"/>
        <v>13.12</v>
      </c>
      <c r="F508" s="35"/>
      <c r="G508" s="36">
        <f t="shared" si="268"/>
        <v>49.45</v>
      </c>
      <c r="H508" s="37">
        <f t="shared" si="269"/>
        <v>49.45</v>
      </c>
      <c r="I508" s="2218">
        <f>面积清单!E497</f>
        <v>49.45</v>
      </c>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3"/>
      <c r="AV508" s="1798">
        <f t="shared" si="294"/>
        <v>0</v>
      </c>
      <c r="AW508" s="1798">
        <f t="shared" si="295"/>
        <v>0</v>
      </c>
      <c r="AX508" s="1798" t="str">
        <f t="shared" si="296"/>
        <v>7-714</v>
      </c>
      <c r="AY508" s="41">
        <f t="shared" si="271"/>
        <v>16.98</v>
      </c>
      <c r="AZ508" s="34">
        <f t="shared" si="272"/>
        <v>49.45</v>
      </c>
      <c r="BA508" s="34">
        <f t="shared" si="273"/>
        <v>49.45</v>
      </c>
      <c r="BB508" s="34">
        <f t="shared" si="274"/>
        <v>49.45</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1274" t="str">
        <f>面积清单!B498</f>
        <v>7-715</v>
      </c>
      <c r="D509" s="2217" t="s">
        <v>3658</v>
      </c>
      <c r="E509" s="34">
        <f t="shared" si="293"/>
        <v>20.309999999999999</v>
      </c>
      <c r="F509" s="35"/>
      <c r="G509" s="36">
        <f t="shared" si="268"/>
        <v>76.540000000000006</v>
      </c>
      <c r="H509" s="37">
        <f t="shared" si="269"/>
        <v>76.540000000000006</v>
      </c>
      <c r="I509" s="2218">
        <f>面积清单!E498</f>
        <v>76.540000000000006</v>
      </c>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3"/>
      <c r="AV509" s="1798">
        <f t="shared" si="294"/>
        <v>0</v>
      </c>
      <c r="AW509" s="1798">
        <f t="shared" si="295"/>
        <v>0</v>
      </c>
      <c r="AX509" s="1798" t="str">
        <f t="shared" si="296"/>
        <v>7-715</v>
      </c>
      <c r="AY509" s="41">
        <f t="shared" si="271"/>
        <v>26.28</v>
      </c>
      <c r="AZ509" s="34">
        <f t="shared" si="272"/>
        <v>76.540000000000006</v>
      </c>
      <c r="BA509" s="34">
        <f t="shared" si="273"/>
        <v>76.540000000000006</v>
      </c>
      <c r="BB509" s="34">
        <f t="shared" si="274"/>
        <v>76.540000000000006</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1274" t="str">
        <f>面积清单!B499</f>
        <v>7-716</v>
      </c>
      <c r="D510" s="2217" t="s">
        <v>3658</v>
      </c>
      <c r="E510" s="34">
        <f t="shared" si="293"/>
        <v>36.03</v>
      </c>
      <c r="F510" s="35"/>
      <c r="G510" s="36">
        <f t="shared" si="268"/>
        <v>135.76</v>
      </c>
      <c r="H510" s="37">
        <f t="shared" si="269"/>
        <v>135.76</v>
      </c>
      <c r="I510" s="2218">
        <f>面积清单!E499</f>
        <v>135.76</v>
      </c>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3"/>
      <c r="AV510" s="1798">
        <f t="shared" si="294"/>
        <v>0</v>
      </c>
      <c r="AW510" s="1798">
        <f t="shared" si="295"/>
        <v>0</v>
      </c>
      <c r="AX510" s="1798" t="str">
        <f t="shared" si="296"/>
        <v>7-716</v>
      </c>
      <c r="AY510" s="41">
        <f t="shared" si="271"/>
        <v>46.61</v>
      </c>
      <c r="AZ510" s="34">
        <f t="shared" si="272"/>
        <v>135.76</v>
      </c>
      <c r="BA510" s="34">
        <f t="shared" si="273"/>
        <v>135.76</v>
      </c>
      <c r="BB510" s="34">
        <f t="shared" si="274"/>
        <v>135.76</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1274" t="str">
        <f>面积清单!B500</f>
        <v>7-801</v>
      </c>
      <c r="D511" s="2217" t="s">
        <v>3658</v>
      </c>
      <c r="E511" s="34">
        <f t="shared" si="293"/>
        <v>20.309999999999999</v>
      </c>
      <c r="F511" s="35"/>
      <c r="G511" s="36">
        <f t="shared" si="268"/>
        <v>76.540000000000006</v>
      </c>
      <c r="H511" s="37">
        <f t="shared" si="269"/>
        <v>76.540000000000006</v>
      </c>
      <c r="I511" s="2218">
        <f>面积清单!E500</f>
        <v>76.540000000000006</v>
      </c>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3"/>
      <c r="AV511" s="1798">
        <f t="shared" si="294"/>
        <v>0</v>
      </c>
      <c r="AW511" s="1798">
        <f t="shared" si="295"/>
        <v>0</v>
      </c>
      <c r="AX511" s="1798" t="str">
        <f t="shared" si="296"/>
        <v>7-801</v>
      </c>
      <c r="AY511" s="41">
        <f t="shared" si="271"/>
        <v>26.28</v>
      </c>
      <c r="AZ511" s="34">
        <f t="shared" si="272"/>
        <v>76.540000000000006</v>
      </c>
      <c r="BA511" s="34">
        <f t="shared" si="273"/>
        <v>76.540000000000006</v>
      </c>
      <c r="BB511" s="34">
        <f t="shared" si="274"/>
        <v>76.540000000000006</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1274" t="str">
        <f>面积清单!B501</f>
        <v>7-802</v>
      </c>
      <c r="D512" s="2217" t="s">
        <v>3658</v>
      </c>
      <c r="E512" s="34">
        <f t="shared" si="293"/>
        <v>13.12</v>
      </c>
      <c r="F512" s="35"/>
      <c r="G512" s="36">
        <f t="shared" si="268"/>
        <v>49.45</v>
      </c>
      <c r="H512" s="37">
        <f t="shared" si="269"/>
        <v>49.45</v>
      </c>
      <c r="I512" s="2218">
        <f>面积清单!E501</f>
        <v>49.45</v>
      </c>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3"/>
      <c r="AV512" s="1798">
        <f t="shared" si="294"/>
        <v>0</v>
      </c>
      <c r="AW512" s="1798">
        <f t="shared" si="295"/>
        <v>0</v>
      </c>
      <c r="AX512" s="1798" t="str">
        <f t="shared" si="296"/>
        <v>7-802</v>
      </c>
      <c r="AY512" s="41">
        <f t="shared" si="271"/>
        <v>16.98</v>
      </c>
      <c r="AZ512" s="34">
        <f t="shared" si="272"/>
        <v>49.45</v>
      </c>
      <c r="BA512" s="34">
        <f t="shared" si="273"/>
        <v>49.45</v>
      </c>
      <c r="BB512" s="34">
        <f t="shared" si="274"/>
        <v>49.45</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1274" t="str">
        <f>面积清单!B502</f>
        <v>7-803</v>
      </c>
      <c r="D513" s="2217" t="s">
        <v>3658</v>
      </c>
      <c r="E513" s="34">
        <f t="shared" si="293"/>
        <v>26.25</v>
      </c>
      <c r="F513" s="35"/>
      <c r="G513" s="36">
        <f t="shared" si="268"/>
        <v>98.91</v>
      </c>
      <c r="H513" s="37">
        <f t="shared" si="269"/>
        <v>98.91</v>
      </c>
      <c r="I513" s="2218">
        <f>面积清单!E502</f>
        <v>98.91</v>
      </c>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3"/>
      <c r="AV513" s="1798">
        <f t="shared" si="294"/>
        <v>0</v>
      </c>
      <c r="AW513" s="1798">
        <f t="shared" si="295"/>
        <v>0</v>
      </c>
      <c r="AX513" s="1798" t="str">
        <f t="shared" si="296"/>
        <v>7-803</v>
      </c>
      <c r="AY513" s="41">
        <f t="shared" si="271"/>
        <v>33.96</v>
      </c>
      <c r="AZ513" s="34">
        <f t="shared" si="272"/>
        <v>98.91</v>
      </c>
      <c r="BA513" s="34">
        <f t="shared" si="273"/>
        <v>98.91</v>
      </c>
      <c r="BB513" s="34">
        <f t="shared" si="274"/>
        <v>98.91</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1274" t="str">
        <f>面积清单!B503</f>
        <v>7-804</v>
      </c>
      <c r="D514" s="2217" t="s">
        <v>3658</v>
      </c>
      <c r="E514" s="34">
        <f t="shared" si="293"/>
        <v>26.25</v>
      </c>
      <c r="F514" s="35"/>
      <c r="G514" s="36">
        <f t="shared" si="268"/>
        <v>98.91</v>
      </c>
      <c r="H514" s="37">
        <f t="shared" si="269"/>
        <v>98.91</v>
      </c>
      <c r="I514" s="2218">
        <f>面积清单!E503</f>
        <v>98.91</v>
      </c>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3"/>
      <c r="AV514" s="1798">
        <f t="shared" si="294"/>
        <v>0</v>
      </c>
      <c r="AW514" s="1798">
        <f t="shared" si="295"/>
        <v>0</v>
      </c>
      <c r="AX514" s="1798" t="str">
        <f t="shared" si="296"/>
        <v>7-804</v>
      </c>
      <c r="AY514" s="41">
        <f t="shared" si="271"/>
        <v>33.96</v>
      </c>
      <c r="AZ514" s="34">
        <f t="shared" si="272"/>
        <v>98.91</v>
      </c>
      <c r="BA514" s="34">
        <f t="shared" si="273"/>
        <v>98.91</v>
      </c>
      <c r="BB514" s="34">
        <f t="shared" si="274"/>
        <v>98.91</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1274" t="str">
        <f>面积清单!B504</f>
        <v>7-805</v>
      </c>
      <c r="D515" s="2217" t="s">
        <v>3658</v>
      </c>
      <c r="E515" s="34">
        <f t="shared" si="293"/>
        <v>26.25</v>
      </c>
      <c r="F515" s="35"/>
      <c r="G515" s="36">
        <f t="shared" si="268"/>
        <v>98.91</v>
      </c>
      <c r="H515" s="37">
        <f t="shared" si="269"/>
        <v>98.91</v>
      </c>
      <c r="I515" s="2218">
        <f>面积清单!E504</f>
        <v>98.91</v>
      </c>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3"/>
      <c r="AV515" s="1798">
        <f t="shared" si="294"/>
        <v>0</v>
      </c>
      <c r="AW515" s="1798">
        <f t="shared" si="295"/>
        <v>0</v>
      </c>
      <c r="AX515" s="1798" t="str">
        <f t="shared" si="296"/>
        <v>7-805</v>
      </c>
      <c r="AY515" s="41">
        <f t="shared" si="271"/>
        <v>33.96</v>
      </c>
      <c r="AZ515" s="34">
        <f t="shared" si="272"/>
        <v>98.91</v>
      </c>
      <c r="BA515" s="34">
        <f t="shared" si="273"/>
        <v>98.91</v>
      </c>
      <c r="BB515" s="34">
        <f t="shared" si="274"/>
        <v>98.91</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1274" t="str">
        <f>面积清单!B505</f>
        <v>7-806</v>
      </c>
      <c r="D516" s="2217" t="s">
        <v>3658</v>
      </c>
      <c r="E516" s="34">
        <f t="shared" si="293"/>
        <v>26.25</v>
      </c>
      <c r="F516" s="35"/>
      <c r="G516" s="36">
        <f t="shared" si="268"/>
        <v>98.91</v>
      </c>
      <c r="H516" s="37">
        <f t="shared" si="269"/>
        <v>98.91</v>
      </c>
      <c r="I516" s="2218">
        <f>面积清单!E505</f>
        <v>98.91</v>
      </c>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3"/>
      <c r="AV516" s="1798">
        <f t="shared" si="294"/>
        <v>0</v>
      </c>
      <c r="AW516" s="1798">
        <f t="shared" si="295"/>
        <v>0</v>
      </c>
      <c r="AX516" s="1798" t="str">
        <f t="shared" si="296"/>
        <v>7-806</v>
      </c>
      <c r="AY516" s="41">
        <f t="shared" si="271"/>
        <v>33.96</v>
      </c>
      <c r="AZ516" s="34">
        <f t="shared" si="272"/>
        <v>98.91</v>
      </c>
      <c r="BA516" s="34">
        <f t="shared" si="273"/>
        <v>98.91</v>
      </c>
      <c r="BB516" s="34">
        <f t="shared" si="274"/>
        <v>98.91</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1274" t="str">
        <f>面积清单!B506</f>
        <v>7-807</v>
      </c>
      <c r="D517" s="2217" t="s">
        <v>3658</v>
      </c>
      <c r="E517" s="34">
        <f t="shared" si="293"/>
        <v>33.43</v>
      </c>
      <c r="F517" s="35"/>
      <c r="G517" s="36">
        <f t="shared" si="268"/>
        <v>125.99</v>
      </c>
      <c r="H517" s="37">
        <f t="shared" si="269"/>
        <v>125.99</v>
      </c>
      <c r="I517" s="2218">
        <f>面积清单!E506</f>
        <v>125.99</v>
      </c>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3"/>
      <c r="AV517" s="1798">
        <f t="shared" si="294"/>
        <v>0</v>
      </c>
      <c r="AW517" s="1798">
        <f t="shared" si="295"/>
        <v>0</v>
      </c>
      <c r="AX517" s="1798" t="str">
        <f t="shared" si="296"/>
        <v>7-807</v>
      </c>
      <c r="AY517" s="41">
        <f t="shared" si="271"/>
        <v>43.25</v>
      </c>
      <c r="AZ517" s="34">
        <f t="shared" si="272"/>
        <v>125.99</v>
      </c>
      <c r="BA517" s="34">
        <f t="shared" si="273"/>
        <v>125.99</v>
      </c>
      <c r="BB517" s="34">
        <f t="shared" si="274"/>
        <v>125.99</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1274" t="str">
        <f>面积清单!B507</f>
        <v>7-808</v>
      </c>
      <c r="D518" s="2217" t="s">
        <v>3658</v>
      </c>
      <c r="E518" s="34">
        <f t="shared" si="293"/>
        <v>36.03</v>
      </c>
      <c r="F518" s="35"/>
      <c r="G518" s="36">
        <f t="shared" si="268"/>
        <v>135.76</v>
      </c>
      <c r="H518" s="37">
        <f t="shared" si="269"/>
        <v>135.76</v>
      </c>
      <c r="I518" s="2218">
        <f>面积清单!E507</f>
        <v>135.76</v>
      </c>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3"/>
      <c r="AV518" s="1798">
        <f t="shared" si="294"/>
        <v>0</v>
      </c>
      <c r="AW518" s="1798">
        <f t="shared" si="295"/>
        <v>0</v>
      </c>
      <c r="AX518" s="1798" t="str">
        <f t="shared" si="296"/>
        <v>7-808</v>
      </c>
      <c r="AY518" s="41">
        <f t="shared" si="271"/>
        <v>46.61</v>
      </c>
      <c r="AZ518" s="34">
        <f t="shared" si="272"/>
        <v>135.76</v>
      </c>
      <c r="BA518" s="34">
        <f t="shared" si="273"/>
        <v>135.76</v>
      </c>
      <c r="BB518" s="34">
        <f t="shared" si="274"/>
        <v>135.76</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1274" t="str">
        <f>面积清单!B508</f>
        <v>7-809</v>
      </c>
      <c r="D519" s="2217" t="s">
        <v>3658</v>
      </c>
      <c r="E519" s="34">
        <f t="shared" si="293"/>
        <v>33.43</v>
      </c>
      <c r="F519" s="35"/>
      <c r="G519" s="36">
        <f t="shared" si="268"/>
        <v>125.99</v>
      </c>
      <c r="H519" s="37">
        <f t="shared" si="269"/>
        <v>125.99</v>
      </c>
      <c r="I519" s="2218">
        <f>面积清单!E508</f>
        <v>125.99</v>
      </c>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3"/>
      <c r="AV519" s="1798">
        <f t="shared" si="294"/>
        <v>0</v>
      </c>
      <c r="AW519" s="1798">
        <f t="shared" si="295"/>
        <v>0</v>
      </c>
      <c r="AX519" s="1798" t="str">
        <f t="shared" si="296"/>
        <v>7-809</v>
      </c>
      <c r="AY519" s="41">
        <f t="shared" si="271"/>
        <v>43.25</v>
      </c>
      <c r="AZ519" s="34">
        <f t="shared" si="272"/>
        <v>125.99</v>
      </c>
      <c r="BA519" s="34">
        <f t="shared" si="273"/>
        <v>125.99</v>
      </c>
      <c r="BB519" s="34">
        <f t="shared" si="274"/>
        <v>125.99</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1274" t="str">
        <f>面积清单!B509</f>
        <v>7-810</v>
      </c>
      <c r="D520" s="2217" t="s">
        <v>3658</v>
      </c>
      <c r="E520" s="34">
        <f t="shared" ref="E520:E551" si="297">IF($C$3="是",ROUND($A$3*G520/$B$3,2),ROUND($A$3*(G520-AT520)/$B$3,2))</f>
        <v>26.25</v>
      </c>
      <c r="F520" s="35"/>
      <c r="G520" s="36">
        <f t="shared" si="268"/>
        <v>98.91</v>
      </c>
      <c r="H520" s="37">
        <f t="shared" si="269"/>
        <v>98.91</v>
      </c>
      <c r="I520" s="2218">
        <f>面积清单!E509</f>
        <v>98.91</v>
      </c>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3"/>
      <c r="AV520" s="1798">
        <f t="shared" si="294"/>
        <v>0</v>
      </c>
      <c r="AW520" s="1798">
        <f t="shared" si="295"/>
        <v>0</v>
      </c>
      <c r="AX520" s="1798" t="str">
        <f t="shared" si="296"/>
        <v>7-810</v>
      </c>
      <c r="AY520" s="41">
        <f t="shared" si="271"/>
        <v>33.96</v>
      </c>
      <c r="AZ520" s="34">
        <f t="shared" si="272"/>
        <v>98.91</v>
      </c>
      <c r="BA520" s="34">
        <f t="shared" si="273"/>
        <v>98.91</v>
      </c>
      <c r="BB520" s="34">
        <f t="shared" si="274"/>
        <v>98.91</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1274" t="str">
        <f>面积清单!B510</f>
        <v>7-811</v>
      </c>
      <c r="D521" s="2217" t="s">
        <v>3658</v>
      </c>
      <c r="E521" s="34">
        <f t="shared" si="297"/>
        <v>26.25</v>
      </c>
      <c r="F521" s="35"/>
      <c r="G521" s="36">
        <f t="shared" si="268"/>
        <v>98.91</v>
      </c>
      <c r="H521" s="37">
        <f t="shared" si="269"/>
        <v>98.91</v>
      </c>
      <c r="I521" s="2218">
        <f>面积清单!E510</f>
        <v>98.91</v>
      </c>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3"/>
      <c r="AV521" s="1798">
        <f t="shared" ref="AV521:AV552" si="298">A521</f>
        <v>0</v>
      </c>
      <c r="AW521" s="1798">
        <f t="shared" ref="AW521:AW552" si="299">B521</f>
        <v>0</v>
      </c>
      <c r="AX521" s="1798" t="str">
        <f t="shared" ref="AX521:AX552" si="300">C521</f>
        <v>7-811</v>
      </c>
      <c r="AY521" s="41">
        <f t="shared" si="271"/>
        <v>33.96</v>
      </c>
      <c r="AZ521" s="34">
        <f t="shared" si="272"/>
        <v>98.91</v>
      </c>
      <c r="BA521" s="34">
        <f t="shared" si="273"/>
        <v>98.91</v>
      </c>
      <c r="BB521" s="34">
        <f t="shared" si="274"/>
        <v>98.91</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1274" t="str">
        <f>面积清单!B511</f>
        <v>7-812</v>
      </c>
      <c r="D522" s="2217" t="s">
        <v>3658</v>
      </c>
      <c r="E522" s="34">
        <f t="shared" si="297"/>
        <v>26.25</v>
      </c>
      <c r="F522" s="35"/>
      <c r="G522" s="36">
        <f t="shared" ref="G522:G552" si="301">H522+AC522+AT522</f>
        <v>98.91</v>
      </c>
      <c r="H522" s="37">
        <f t="shared" ref="H522:H552" si="302">SUMIF(I$12:AB$12,"总值",I522:AB522)</f>
        <v>98.91</v>
      </c>
      <c r="I522" s="2218">
        <f>面积清单!E511</f>
        <v>98.91</v>
      </c>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3"/>
      <c r="AV522" s="1798">
        <f t="shared" si="298"/>
        <v>0</v>
      </c>
      <c r="AW522" s="1798">
        <f t="shared" si="299"/>
        <v>0</v>
      </c>
      <c r="AX522" s="1798" t="str">
        <f t="shared" si="300"/>
        <v>7-812</v>
      </c>
      <c r="AY522" s="41">
        <f t="shared" ref="AY522:AY552" si="304">ROUND($AY$6*AZ522/$AZ$5,2)</f>
        <v>33.96</v>
      </c>
      <c r="AZ522" s="34">
        <f t="shared" ref="AZ522:AZ552" si="305">BA522+BL522</f>
        <v>98.91</v>
      </c>
      <c r="BA522" s="34">
        <f t="shared" ref="BA522:BA552" si="306">SUM(BB522:BK522)</f>
        <v>98.91</v>
      </c>
      <c r="BB522" s="34">
        <f t="shared" ref="BB522:BB552" si="307">IF($D522="是",I522-J522,0)</f>
        <v>98.91</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1274" t="str">
        <f>面积清单!B512</f>
        <v>7-813</v>
      </c>
      <c r="D523" s="2217" t="s">
        <v>3658</v>
      </c>
      <c r="E523" s="34">
        <f t="shared" si="297"/>
        <v>26.25</v>
      </c>
      <c r="F523" s="35"/>
      <c r="G523" s="36">
        <f t="shared" si="301"/>
        <v>98.91</v>
      </c>
      <c r="H523" s="37">
        <f t="shared" si="302"/>
        <v>98.91</v>
      </c>
      <c r="I523" s="2218">
        <f>面积清单!E512</f>
        <v>98.91</v>
      </c>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3"/>
      <c r="AV523" s="1798">
        <f t="shared" si="298"/>
        <v>0</v>
      </c>
      <c r="AW523" s="1798">
        <f t="shared" si="299"/>
        <v>0</v>
      </c>
      <c r="AX523" s="1798" t="str">
        <f t="shared" si="300"/>
        <v>7-813</v>
      </c>
      <c r="AY523" s="41">
        <f t="shared" si="304"/>
        <v>33.96</v>
      </c>
      <c r="AZ523" s="34">
        <f t="shared" si="305"/>
        <v>98.91</v>
      </c>
      <c r="BA523" s="34">
        <f t="shared" si="306"/>
        <v>98.91</v>
      </c>
      <c r="BB523" s="34">
        <f t="shared" si="307"/>
        <v>98.91</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1274" t="str">
        <f>面积清单!B513</f>
        <v>7-814</v>
      </c>
      <c r="D524" s="2217" t="s">
        <v>3658</v>
      </c>
      <c r="E524" s="34">
        <f t="shared" si="297"/>
        <v>13.12</v>
      </c>
      <c r="F524" s="35"/>
      <c r="G524" s="36">
        <f t="shared" si="301"/>
        <v>49.45</v>
      </c>
      <c r="H524" s="37">
        <f t="shared" si="302"/>
        <v>49.45</v>
      </c>
      <c r="I524" s="2218">
        <f>面积清单!E513</f>
        <v>49.45</v>
      </c>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3"/>
      <c r="AV524" s="1798">
        <f t="shared" si="298"/>
        <v>0</v>
      </c>
      <c r="AW524" s="1798">
        <f t="shared" si="299"/>
        <v>0</v>
      </c>
      <c r="AX524" s="1798" t="str">
        <f t="shared" si="300"/>
        <v>7-814</v>
      </c>
      <c r="AY524" s="41">
        <f t="shared" si="304"/>
        <v>16.98</v>
      </c>
      <c r="AZ524" s="34">
        <f t="shared" si="305"/>
        <v>49.45</v>
      </c>
      <c r="BA524" s="34">
        <f t="shared" si="306"/>
        <v>49.45</v>
      </c>
      <c r="BB524" s="34">
        <f t="shared" si="307"/>
        <v>49.45</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1274" t="str">
        <f>面积清单!B514</f>
        <v>7-815</v>
      </c>
      <c r="D525" s="2217" t="s">
        <v>3658</v>
      </c>
      <c r="E525" s="34">
        <f t="shared" si="297"/>
        <v>20.309999999999999</v>
      </c>
      <c r="F525" s="35"/>
      <c r="G525" s="36">
        <f t="shared" si="301"/>
        <v>76.540000000000006</v>
      </c>
      <c r="H525" s="37">
        <f t="shared" si="302"/>
        <v>76.540000000000006</v>
      </c>
      <c r="I525" s="2218">
        <f>面积清单!E514</f>
        <v>76.540000000000006</v>
      </c>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3"/>
      <c r="AV525" s="1798">
        <f t="shared" si="298"/>
        <v>0</v>
      </c>
      <c r="AW525" s="1798">
        <f t="shared" si="299"/>
        <v>0</v>
      </c>
      <c r="AX525" s="1798" t="str">
        <f t="shared" si="300"/>
        <v>7-815</v>
      </c>
      <c r="AY525" s="41">
        <f t="shared" si="304"/>
        <v>26.28</v>
      </c>
      <c r="AZ525" s="34">
        <f t="shared" si="305"/>
        <v>76.540000000000006</v>
      </c>
      <c r="BA525" s="34">
        <f t="shared" si="306"/>
        <v>76.540000000000006</v>
      </c>
      <c r="BB525" s="34">
        <f t="shared" si="307"/>
        <v>76.540000000000006</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1274" t="str">
        <f>面积清单!B515</f>
        <v>7-816</v>
      </c>
      <c r="D526" s="2217" t="s">
        <v>3658</v>
      </c>
      <c r="E526" s="34">
        <f t="shared" si="297"/>
        <v>36.03</v>
      </c>
      <c r="F526" s="35"/>
      <c r="G526" s="36">
        <f t="shared" si="301"/>
        <v>135.76</v>
      </c>
      <c r="H526" s="37">
        <f t="shared" si="302"/>
        <v>135.76</v>
      </c>
      <c r="I526" s="2218">
        <f>面积清单!E515</f>
        <v>135.76</v>
      </c>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3"/>
      <c r="AV526" s="1798">
        <f t="shared" si="298"/>
        <v>0</v>
      </c>
      <c r="AW526" s="1798">
        <f t="shared" si="299"/>
        <v>0</v>
      </c>
      <c r="AX526" s="1798" t="str">
        <f t="shared" si="300"/>
        <v>7-816</v>
      </c>
      <c r="AY526" s="41">
        <f t="shared" si="304"/>
        <v>46.61</v>
      </c>
      <c r="AZ526" s="34">
        <f t="shared" si="305"/>
        <v>135.76</v>
      </c>
      <c r="BA526" s="34">
        <f t="shared" si="306"/>
        <v>135.76</v>
      </c>
      <c r="BB526" s="34">
        <f t="shared" si="307"/>
        <v>135.76</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1274" t="str">
        <f>面积清单!B516</f>
        <v>7-901</v>
      </c>
      <c r="D527" s="2217" t="s">
        <v>3658</v>
      </c>
      <c r="E527" s="34">
        <f t="shared" si="297"/>
        <v>20.309999999999999</v>
      </c>
      <c r="F527" s="35"/>
      <c r="G527" s="36">
        <f t="shared" si="301"/>
        <v>76.540000000000006</v>
      </c>
      <c r="H527" s="37">
        <f t="shared" si="302"/>
        <v>76.540000000000006</v>
      </c>
      <c r="I527" s="2218">
        <f>面积清单!E516</f>
        <v>76.540000000000006</v>
      </c>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3"/>
      <c r="AV527" s="1798">
        <f t="shared" si="298"/>
        <v>0</v>
      </c>
      <c r="AW527" s="1798">
        <f t="shared" si="299"/>
        <v>0</v>
      </c>
      <c r="AX527" s="1798" t="str">
        <f t="shared" si="300"/>
        <v>7-901</v>
      </c>
      <c r="AY527" s="41">
        <f t="shared" si="304"/>
        <v>26.28</v>
      </c>
      <c r="AZ527" s="34">
        <f t="shared" si="305"/>
        <v>76.540000000000006</v>
      </c>
      <c r="BA527" s="34">
        <f t="shared" si="306"/>
        <v>76.540000000000006</v>
      </c>
      <c r="BB527" s="34">
        <f t="shared" si="307"/>
        <v>76.540000000000006</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1274" t="str">
        <f>面积清单!B517</f>
        <v>7-902</v>
      </c>
      <c r="D528" s="2217" t="s">
        <v>3658</v>
      </c>
      <c r="E528" s="34">
        <f t="shared" si="297"/>
        <v>13.12</v>
      </c>
      <c r="F528" s="35"/>
      <c r="G528" s="36">
        <f t="shared" si="301"/>
        <v>49.45</v>
      </c>
      <c r="H528" s="37">
        <f t="shared" si="302"/>
        <v>49.45</v>
      </c>
      <c r="I528" s="2218">
        <f>面积清单!E517</f>
        <v>49.45</v>
      </c>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3"/>
      <c r="AV528" s="1798">
        <f t="shared" si="298"/>
        <v>0</v>
      </c>
      <c r="AW528" s="1798">
        <f t="shared" si="299"/>
        <v>0</v>
      </c>
      <c r="AX528" s="1798" t="str">
        <f t="shared" si="300"/>
        <v>7-902</v>
      </c>
      <c r="AY528" s="41">
        <f t="shared" si="304"/>
        <v>16.98</v>
      </c>
      <c r="AZ528" s="34">
        <f t="shared" si="305"/>
        <v>49.45</v>
      </c>
      <c r="BA528" s="34">
        <f t="shared" si="306"/>
        <v>49.45</v>
      </c>
      <c r="BB528" s="34">
        <f t="shared" si="307"/>
        <v>49.45</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1274" t="str">
        <f>面积清单!B518</f>
        <v>7-903</v>
      </c>
      <c r="D529" s="2217" t="s">
        <v>3658</v>
      </c>
      <c r="E529" s="34">
        <f t="shared" si="297"/>
        <v>26.25</v>
      </c>
      <c r="F529" s="35"/>
      <c r="G529" s="36">
        <f t="shared" si="301"/>
        <v>98.91</v>
      </c>
      <c r="H529" s="37">
        <f t="shared" si="302"/>
        <v>98.91</v>
      </c>
      <c r="I529" s="2218">
        <f>面积清单!E518</f>
        <v>98.91</v>
      </c>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3"/>
      <c r="AV529" s="1798">
        <f t="shared" si="298"/>
        <v>0</v>
      </c>
      <c r="AW529" s="1798">
        <f t="shared" si="299"/>
        <v>0</v>
      </c>
      <c r="AX529" s="1798" t="str">
        <f t="shared" si="300"/>
        <v>7-903</v>
      </c>
      <c r="AY529" s="41">
        <f t="shared" si="304"/>
        <v>33.96</v>
      </c>
      <c r="AZ529" s="34">
        <f t="shared" si="305"/>
        <v>98.91</v>
      </c>
      <c r="BA529" s="34">
        <f t="shared" si="306"/>
        <v>98.91</v>
      </c>
      <c r="BB529" s="34">
        <f t="shared" si="307"/>
        <v>98.91</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1274" t="str">
        <f>面积清单!B519</f>
        <v>7-904</v>
      </c>
      <c r="D530" s="2217" t="s">
        <v>3658</v>
      </c>
      <c r="E530" s="34">
        <f t="shared" si="297"/>
        <v>26.25</v>
      </c>
      <c r="F530" s="35"/>
      <c r="G530" s="36">
        <f t="shared" si="301"/>
        <v>98.91</v>
      </c>
      <c r="H530" s="37">
        <f t="shared" si="302"/>
        <v>98.91</v>
      </c>
      <c r="I530" s="2218">
        <f>面积清单!E519</f>
        <v>98.91</v>
      </c>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3"/>
      <c r="AV530" s="1798">
        <f t="shared" si="298"/>
        <v>0</v>
      </c>
      <c r="AW530" s="1798">
        <f t="shared" si="299"/>
        <v>0</v>
      </c>
      <c r="AX530" s="1798" t="str">
        <f t="shared" si="300"/>
        <v>7-904</v>
      </c>
      <c r="AY530" s="41">
        <f t="shared" si="304"/>
        <v>33.96</v>
      </c>
      <c r="AZ530" s="34">
        <f t="shared" si="305"/>
        <v>98.91</v>
      </c>
      <c r="BA530" s="34">
        <f t="shared" si="306"/>
        <v>98.91</v>
      </c>
      <c r="BB530" s="34">
        <f t="shared" si="307"/>
        <v>98.91</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1274" t="str">
        <f>面积清单!B520</f>
        <v>7-905</v>
      </c>
      <c r="D531" s="2217" t="s">
        <v>3658</v>
      </c>
      <c r="E531" s="34">
        <f t="shared" si="297"/>
        <v>26.25</v>
      </c>
      <c r="F531" s="35"/>
      <c r="G531" s="36">
        <f t="shared" si="301"/>
        <v>98.91</v>
      </c>
      <c r="H531" s="37">
        <f t="shared" si="302"/>
        <v>98.91</v>
      </c>
      <c r="I531" s="2218">
        <f>面积清单!E520</f>
        <v>98.91</v>
      </c>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3"/>
      <c r="AV531" s="1798">
        <f t="shared" si="298"/>
        <v>0</v>
      </c>
      <c r="AW531" s="1798">
        <f t="shared" si="299"/>
        <v>0</v>
      </c>
      <c r="AX531" s="1798" t="str">
        <f t="shared" si="300"/>
        <v>7-905</v>
      </c>
      <c r="AY531" s="41">
        <f t="shared" si="304"/>
        <v>33.96</v>
      </c>
      <c r="AZ531" s="34">
        <f t="shared" si="305"/>
        <v>98.91</v>
      </c>
      <c r="BA531" s="34">
        <f t="shared" si="306"/>
        <v>98.91</v>
      </c>
      <c r="BB531" s="34">
        <f t="shared" si="307"/>
        <v>98.91</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1274" t="str">
        <f>面积清单!B521</f>
        <v>7-906</v>
      </c>
      <c r="D532" s="2217" t="s">
        <v>3658</v>
      </c>
      <c r="E532" s="34">
        <f t="shared" si="297"/>
        <v>26.25</v>
      </c>
      <c r="F532" s="35"/>
      <c r="G532" s="36">
        <f t="shared" si="301"/>
        <v>98.91</v>
      </c>
      <c r="H532" s="37">
        <f t="shared" si="302"/>
        <v>98.91</v>
      </c>
      <c r="I532" s="2218">
        <f>面积清单!E521</f>
        <v>98.91</v>
      </c>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3"/>
      <c r="AV532" s="1798">
        <f t="shared" si="298"/>
        <v>0</v>
      </c>
      <c r="AW532" s="1798">
        <f t="shared" si="299"/>
        <v>0</v>
      </c>
      <c r="AX532" s="1798" t="str">
        <f t="shared" si="300"/>
        <v>7-906</v>
      </c>
      <c r="AY532" s="41">
        <f t="shared" si="304"/>
        <v>33.96</v>
      </c>
      <c r="AZ532" s="34">
        <f t="shared" si="305"/>
        <v>98.91</v>
      </c>
      <c r="BA532" s="34">
        <f t="shared" si="306"/>
        <v>98.91</v>
      </c>
      <c r="BB532" s="34">
        <f t="shared" si="307"/>
        <v>98.91</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1274" t="str">
        <f>面积清单!B522</f>
        <v>7-907</v>
      </c>
      <c r="D533" s="2217" t="s">
        <v>3658</v>
      </c>
      <c r="E533" s="34">
        <f t="shared" si="297"/>
        <v>33.43</v>
      </c>
      <c r="F533" s="35"/>
      <c r="G533" s="36">
        <f t="shared" si="301"/>
        <v>125.99</v>
      </c>
      <c r="H533" s="37">
        <f t="shared" si="302"/>
        <v>125.99</v>
      </c>
      <c r="I533" s="2218">
        <f>面积清单!E522</f>
        <v>125.99</v>
      </c>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3"/>
      <c r="AV533" s="1798">
        <f t="shared" si="298"/>
        <v>0</v>
      </c>
      <c r="AW533" s="1798">
        <f t="shared" si="299"/>
        <v>0</v>
      </c>
      <c r="AX533" s="1798" t="str">
        <f t="shared" si="300"/>
        <v>7-907</v>
      </c>
      <c r="AY533" s="41">
        <f t="shared" si="304"/>
        <v>43.25</v>
      </c>
      <c r="AZ533" s="34">
        <f t="shared" si="305"/>
        <v>125.99</v>
      </c>
      <c r="BA533" s="34">
        <f t="shared" si="306"/>
        <v>125.99</v>
      </c>
      <c r="BB533" s="34">
        <f t="shared" si="307"/>
        <v>125.99</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1274" t="str">
        <f>面积清单!B523</f>
        <v>7-908</v>
      </c>
      <c r="D534" s="2217" t="s">
        <v>3658</v>
      </c>
      <c r="E534" s="34">
        <f t="shared" si="297"/>
        <v>36.03</v>
      </c>
      <c r="F534" s="35"/>
      <c r="G534" s="36">
        <f t="shared" si="301"/>
        <v>135.76</v>
      </c>
      <c r="H534" s="37">
        <f t="shared" si="302"/>
        <v>135.76</v>
      </c>
      <c r="I534" s="2218">
        <f>面积清单!E523</f>
        <v>135.76</v>
      </c>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3"/>
      <c r="AV534" s="1798">
        <f t="shared" si="298"/>
        <v>0</v>
      </c>
      <c r="AW534" s="1798">
        <f t="shared" si="299"/>
        <v>0</v>
      </c>
      <c r="AX534" s="1798" t="str">
        <f t="shared" si="300"/>
        <v>7-908</v>
      </c>
      <c r="AY534" s="41">
        <f t="shared" si="304"/>
        <v>46.61</v>
      </c>
      <c r="AZ534" s="34">
        <f t="shared" si="305"/>
        <v>135.76</v>
      </c>
      <c r="BA534" s="34">
        <f t="shared" si="306"/>
        <v>135.76</v>
      </c>
      <c r="BB534" s="34">
        <f t="shared" si="307"/>
        <v>135.76</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1274" t="str">
        <f>面积清单!B524</f>
        <v>7-909</v>
      </c>
      <c r="D535" s="2217" t="s">
        <v>3658</v>
      </c>
      <c r="E535" s="34">
        <f t="shared" si="297"/>
        <v>33.43</v>
      </c>
      <c r="F535" s="35"/>
      <c r="G535" s="36">
        <f t="shared" si="301"/>
        <v>125.99</v>
      </c>
      <c r="H535" s="37">
        <f t="shared" si="302"/>
        <v>125.99</v>
      </c>
      <c r="I535" s="2218">
        <f>面积清单!E524</f>
        <v>125.99</v>
      </c>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3"/>
      <c r="AV535" s="1798">
        <f t="shared" si="298"/>
        <v>0</v>
      </c>
      <c r="AW535" s="1798">
        <f t="shared" si="299"/>
        <v>0</v>
      </c>
      <c r="AX535" s="1798" t="str">
        <f t="shared" si="300"/>
        <v>7-909</v>
      </c>
      <c r="AY535" s="41">
        <f t="shared" si="304"/>
        <v>43.25</v>
      </c>
      <c r="AZ535" s="34">
        <f t="shared" si="305"/>
        <v>125.99</v>
      </c>
      <c r="BA535" s="34">
        <f t="shared" si="306"/>
        <v>125.99</v>
      </c>
      <c r="BB535" s="34">
        <f t="shared" si="307"/>
        <v>125.99</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1274" t="str">
        <f>面积清单!B525</f>
        <v>7-910</v>
      </c>
      <c r="D536" s="2217" t="s">
        <v>3658</v>
      </c>
      <c r="E536" s="34">
        <f t="shared" si="297"/>
        <v>26.25</v>
      </c>
      <c r="F536" s="35"/>
      <c r="G536" s="36">
        <f t="shared" si="301"/>
        <v>98.91</v>
      </c>
      <c r="H536" s="37">
        <f t="shared" si="302"/>
        <v>98.91</v>
      </c>
      <c r="I536" s="2218">
        <f>面积清单!E525</f>
        <v>98.91</v>
      </c>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3"/>
      <c r="AV536" s="1798">
        <f t="shared" si="298"/>
        <v>0</v>
      </c>
      <c r="AW536" s="1798">
        <f t="shared" si="299"/>
        <v>0</v>
      </c>
      <c r="AX536" s="1798" t="str">
        <f t="shared" si="300"/>
        <v>7-910</v>
      </c>
      <c r="AY536" s="41">
        <f t="shared" si="304"/>
        <v>33.96</v>
      </c>
      <c r="AZ536" s="34">
        <f t="shared" si="305"/>
        <v>98.91</v>
      </c>
      <c r="BA536" s="34">
        <f t="shared" si="306"/>
        <v>98.91</v>
      </c>
      <c r="BB536" s="34">
        <f t="shared" si="307"/>
        <v>98.91</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1274" t="str">
        <f>面积清单!B526</f>
        <v>7-911</v>
      </c>
      <c r="D537" s="2217" t="s">
        <v>3658</v>
      </c>
      <c r="E537" s="34">
        <f t="shared" si="297"/>
        <v>26.25</v>
      </c>
      <c r="F537" s="35"/>
      <c r="G537" s="36">
        <f t="shared" si="301"/>
        <v>98.91</v>
      </c>
      <c r="H537" s="37">
        <f t="shared" si="302"/>
        <v>98.91</v>
      </c>
      <c r="I537" s="2218">
        <f>面积清单!E526</f>
        <v>98.91</v>
      </c>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3"/>
      <c r="AV537" s="1798">
        <f t="shared" si="298"/>
        <v>0</v>
      </c>
      <c r="AW537" s="1798">
        <f t="shared" si="299"/>
        <v>0</v>
      </c>
      <c r="AX537" s="1798" t="str">
        <f t="shared" si="300"/>
        <v>7-911</v>
      </c>
      <c r="AY537" s="41">
        <f t="shared" si="304"/>
        <v>33.96</v>
      </c>
      <c r="AZ537" s="34">
        <f t="shared" si="305"/>
        <v>98.91</v>
      </c>
      <c r="BA537" s="34">
        <f t="shared" si="306"/>
        <v>98.91</v>
      </c>
      <c r="BB537" s="34">
        <f t="shared" si="307"/>
        <v>98.91</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1274" t="str">
        <f>面积清单!B527</f>
        <v>7-912</v>
      </c>
      <c r="D538" s="2217" t="s">
        <v>3658</v>
      </c>
      <c r="E538" s="34">
        <f t="shared" si="297"/>
        <v>26.25</v>
      </c>
      <c r="F538" s="35"/>
      <c r="G538" s="36">
        <f t="shared" si="301"/>
        <v>98.91</v>
      </c>
      <c r="H538" s="37">
        <f t="shared" si="302"/>
        <v>98.91</v>
      </c>
      <c r="I538" s="2218">
        <f>面积清单!E527</f>
        <v>98.91</v>
      </c>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3"/>
      <c r="AV538" s="1798">
        <f t="shared" si="298"/>
        <v>0</v>
      </c>
      <c r="AW538" s="1798">
        <f t="shared" si="299"/>
        <v>0</v>
      </c>
      <c r="AX538" s="1798" t="str">
        <f t="shared" si="300"/>
        <v>7-912</v>
      </c>
      <c r="AY538" s="41">
        <f t="shared" si="304"/>
        <v>33.96</v>
      </c>
      <c r="AZ538" s="34">
        <f t="shared" si="305"/>
        <v>98.91</v>
      </c>
      <c r="BA538" s="34">
        <f t="shared" si="306"/>
        <v>98.91</v>
      </c>
      <c r="BB538" s="34">
        <f t="shared" si="307"/>
        <v>98.91</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1274" t="str">
        <f>面积清单!B528</f>
        <v>7-913</v>
      </c>
      <c r="D539" s="2217" t="s">
        <v>3658</v>
      </c>
      <c r="E539" s="34">
        <f t="shared" si="297"/>
        <v>26.25</v>
      </c>
      <c r="F539" s="35"/>
      <c r="G539" s="36">
        <f t="shared" si="301"/>
        <v>98.91</v>
      </c>
      <c r="H539" s="37">
        <f t="shared" si="302"/>
        <v>98.91</v>
      </c>
      <c r="I539" s="2218">
        <f>面积清单!E528</f>
        <v>98.91</v>
      </c>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3"/>
      <c r="AV539" s="1798">
        <f t="shared" si="298"/>
        <v>0</v>
      </c>
      <c r="AW539" s="1798">
        <f t="shared" si="299"/>
        <v>0</v>
      </c>
      <c r="AX539" s="1798" t="str">
        <f t="shared" si="300"/>
        <v>7-913</v>
      </c>
      <c r="AY539" s="41">
        <f t="shared" si="304"/>
        <v>33.96</v>
      </c>
      <c r="AZ539" s="34">
        <f t="shared" si="305"/>
        <v>98.91</v>
      </c>
      <c r="BA539" s="34">
        <f t="shared" si="306"/>
        <v>98.91</v>
      </c>
      <c r="BB539" s="34">
        <f t="shared" si="307"/>
        <v>98.91</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1274" t="str">
        <f>面积清单!B529</f>
        <v>7-914</v>
      </c>
      <c r="D540" s="2217" t="s">
        <v>3658</v>
      </c>
      <c r="E540" s="34">
        <f t="shared" si="297"/>
        <v>13.12</v>
      </c>
      <c r="F540" s="35"/>
      <c r="G540" s="36">
        <f t="shared" si="301"/>
        <v>49.45</v>
      </c>
      <c r="H540" s="37">
        <f t="shared" si="302"/>
        <v>49.45</v>
      </c>
      <c r="I540" s="2218">
        <f>面积清单!E529</f>
        <v>49.45</v>
      </c>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3"/>
      <c r="AV540" s="1798">
        <f t="shared" si="298"/>
        <v>0</v>
      </c>
      <c r="AW540" s="1798">
        <f t="shared" si="299"/>
        <v>0</v>
      </c>
      <c r="AX540" s="1798" t="str">
        <f t="shared" si="300"/>
        <v>7-914</v>
      </c>
      <c r="AY540" s="41">
        <f t="shared" si="304"/>
        <v>16.98</v>
      </c>
      <c r="AZ540" s="34">
        <f t="shared" si="305"/>
        <v>49.45</v>
      </c>
      <c r="BA540" s="34">
        <f t="shared" si="306"/>
        <v>49.45</v>
      </c>
      <c r="BB540" s="34">
        <f t="shared" si="307"/>
        <v>49.45</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1274" t="str">
        <f>面积清单!B530</f>
        <v>7-915</v>
      </c>
      <c r="D541" s="2217" t="s">
        <v>3658</v>
      </c>
      <c r="E541" s="34">
        <f t="shared" si="297"/>
        <v>20.309999999999999</v>
      </c>
      <c r="F541" s="35"/>
      <c r="G541" s="36">
        <f t="shared" si="301"/>
        <v>76.540000000000006</v>
      </c>
      <c r="H541" s="37">
        <f t="shared" si="302"/>
        <v>76.540000000000006</v>
      </c>
      <c r="I541" s="2218">
        <f>面积清单!E530</f>
        <v>76.540000000000006</v>
      </c>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3"/>
      <c r="AV541" s="1798">
        <f t="shared" si="298"/>
        <v>0</v>
      </c>
      <c r="AW541" s="1798">
        <f t="shared" si="299"/>
        <v>0</v>
      </c>
      <c r="AX541" s="1798" t="str">
        <f t="shared" si="300"/>
        <v>7-915</v>
      </c>
      <c r="AY541" s="41">
        <f t="shared" si="304"/>
        <v>26.28</v>
      </c>
      <c r="AZ541" s="34">
        <f t="shared" si="305"/>
        <v>76.540000000000006</v>
      </c>
      <c r="BA541" s="34">
        <f t="shared" si="306"/>
        <v>76.540000000000006</v>
      </c>
      <c r="BB541" s="34">
        <f t="shared" si="307"/>
        <v>76.540000000000006</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1274" t="str">
        <f>面积清单!B531</f>
        <v>7-916</v>
      </c>
      <c r="D542" s="2217" t="s">
        <v>3658</v>
      </c>
      <c r="E542" s="34">
        <f t="shared" si="297"/>
        <v>36.03</v>
      </c>
      <c r="F542" s="35"/>
      <c r="G542" s="36">
        <f t="shared" si="301"/>
        <v>135.76</v>
      </c>
      <c r="H542" s="37">
        <f t="shared" si="302"/>
        <v>135.76</v>
      </c>
      <c r="I542" s="2218">
        <f>面积清单!E531</f>
        <v>135.76</v>
      </c>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3"/>
      <c r="AV542" s="1798">
        <f t="shared" si="298"/>
        <v>0</v>
      </c>
      <c r="AW542" s="1798">
        <f t="shared" si="299"/>
        <v>0</v>
      </c>
      <c r="AX542" s="1798" t="str">
        <f t="shared" si="300"/>
        <v>7-916</v>
      </c>
      <c r="AY542" s="41">
        <f t="shared" si="304"/>
        <v>46.61</v>
      </c>
      <c r="AZ542" s="34">
        <f t="shared" si="305"/>
        <v>135.76</v>
      </c>
      <c r="BA542" s="34">
        <f t="shared" si="306"/>
        <v>135.76</v>
      </c>
      <c r="BB542" s="34">
        <f t="shared" si="307"/>
        <v>135.76</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ht="28.5">
      <c r="A543" s="9"/>
      <c r="B543" s="33"/>
      <c r="C543" s="2968" t="s">
        <v>3715</v>
      </c>
      <c r="D543" s="2222" t="s">
        <v>3699</v>
      </c>
      <c r="E543" s="34">
        <f t="shared" si="297"/>
        <v>11760.71</v>
      </c>
      <c r="F543" s="35"/>
      <c r="G543" s="36">
        <f t="shared" si="301"/>
        <v>44318.780000000101</v>
      </c>
      <c r="H543" s="37">
        <f t="shared" si="302"/>
        <v>25405.330000000096</v>
      </c>
      <c r="I543" s="38">
        <f>40909.73-SUM(I13:I542)</f>
        <v>2603.0800000000963</v>
      </c>
      <c r="J543" s="38"/>
      <c r="K543" s="38">
        <v>22802.25</v>
      </c>
      <c r="L543" s="38"/>
      <c r="M543" s="38"/>
      <c r="N543" s="38"/>
      <c r="O543" s="38"/>
      <c r="P543" s="38"/>
      <c r="Q543" s="38"/>
      <c r="R543" s="38"/>
      <c r="S543" s="38"/>
      <c r="T543" s="38"/>
      <c r="U543" s="38"/>
      <c r="V543" s="38"/>
      <c r="W543" s="38"/>
      <c r="X543" s="38"/>
      <c r="Y543" s="38"/>
      <c r="Z543" s="38"/>
      <c r="AA543" s="38"/>
      <c r="AB543" s="38"/>
      <c r="AC543" s="34">
        <f t="shared" si="303"/>
        <v>18913.45</v>
      </c>
      <c r="AD543" s="39"/>
      <c r="AE543" s="39"/>
      <c r="AF543" s="39"/>
      <c r="AG543" s="39"/>
      <c r="AH543" s="39"/>
      <c r="AI543" s="39"/>
      <c r="AJ543" s="39"/>
      <c r="AK543" s="39"/>
      <c r="AL543" s="39"/>
      <c r="AM543" s="39"/>
      <c r="AN543" s="39"/>
      <c r="AO543" s="39"/>
      <c r="AP543" s="39">
        <f>63.37+94.28</f>
        <v>157.65</v>
      </c>
      <c r="AQ543" s="39"/>
      <c r="AR543" s="39">
        <f>1206.84+17548.96</f>
        <v>18755.8</v>
      </c>
      <c r="AS543" s="39"/>
      <c r="AT543" s="40"/>
      <c r="AU543" s="2223"/>
      <c r="AV543" s="1798">
        <f t="shared" si="298"/>
        <v>0</v>
      </c>
      <c r="AW543" s="1798">
        <f t="shared" si="299"/>
        <v>0</v>
      </c>
      <c r="AX543" s="1798" t="str">
        <f t="shared" si="300"/>
        <v>A2地块其余</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1274"/>
      <c r="D544" s="222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3"/>
      <c r="AV544" s="1798">
        <f t="shared" si="298"/>
        <v>0</v>
      </c>
      <c r="AW544" s="1798">
        <f t="shared" si="299"/>
        <v>0</v>
      </c>
      <c r="AX544" s="179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1274"/>
      <c r="D545" s="222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3"/>
      <c r="AV545" s="1798">
        <f t="shared" si="298"/>
        <v>0</v>
      </c>
      <c r="AW545" s="1798">
        <f t="shared" si="299"/>
        <v>0</v>
      </c>
      <c r="AX545" s="179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1274"/>
      <c r="D546" s="222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3"/>
      <c r="AV546" s="1798">
        <f t="shared" si="298"/>
        <v>0</v>
      </c>
      <c r="AW546" s="1798">
        <f t="shared" si="299"/>
        <v>0</v>
      </c>
      <c r="AX546" s="179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1274"/>
      <c r="D547" s="222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3"/>
      <c r="AV547" s="1798">
        <f t="shared" si="298"/>
        <v>0</v>
      </c>
      <c r="AW547" s="1798">
        <f t="shared" si="299"/>
        <v>0</v>
      </c>
      <c r="AX547" s="179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1274"/>
      <c r="D548" s="222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3"/>
      <c r="AV548" s="1798">
        <f t="shared" si="298"/>
        <v>0</v>
      </c>
      <c r="AW548" s="1798">
        <f t="shared" si="299"/>
        <v>0</v>
      </c>
      <c r="AX548" s="179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1274"/>
      <c r="D549" s="222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3"/>
      <c r="AV549" s="1798">
        <f t="shared" si="298"/>
        <v>0</v>
      </c>
      <c r="AW549" s="1798">
        <f t="shared" si="299"/>
        <v>0</v>
      </c>
      <c r="AX549" s="179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1274"/>
      <c r="D550" s="222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3"/>
      <c r="AV550" s="1798">
        <f t="shared" si="298"/>
        <v>0</v>
      </c>
      <c r="AW550" s="1798">
        <f t="shared" si="299"/>
        <v>0</v>
      </c>
      <c r="AX550" s="179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1274"/>
      <c r="D551" s="222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3"/>
      <c r="AV551" s="1798">
        <f t="shared" si="298"/>
        <v>0</v>
      </c>
      <c r="AW551" s="1798">
        <f t="shared" si="299"/>
        <v>0</v>
      </c>
      <c r="AX551" s="179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1274"/>
      <c r="D552" s="222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3"/>
      <c r="AV552" s="1798">
        <f t="shared" si="298"/>
        <v>0</v>
      </c>
      <c r="AW552" s="1798">
        <f t="shared" si="299"/>
        <v>0</v>
      </c>
      <c r="AX552" s="179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3"/>
      <c r="AV553" s="1798">
        <f t="shared" ref="AV553:AV587" si="330">A553</f>
        <v>0</v>
      </c>
      <c r="AW553" s="1798">
        <f t="shared" ref="AW553:AW587" si="331">B553</f>
        <v>0</v>
      </c>
      <c r="AX553" s="179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3"/>
      <c r="AV554" s="1798">
        <f t="shared" si="330"/>
        <v>0</v>
      </c>
      <c r="AW554" s="1798">
        <f t="shared" si="331"/>
        <v>0</v>
      </c>
      <c r="AX554" s="179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3"/>
      <c r="AV555" s="1798">
        <f t="shared" si="330"/>
        <v>0</v>
      </c>
      <c r="AW555" s="1798">
        <f t="shared" si="331"/>
        <v>0</v>
      </c>
      <c r="AX555" s="179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3"/>
      <c r="AV556" s="1798">
        <f t="shared" si="330"/>
        <v>0</v>
      </c>
      <c r="AW556" s="1798">
        <f t="shared" si="331"/>
        <v>0</v>
      </c>
      <c r="AX556" s="179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3"/>
      <c r="AV557" s="1798">
        <f t="shared" si="330"/>
        <v>0</v>
      </c>
      <c r="AW557" s="1798">
        <f t="shared" si="331"/>
        <v>0</v>
      </c>
      <c r="AX557" s="179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3"/>
      <c r="AV558" s="1798">
        <f t="shared" si="330"/>
        <v>0</v>
      </c>
      <c r="AW558" s="1798">
        <f t="shared" si="331"/>
        <v>0</v>
      </c>
      <c r="AX558" s="179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3"/>
      <c r="AV559" s="1798">
        <f t="shared" si="330"/>
        <v>0</v>
      </c>
      <c r="AW559" s="1798">
        <f t="shared" si="331"/>
        <v>0</v>
      </c>
      <c r="AX559" s="179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3"/>
      <c r="AV560" s="1798">
        <f t="shared" si="330"/>
        <v>0</v>
      </c>
      <c r="AW560" s="1798">
        <f t="shared" si="331"/>
        <v>0</v>
      </c>
      <c r="AX560" s="179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3"/>
      <c r="AV561" s="1798">
        <f t="shared" si="330"/>
        <v>0</v>
      </c>
      <c r="AW561" s="1798">
        <f t="shared" si="331"/>
        <v>0</v>
      </c>
      <c r="AX561" s="179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3"/>
      <c r="AV562" s="1798">
        <f t="shared" si="330"/>
        <v>0</v>
      </c>
      <c r="AW562" s="1798">
        <f t="shared" si="331"/>
        <v>0</v>
      </c>
      <c r="AX562" s="179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3"/>
      <c r="AV563" s="1798">
        <f t="shared" si="330"/>
        <v>0</v>
      </c>
      <c r="AW563" s="1798">
        <f t="shared" si="331"/>
        <v>0</v>
      </c>
      <c r="AX563" s="179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3"/>
      <c r="AV564" s="1798">
        <f t="shared" si="330"/>
        <v>0</v>
      </c>
      <c r="AW564" s="1798">
        <f t="shared" si="331"/>
        <v>0</v>
      </c>
      <c r="AX564" s="179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3"/>
      <c r="AV565" s="1798">
        <f t="shared" si="330"/>
        <v>0</v>
      </c>
      <c r="AW565" s="1798">
        <f t="shared" si="331"/>
        <v>0</v>
      </c>
      <c r="AX565" s="179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3"/>
      <c r="AV566" s="1798">
        <f t="shared" si="330"/>
        <v>0</v>
      </c>
      <c r="AW566" s="1798">
        <f t="shared" si="331"/>
        <v>0</v>
      </c>
      <c r="AX566" s="179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3"/>
      <c r="AV567" s="1798">
        <f t="shared" si="330"/>
        <v>0</v>
      </c>
      <c r="AW567" s="1798">
        <f t="shared" si="331"/>
        <v>0</v>
      </c>
      <c r="AX567" s="179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3"/>
      <c r="AV568" s="1798">
        <f t="shared" si="330"/>
        <v>0</v>
      </c>
      <c r="AW568" s="1798">
        <f t="shared" si="331"/>
        <v>0</v>
      </c>
      <c r="AX568" s="179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3"/>
      <c r="AV569" s="1798">
        <f t="shared" si="330"/>
        <v>0</v>
      </c>
      <c r="AW569" s="1798">
        <f t="shared" si="331"/>
        <v>0</v>
      </c>
      <c r="AX569" s="179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3"/>
      <c r="AV570" s="1798">
        <f t="shared" si="330"/>
        <v>0</v>
      </c>
      <c r="AW570" s="1798">
        <f t="shared" si="331"/>
        <v>0</v>
      </c>
      <c r="AX570" s="179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3"/>
      <c r="AV571" s="1798">
        <f t="shared" si="330"/>
        <v>0</v>
      </c>
      <c r="AW571" s="1798">
        <f t="shared" si="331"/>
        <v>0</v>
      </c>
      <c r="AX571" s="179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3"/>
      <c r="AV572" s="1798">
        <f t="shared" si="330"/>
        <v>0</v>
      </c>
      <c r="AW572" s="1798">
        <f t="shared" si="331"/>
        <v>0</v>
      </c>
      <c r="AX572" s="179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3"/>
      <c r="AV573" s="1798">
        <f t="shared" si="330"/>
        <v>0</v>
      </c>
      <c r="AW573" s="1798">
        <f t="shared" si="331"/>
        <v>0</v>
      </c>
      <c r="AX573" s="179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3"/>
      <c r="AV574" s="1798">
        <f t="shared" si="330"/>
        <v>0</v>
      </c>
      <c r="AW574" s="1798">
        <f t="shared" si="331"/>
        <v>0</v>
      </c>
      <c r="AX574" s="179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3"/>
      <c r="AV575" s="1798">
        <f t="shared" si="330"/>
        <v>0</v>
      </c>
      <c r="AW575" s="1798">
        <f t="shared" si="331"/>
        <v>0</v>
      </c>
      <c r="AX575" s="179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3"/>
      <c r="AV576" s="1798">
        <f t="shared" si="330"/>
        <v>0</v>
      </c>
      <c r="AW576" s="1798">
        <f t="shared" si="331"/>
        <v>0</v>
      </c>
      <c r="AX576" s="179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3"/>
      <c r="AV577" s="1798">
        <f t="shared" si="330"/>
        <v>0</v>
      </c>
      <c r="AW577" s="1798">
        <f t="shared" si="331"/>
        <v>0</v>
      </c>
      <c r="AX577" s="179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3"/>
      <c r="AV578" s="1798">
        <f t="shared" si="330"/>
        <v>0</v>
      </c>
      <c r="AW578" s="1798">
        <f t="shared" si="331"/>
        <v>0</v>
      </c>
      <c r="AX578" s="179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3"/>
      <c r="AV579" s="1798">
        <f t="shared" si="330"/>
        <v>0</v>
      </c>
      <c r="AW579" s="1798">
        <f t="shared" si="331"/>
        <v>0</v>
      </c>
      <c r="AX579" s="179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3"/>
      <c r="AV580" s="1798">
        <f t="shared" si="330"/>
        <v>0</v>
      </c>
      <c r="AW580" s="1798">
        <f t="shared" si="331"/>
        <v>0</v>
      </c>
      <c r="AX580" s="179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3"/>
      <c r="AV581" s="1798">
        <f t="shared" si="330"/>
        <v>0</v>
      </c>
      <c r="AW581" s="1798">
        <f t="shared" si="331"/>
        <v>0</v>
      </c>
      <c r="AX581" s="179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3"/>
      <c r="AV582" s="1798">
        <f t="shared" si="330"/>
        <v>0</v>
      </c>
      <c r="AW582" s="1798">
        <f t="shared" si="331"/>
        <v>0</v>
      </c>
      <c r="AX582" s="179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3"/>
      <c r="AV583" s="1798">
        <f t="shared" si="330"/>
        <v>0</v>
      </c>
      <c r="AW583" s="1798">
        <f t="shared" si="331"/>
        <v>0</v>
      </c>
      <c r="AX583" s="179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3"/>
      <c r="AV584" s="1798">
        <f t="shared" si="330"/>
        <v>0</v>
      </c>
      <c r="AW584" s="1798">
        <f t="shared" si="331"/>
        <v>0</v>
      </c>
      <c r="AX584" s="179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8"/>
      <c r="AV585" s="1798">
        <f t="shared" si="330"/>
        <v>0</v>
      </c>
      <c r="AW585" s="1798">
        <f t="shared" si="331"/>
        <v>0</v>
      </c>
      <c r="AX585" s="179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8"/>
      <c r="AV586" s="1798">
        <f t="shared" si="330"/>
        <v>0</v>
      </c>
      <c r="AW586" s="1798">
        <f t="shared" si="331"/>
        <v>0</v>
      </c>
      <c r="AX586" s="179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8"/>
      <c r="AV587" s="1798">
        <f t="shared" si="330"/>
        <v>0</v>
      </c>
      <c r="AW587" s="1798">
        <f t="shared" si="331"/>
        <v>0</v>
      </c>
      <c r="AX587" s="179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21" sqref="A21:XFD2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1941</v>
      </c>
      <c r="B1" s="1394"/>
      <c r="C1" s="1394"/>
      <c r="D1" s="1394"/>
      <c r="E1" s="1394"/>
      <c r="F1" s="1394"/>
      <c r="G1" s="1394"/>
      <c r="H1" s="1394"/>
      <c r="I1" s="1394"/>
      <c r="J1" s="1394"/>
      <c r="K1" s="1394"/>
      <c r="L1" s="1394"/>
      <c r="M1" s="1394"/>
      <c r="N1" s="1394"/>
      <c r="O1" s="1394"/>
      <c r="P1" s="1394"/>
    </row>
    <row r="2" spans="1:16" ht="15">
      <c r="A2" s="3066" t="s">
        <v>1942</v>
      </c>
      <c r="B2" s="3066"/>
      <c r="C2" s="3066"/>
      <c r="D2" s="970" t="s">
        <v>1918</v>
      </c>
      <c r="E2" s="2231" t="s">
        <v>1919</v>
      </c>
      <c r="F2" s="1394"/>
      <c r="G2" s="2232"/>
      <c r="H2" s="2233"/>
      <c r="I2" s="2234" t="s">
        <v>1943</v>
      </c>
      <c r="J2" s="1394"/>
      <c r="K2" s="1394"/>
      <c r="L2" s="1394"/>
      <c r="M2" s="1394"/>
      <c r="N2" s="1429"/>
      <c r="O2" s="1394"/>
      <c r="P2" s="1394"/>
    </row>
    <row r="3" spans="1:16" ht="15.75" thickBot="1">
      <c r="A3" s="3067" t="s">
        <v>1916</v>
      </c>
      <c r="B3" s="3067"/>
      <c r="C3" s="3067"/>
      <c r="D3" s="45">
        <f>'数据-基础表'!AY6</f>
        <v>13150.41</v>
      </c>
      <c r="E3" s="45">
        <f>'数据-基础表'!AZ5</f>
        <v>38306.649999999907</v>
      </c>
      <c r="F3" s="1394"/>
      <c r="G3" s="1401"/>
      <c r="H3" s="1250" t="s">
        <v>1917</v>
      </c>
      <c r="I3" s="54">
        <f>ROUND('数据-基础表'!B3/'数据-基础表'!A3,2)</f>
        <v>3.77</v>
      </c>
      <c r="J3" s="1394"/>
      <c r="K3" s="1394"/>
      <c r="L3" s="1394"/>
      <c r="M3" s="1394"/>
      <c r="N3" s="1429"/>
      <c r="O3" s="1394"/>
      <c r="P3" s="1394"/>
    </row>
    <row r="4" spans="1:16" ht="15">
      <c r="A4" s="3068"/>
      <c r="B4" s="3069"/>
      <c r="C4" s="3070"/>
      <c r="D4" s="2235" t="s">
        <v>1918</v>
      </c>
      <c r="E4" s="2236" t="s">
        <v>1919</v>
      </c>
      <c r="F4" s="1394"/>
      <c r="G4" s="2237" t="s">
        <v>1944</v>
      </c>
      <c r="H4" s="1250" t="s">
        <v>1924</v>
      </c>
      <c r="I4" s="54">
        <f>ROUND(SUMIF('数据-基础表'!I9:AS9,"地上",'数据-基础表'!I5:AS5)/'数据-基础表'!A3,2)</f>
        <v>2.91</v>
      </c>
      <c r="J4" s="1394"/>
      <c r="K4" s="1394"/>
      <c r="L4" s="1394"/>
      <c r="M4" s="1394"/>
      <c r="N4" s="1429"/>
      <c r="O4" s="1394"/>
      <c r="P4" s="1394"/>
    </row>
    <row r="5" spans="1:16">
      <c r="A5" s="46" t="s">
        <v>1920</v>
      </c>
      <c r="B5" s="3071" t="s">
        <v>1921</v>
      </c>
      <c r="C5" s="3071"/>
      <c r="D5" s="47">
        <f>ROUND($D$3*E5/$E$3,2)</f>
        <v>0</v>
      </c>
      <c r="E5" s="48">
        <f>SUMIF('数据-基础表'!$11:$11,"住宅",'数据-基础表'!$5:$5)</f>
        <v>0</v>
      </c>
      <c r="F5" s="1394"/>
      <c r="G5" s="1401"/>
      <c r="H5" s="1250" t="s">
        <v>1917</v>
      </c>
      <c r="I5" s="54">
        <f>ROUND(E31/D31,2)</f>
        <v>2.91</v>
      </c>
      <c r="J5" s="1394"/>
      <c r="K5" s="1394"/>
      <c r="L5" s="1394"/>
      <c r="M5" s="1394"/>
      <c r="N5" s="1394"/>
      <c r="O5" s="1394"/>
      <c r="P5" s="1394"/>
    </row>
    <row r="6" spans="1:16" ht="15" thickBot="1">
      <c r="A6" s="2238"/>
      <c r="B6" s="3071" t="s">
        <v>1922</v>
      </c>
      <c r="C6" s="3071"/>
      <c r="D6" s="47">
        <f>ROUND($D$3*E6/$E$3,2)</f>
        <v>13150.41</v>
      </c>
      <c r="E6" s="48">
        <f>E3-E5</f>
        <v>38306.649999999907</v>
      </c>
      <c r="F6" s="1394"/>
      <c r="G6" s="2239" t="s">
        <v>1923</v>
      </c>
      <c r="H6" s="1401" t="s">
        <v>1924</v>
      </c>
      <c r="I6" s="942">
        <f>ROUND(F31/D31,2)</f>
        <v>2.91</v>
      </c>
      <c r="J6" s="1394"/>
      <c r="K6" s="1394"/>
      <c r="L6" s="1394"/>
      <c r="M6" s="1394"/>
      <c r="N6" s="1394"/>
      <c r="O6" s="1394"/>
      <c r="P6" s="1394"/>
    </row>
    <row r="7" spans="1:16" ht="15">
      <c r="A7" s="3063"/>
      <c r="B7" s="3064"/>
      <c r="C7" s="3065"/>
      <c r="D7" s="2235" t="s">
        <v>1918</v>
      </c>
      <c r="E7" s="2240" t="s">
        <v>1925</v>
      </c>
      <c r="F7" s="1394"/>
      <c r="G7" s="2232" t="s">
        <v>1926</v>
      </c>
      <c r="H7" s="63"/>
      <c r="I7" s="420"/>
      <c r="J7" s="1394"/>
      <c r="K7" s="1394"/>
      <c r="L7" s="1394"/>
      <c r="M7" s="1394"/>
      <c r="N7" s="1394"/>
      <c r="O7" s="1394"/>
      <c r="P7" s="1394"/>
    </row>
    <row r="8" spans="1:16">
      <c r="A8" s="46" t="s">
        <v>1927</v>
      </c>
      <c r="B8" s="49" t="s">
        <v>1928</v>
      </c>
      <c r="C8" s="47" t="s">
        <v>1929</v>
      </c>
      <c r="D8" s="47">
        <f t="shared" ref="D8:D15" si="0">ROUND($D$3*E8/$E$3,2)</f>
        <v>13150.41</v>
      </c>
      <c r="E8" s="50">
        <f>SUMIF('数据-基础表'!BB10:BK10,"地上",'数据-基础表'!BB5:BK5)</f>
        <v>38306.649999999907</v>
      </c>
      <c r="F8" s="1394"/>
      <c r="G8" s="2241"/>
      <c r="H8" s="2241"/>
      <c r="I8" s="1394"/>
      <c r="J8" s="1394"/>
      <c r="K8" s="1394"/>
      <c r="L8" s="1394"/>
      <c r="M8" s="1394"/>
      <c r="N8" s="1394"/>
      <c r="O8" s="1394"/>
      <c r="P8" s="1394"/>
    </row>
    <row r="9" spans="1:16">
      <c r="A9" s="2242"/>
      <c r="B9" s="2243"/>
      <c r="C9" s="47" t="s">
        <v>1930</v>
      </c>
      <c r="D9" s="47">
        <f t="shared" si="0"/>
        <v>0</v>
      </c>
      <c r="E9" s="51">
        <v>0</v>
      </c>
      <c r="F9" s="1394"/>
      <c r="G9" s="2241"/>
      <c r="H9" s="2241"/>
      <c r="I9" s="1394"/>
      <c r="J9" s="1394"/>
      <c r="K9" s="1394"/>
      <c r="L9" s="1394"/>
      <c r="M9" s="1394"/>
      <c r="N9" s="1394"/>
      <c r="O9" s="1394"/>
      <c r="P9" s="1394"/>
    </row>
    <row r="10" spans="1:16">
      <c r="A10" s="2242"/>
      <c r="B10" s="2243"/>
      <c r="C10" s="47" t="s">
        <v>1939</v>
      </c>
      <c r="D10" s="47">
        <f t="shared" si="0"/>
        <v>0</v>
      </c>
      <c r="E10" s="50">
        <f>SUMPRODUCT(('数据-基础表'!BB10:BK10="地下")*('数据-基础表'!BB11:BK11="商业")*('数据-基础表'!BB5:BK5))</f>
        <v>0</v>
      </c>
      <c r="F10" s="1394"/>
      <c r="G10" s="2241"/>
      <c r="H10" s="2241"/>
      <c r="I10" s="1394"/>
      <c r="J10" s="1394"/>
      <c r="K10" s="1394"/>
      <c r="L10" s="1394"/>
      <c r="M10" s="1394"/>
      <c r="N10" s="1394"/>
      <c r="O10" s="1394"/>
      <c r="P10" s="1394"/>
    </row>
    <row r="11" spans="1:16">
      <c r="A11" s="2242"/>
      <c r="B11" s="2243"/>
      <c r="C11" s="47" t="s">
        <v>1931</v>
      </c>
      <c r="D11" s="47">
        <f t="shared" si="0"/>
        <v>0</v>
      </c>
      <c r="E11" s="50">
        <f>SUMPRODUCT(('数据-基础表'!BB10:BK10="地下")*('数据-基础表'!BB11:BK11="办公")*('数据-基础表'!BB5:BK5))+'数据-基础表'!BP5</f>
        <v>0</v>
      </c>
      <c r="F11" s="1394"/>
      <c r="G11" s="2241"/>
      <c r="H11" s="2241"/>
      <c r="I11" s="1394"/>
      <c r="J11" s="1394"/>
      <c r="K11" s="1394"/>
      <c r="L11" s="1394"/>
      <c r="M11" s="1394"/>
      <c r="N11" s="1394"/>
      <c r="O11" s="1394"/>
      <c r="P11" s="1394"/>
    </row>
    <row r="12" spans="1:16">
      <c r="A12" s="2242"/>
      <c r="B12" s="2243"/>
      <c r="C12" s="47" t="s">
        <v>1932</v>
      </c>
      <c r="D12" s="47">
        <f t="shared" si="0"/>
        <v>0</v>
      </c>
      <c r="E12" s="50">
        <f>SUMPRODUCT(('数据-基础表'!BB10:BK10="地下")*('数据-基础表'!BB11:BK11="仓储")*('数据-基础表'!BB5:BK5))</f>
        <v>0</v>
      </c>
      <c r="F12" s="1394"/>
      <c r="G12" s="2241"/>
      <c r="H12" s="2241"/>
      <c r="I12" s="1394"/>
      <c r="J12" s="1394"/>
      <c r="K12" s="1394"/>
      <c r="L12" s="1394"/>
      <c r="M12" s="1394"/>
      <c r="N12" s="1394"/>
      <c r="O12" s="1394"/>
      <c r="P12" s="1394"/>
    </row>
    <row r="13" spans="1:16">
      <c r="A13" s="2242"/>
      <c r="B13" s="2243"/>
      <c r="C13" s="47" t="s">
        <v>1933</v>
      </c>
      <c r="D13" s="47">
        <f t="shared" si="0"/>
        <v>0</v>
      </c>
      <c r="E13" s="50">
        <f>SUMPRODUCT(('数据-基础表'!BB10:BK10="地下")*('数据-基础表'!BB11:BK11="车库")*('数据-基础表'!BB5:BK5))</f>
        <v>0</v>
      </c>
      <c r="F13" s="1394"/>
      <c r="G13" s="2241"/>
      <c r="H13" s="2241"/>
      <c r="I13" s="1394"/>
      <c r="J13" s="1394"/>
      <c r="K13" s="1394"/>
      <c r="L13" s="1394"/>
      <c r="M13" s="1394"/>
      <c r="N13" s="1394"/>
      <c r="O13" s="1394"/>
      <c r="P13" s="1394"/>
    </row>
    <row r="14" spans="1:16">
      <c r="A14" s="2242"/>
      <c r="B14" s="2243"/>
      <c r="C14" s="47" t="s">
        <v>1945</v>
      </c>
      <c r="D14" s="47">
        <f t="shared" si="0"/>
        <v>0</v>
      </c>
      <c r="E14" s="50">
        <f>SUMPRODUCT(('数据-基础表'!BB10:BK10="地下")*('数据-基础表'!BB11:BK11="车库—商业")*('数据-基础表'!BB5:BK5))</f>
        <v>0</v>
      </c>
      <c r="F14" s="1394"/>
      <c r="G14" s="2241"/>
      <c r="H14" s="2241"/>
      <c r="I14" s="1394"/>
      <c r="J14" s="1394"/>
      <c r="K14" s="1394"/>
      <c r="L14" s="1394"/>
      <c r="M14" s="1394"/>
      <c r="N14" s="1394"/>
      <c r="O14" s="1394"/>
      <c r="P14" s="1394"/>
    </row>
    <row r="15" spans="1:16" ht="15" thickBot="1">
      <c r="A15" s="2242"/>
      <c r="B15" s="2243"/>
      <c r="C15" s="47" t="s">
        <v>1940</v>
      </c>
      <c r="D15" s="47">
        <f t="shared" si="0"/>
        <v>0</v>
      </c>
      <c r="E15" s="50">
        <f>SUMPRODUCT(('数据-基础表'!BB10:BK10="地下")*('数据-基础表'!BB11:BK11="车库—办公")*('数据-基础表'!BB5:BK5))</f>
        <v>0</v>
      </c>
      <c r="F15" s="1394"/>
      <c r="G15" s="2241"/>
      <c r="H15" s="2241"/>
      <c r="I15" s="1394"/>
      <c r="J15" s="1394"/>
      <c r="K15" s="1394"/>
      <c r="L15" s="1394"/>
      <c r="M15" s="1394"/>
      <c r="N15" s="1394"/>
      <c r="O15" s="1394"/>
      <c r="P15" s="1394"/>
    </row>
    <row r="16" spans="1:16" ht="15.75" thickBot="1">
      <c r="A16" s="2238"/>
      <c r="B16" s="2243"/>
      <c r="C16" s="49" t="s">
        <v>1934</v>
      </c>
      <c r="D16" s="49">
        <f>SUM(D8:D15)</f>
        <v>13150.41</v>
      </c>
      <c r="E16" s="52">
        <f>SUM(E8:E15)</f>
        <v>38306.649999999907</v>
      </c>
      <c r="F16" s="1394"/>
      <c r="G16" s="2241"/>
      <c r="H16" s="2244" t="s">
        <v>1946</v>
      </c>
      <c r="I16" s="2245"/>
      <c r="J16" s="1394"/>
      <c r="K16" s="3060" t="s">
        <v>1946</v>
      </c>
      <c r="L16" s="3061"/>
      <c r="M16" s="3061"/>
      <c r="N16" s="3061"/>
      <c r="O16" s="3061"/>
      <c r="P16" s="3062"/>
    </row>
    <row r="17" spans="1:19" ht="15">
      <c r="A17" s="2246" t="s">
        <v>1947</v>
      </c>
      <c r="B17" s="2247" t="s">
        <v>1948</v>
      </c>
      <c r="C17" s="2248" t="s">
        <v>1949</v>
      </c>
      <c r="D17" s="2249" t="s">
        <v>1937</v>
      </c>
      <c r="E17" s="2250" t="s">
        <v>1938</v>
      </c>
      <c r="F17" s="2251"/>
      <c r="G17" s="2252"/>
      <c r="H17" s="2253" t="s">
        <v>1950</v>
      </c>
      <c r="I17" s="2254" t="s">
        <v>1935</v>
      </c>
      <c r="J17" s="1394"/>
      <c r="K17" s="3057" t="s">
        <v>1951</v>
      </c>
      <c r="L17" s="3058"/>
      <c r="M17" s="3059"/>
      <c r="N17" s="3057" t="s">
        <v>1952</v>
      </c>
      <c r="O17" s="3058"/>
      <c r="P17" s="3059"/>
      <c r="R17" s="2232" t="s">
        <v>1953</v>
      </c>
      <c r="S17" s="63"/>
    </row>
    <row r="18" spans="1:19" ht="15">
      <c r="A18" s="2242"/>
      <c r="B18" s="2255"/>
      <c r="C18" s="2256"/>
      <c r="D18" s="2257"/>
      <c r="E18" s="2258" t="s">
        <v>1954</v>
      </c>
      <c r="F18" s="2259" t="s">
        <v>1955</v>
      </c>
      <c r="G18" s="2260" t="s">
        <v>1956</v>
      </c>
      <c r="H18" s="1265" t="s">
        <v>1957</v>
      </c>
      <c r="I18" s="2261" t="s">
        <v>1958</v>
      </c>
      <c r="J18" s="1394"/>
      <c r="K18" s="1265" t="s">
        <v>1959</v>
      </c>
      <c r="L18" s="2262" t="s">
        <v>1960</v>
      </c>
      <c r="M18" s="1049" t="s">
        <v>1961</v>
      </c>
      <c r="N18" s="1265" t="s">
        <v>1959</v>
      </c>
      <c r="O18" s="2262" t="s">
        <v>1960</v>
      </c>
      <c r="P18" s="1049" t="s">
        <v>1961</v>
      </c>
      <c r="R18" s="1250" t="s">
        <v>1962</v>
      </c>
      <c r="S18" s="1250" t="s">
        <v>1963</v>
      </c>
    </row>
    <row r="19" spans="1:19">
      <c r="A19" s="2263"/>
      <c r="B19" s="49" t="s">
        <v>1936</v>
      </c>
      <c r="C19" s="2264" t="str">
        <f>'数据-基础表'!C13</f>
        <v>7-1003</v>
      </c>
      <c r="D19" s="47">
        <f>ROUND($D$3*E19/$E$3,2)</f>
        <v>33.96</v>
      </c>
      <c r="E19" s="55">
        <f t="shared" ref="E19:E26" si="1">SUM(F19:G19)</f>
        <v>98.91</v>
      </c>
      <c r="F19" s="56">
        <f>'数据-基础表'!AZ13</f>
        <v>98.91</v>
      </c>
      <c r="G19" s="57"/>
      <c r="H19" s="723">
        <f>ROUND($D$3*I19/$E$3,2)</f>
        <v>0</v>
      </c>
      <c r="I19" s="50">
        <f t="shared" ref="I19:I26" si="2">IF($I$17="自定义",P19,M19)</f>
        <v>0</v>
      </c>
      <c r="J19" s="1394"/>
      <c r="K19" s="1393">
        <f t="shared" ref="K19:K26" si="3">ROUND(E$28*E19/E$27,2)</f>
        <v>0</v>
      </c>
      <c r="L19" s="1250">
        <f t="shared" ref="L19:L26" si="4">ROUND(IF(COUNTIF(C19,"*住宅*")&gt;0,E$29*E19/E$32,0),2)</f>
        <v>0</v>
      </c>
      <c r="M19" s="1405">
        <f>K19+L19</f>
        <v>0</v>
      </c>
      <c r="N19" s="2265"/>
      <c r="O19" s="2266"/>
      <c r="P19" s="1405">
        <f>N19+O19</f>
        <v>0</v>
      </c>
      <c r="R19" s="1250">
        <f t="shared" ref="R19:S26" si="5">D19+H19</f>
        <v>33.96</v>
      </c>
      <c r="S19" s="1251">
        <f t="shared" si="5"/>
        <v>98.91</v>
      </c>
    </row>
    <row r="20" spans="1:19">
      <c r="A20" s="2267"/>
      <c r="B20" s="49" t="s">
        <v>1964</v>
      </c>
      <c r="C20" s="2946" t="s">
        <v>3661</v>
      </c>
      <c r="D20" s="47">
        <f t="shared" ref="D20:D26" si="6">ROUND($D$3*E20/$E$3,2)</f>
        <v>13116.45</v>
      </c>
      <c r="E20" s="55">
        <f t="shared" si="1"/>
        <v>38207.739999999903</v>
      </c>
      <c r="F20" s="56">
        <f>'数据-基础表'!AZ5-'数据-基础表'!AZ13</f>
        <v>38207.739999999903</v>
      </c>
      <c r="G20" s="57"/>
      <c r="H20" s="723">
        <f t="shared" ref="H20:H26" si="7">ROUND($D$3*I20/$E$3,2)</f>
        <v>0</v>
      </c>
      <c r="I20" s="50">
        <f t="shared" si="2"/>
        <v>0</v>
      </c>
      <c r="J20" s="1394"/>
      <c r="K20" s="1393">
        <f t="shared" si="3"/>
        <v>0</v>
      </c>
      <c r="L20" s="1250">
        <f t="shared" si="4"/>
        <v>0</v>
      </c>
      <c r="M20" s="1405">
        <f t="shared" ref="M20:M26" si="8">K20+L20</f>
        <v>0</v>
      </c>
      <c r="N20" s="2265"/>
      <c r="O20" s="2266"/>
      <c r="P20" s="1405">
        <f t="shared" ref="P20:P26" si="9">N20+O20</f>
        <v>0</v>
      </c>
      <c r="R20" s="1250">
        <f t="shared" si="5"/>
        <v>13116.45</v>
      </c>
      <c r="S20" s="1251">
        <f t="shared" si="5"/>
        <v>38207.739999999903</v>
      </c>
    </row>
    <row r="21" spans="1:19" hidden="1">
      <c r="A21" s="2267"/>
      <c r="B21" s="49" t="s">
        <v>1964</v>
      </c>
      <c r="C21" s="2264"/>
      <c r="D21" s="47">
        <f t="shared" si="6"/>
        <v>0</v>
      </c>
      <c r="E21" s="55">
        <f t="shared" si="1"/>
        <v>0</v>
      </c>
      <c r="F21" s="56"/>
      <c r="G21" s="57"/>
      <c r="H21" s="723">
        <f t="shared" si="7"/>
        <v>0</v>
      </c>
      <c r="I21" s="50">
        <f t="shared" si="2"/>
        <v>0</v>
      </c>
      <c r="J21" s="1394"/>
      <c r="K21" s="1393">
        <f t="shared" si="3"/>
        <v>0</v>
      </c>
      <c r="L21" s="1250">
        <f t="shared" si="4"/>
        <v>0</v>
      </c>
      <c r="M21" s="1405">
        <f t="shared" si="8"/>
        <v>0</v>
      </c>
      <c r="N21" s="2265"/>
      <c r="O21" s="2266"/>
      <c r="P21" s="1405">
        <f t="shared" si="9"/>
        <v>0</v>
      </c>
      <c r="R21" s="1250">
        <f t="shared" si="5"/>
        <v>0</v>
      </c>
      <c r="S21" s="1251">
        <f t="shared" si="5"/>
        <v>0</v>
      </c>
    </row>
    <row r="22" spans="1:19" hidden="1">
      <c r="A22" s="2267"/>
      <c r="B22" s="49" t="s">
        <v>1964</v>
      </c>
      <c r="C22" s="59"/>
      <c r="D22" s="47">
        <f t="shared" si="6"/>
        <v>0</v>
      </c>
      <c r="E22" s="55">
        <f t="shared" si="1"/>
        <v>0</v>
      </c>
      <c r="F22" s="60"/>
      <c r="G22" s="61"/>
      <c r="H22" s="723">
        <f t="shared" si="7"/>
        <v>0</v>
      </c>
      <c r="I22" s="50">
        <f t="shared" si="2"/>
        <v>0</v>
      </c>
      <c r="J22" s="1394"/>
      <c r="K22" s="1393">
        <f t="shared" si="3"/>
        <v>0</v>
      </c>
      <c r="L22" s="1250">
        <f t="shared" si="4"/>
        <v>0</v>
      </c>
      <c r="M22" s="1405">
        <f t="shared" si="8"/>
        <v>0</v>
      </c>
      <c r="N22" s="2265"/>
      <c r="O22" s="2266"/>
      <c r="P22" s="1405">
        <f t="shared" si="9"/>
        <v>0</v>
      </c>
      <c r="R22" s="1250">
        <f t="shared" si="5"/>
        <v>0</v>
      </c>
      <c r="S22" s="1251">
        <f t="shared" si="5"/>
        <v>0</v>
      </c>
    </row>
    <row r="23" spans="1:19" hidden="1">
      <c r="A23" s="2267"/>
      <c r="B23" s="49" t="s">
        <v>1964</v>
      </c>
      <c r="C23" s="59"/>
      <c r="D23" s="47">
        <f>ROUND($D$3*E23/$E$3,2)</f>
        <v>0</v>
      </c>
      <c r="E23" s="55">
        <f>SUM(F23:G23)</f>
        <v>0</v>
      </c>
      <c r="F23" s="60"/>
      <c r="G23" s="61"/>
      <c r="H23" s="723">
        <f>ROUND($D$3*I23/$E$3,2)</f>
        <v>0</v>
      </c>
      <c r="I23" s="50">
        <f t="shared" si="2"/>
        <v>0</v>
      </c>
      <c r="J23" s="1394"/>
      <c r="K23" s="1393">
        <f t="shared" si="3"/>
        <v>0</v>
      </c>
      <c r="L23" s="1250">
        <f t="shared" si="4"/>
        <v>0</v>
      </c>
      <c r="M23" s="1405">
        <f t="shared" si="8"/>
        <v>0</v>
      </c>
      <c r="N23" s="2265"/>
      <c r="O23" s="2266"/>
      <c r="P23" s="1405">
        <f t="shared" si="9"/>
        <v>0</v>
      </c>
      <c r="R23" s="1250">
        <f t="shared" si="5"/>
        <v>0</v>
      </c>
      <c r="S23" s="1251">
        <f t="shared" si="5"/>
        <v>0</v>
      </c>
    </row>
    <row r="24" spans="1:19" hidden="1">
      <c r="A24" s="2267"/>
      <c r="B24" s="49" t="s">
        <v>1964</v>
      </c>
      <c r="C24" s="59"/>
      <c r="D24" s="47">
        <f>ROUND($D$3*E24/$E$3,2)</f>
        <v>0</v>
      </c>
      <c r="E24" s="55">
        <f>SUM(F24:G24)</f>
        <v>0</v>
      </c>
      <c r="F24" s="60"/>
      <c r="G24" s="61"/>
      <c r="H24" s="723">
        <f>ROUND($D$3*I24/$E$3,2)</f>
        <v>0</v>
      </c>
      <c r="I24" s="50">
        <f t="shared" si="2"/>
        <v>0</v>
      </c>
      <c r="J24" s="1394"/>
      <c r="K24" s="1393">
        <f t="shared" si="3"/>
        <v>0</v>
      </c>
      <c r="L24" s="1250">
        <f t="shared" si="4"/>
        <v>0</v>
      </c>
      <c r="M24" s="1405">
        <f t="shared" si="8"/>
        <v>0</v>
      </c>
      <c r="N24" s="2265"/>
      <c r="O24" s="2266"/>
      <c r="P24" s="1405">
        <f t="shared" si="9"/>
        <v>0</v>
      </c>
      <c r="R24" s="1250">
        <f t="shared" si="5"/>
        <v>0</v>
      </c>
      <c r="S24" s="1251">
        <f t="shared" si="5"/>
        <v>0</v>
      </c>
    </row>
    <row r="25" spans="1:19" hidden="1">
      <c r="A25" s="2267"/>
      <c r="B25" s="49" t="s">
        <v>1964</v>
      </c>
      <c r="C25" s="59"/>
      <c r="D25" s="47">
        <f t="shared" si="6"/>
        <v>0</v>
      </c>
      <c r="E25" s="55">
        <f t="shared" si="1"/>
        <v>0</v>
      </c>
      <c r="F25" s="60"/>
      <c r="G25" s="61"/>
      <c r="H25" s="46">
        <f t="shared" si="7"/>
        <v>0</v>
      </c>
      <c r="I25" s="50">
        <f t="shared" si="2"/>
        <v>0</v>
      </c>
      <c r="J25" s="1394"/>
      <c r="K25" s="1393">
        <f t="shared" si="3"/>
        <v>0</v>
      </c>
      <c r="L25" s="1250">
        <f t="shared" si="4"/>
        <v>0</v>
      </c>
      <c r="M25" s="1405">
        <f t="shared" si="8"/>
        <v>0</v>
      </c>
      <c r="N25" s="2265"/>
      <c r="O25" s="2266"/>
      <c r="P25" s="1405">
        <f t="shared" si="9"/>
        <v>0</v>
      </c>
      <c r="R25" s="1250">
        <f t="shared" si="5"/>
        <v>0</v>
      </c>
      <c r="S25" s="1251">
        <f t="shared" si="5"/>
        <v>0</v>
      </c>
    </row>
    <row r="26" spans="1:19" hidden="1">
      <c r="A26" s="2267"/>
      <c r="B26" s="49" t="s">
        <v>1964</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8"/>
      <c r="O26" s="2269"/>
      <c r="P26" s="66">
        <f t="shared" si="9"/>
        <v>0</v>
      </c>
      <c r="R26" s="1250">
        <f t="shared" si="5"/>
        <v>0</v>
      </c>
      <c r="S26" s="1251">
        <f t="shared" si="5"/>
        <v>0</v>
      </c>
    </row>
    <row r="27" spans="1:19" ht="15.75" thickBot="1">
      <c r="A27" s="2267"/>
      <c r="B27" s="47"/>
      <c r="C27" s="2270" t="s">
        <v>1965</v>
      </c>
      <c r="D27" s="1395">
        <f>SUM(D19:D26)</f>
        <v>13150.41</v>
      </c>
      <c r="E27" s="1396">
        <f>IF(SUM(E19:E26)='数据-基础表'!BA5,SUM(E19:E26),IF(F27="地上面积有误","面积有误","地下面积有误"))</f>
        <v>38306.649999999907</v>
      </c>
      <c r="F27" s="1395">
        <f>IF(SUM(F19:F26)=E8,SUM(F19:F26),"地上面积有误")</f>
        <v>38306.649999999907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13150.41</v>
      </c>
      <c r="S27" s="1250">
        <f>IF(SUM(S19:S26)=$E$3,SUM(S19:S26),SUM(S19:S26)&amp;"误差"&amp;ROUND(SUM(S19:S26)-E3,2))</f>
        <v>38306.649999999907</v>
      </c>
    </row>
    <row r="28" spans="1:19">
      <c r="A28" s="2267"/>
      <c r="B28" s="49" t="s">
        <v>1966</v>
      </c>
      <c r="C28" s="1262" t="s">
        <v>1967</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7"/>
      <c r="B29" s="49" t="s">
        <v>1966</v>
      </c>
      <c r="C29" s="2271" t="s">
        <v>1968</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7"/>
      <c r="B30" s="49"/>
      <c r="C30" s="2272" t="s">
        <v>1965</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3"/>
      <c r="B31" s="2274"/>
      <c r="C31" s="1010" t="s">
        <v>1969</v>
      </c>
      <c r="D31" s="729">
        <f>D27+D30</f>
        <v>13150.41</v>
      </c>
      <c r="E31" s="729">
        <f>E27+E30</f>
        <v>38306.649999999907</v>
      </c>
      <c r="F31" s="730">
        <f>F27+F30</f>
        <v>38306.649999999907</v>
      </c>
      <c r="G31" s="731">
        <f>G27+G30</f>
        <v>0</v>
      </c>
      <c r="H31" s="1394"/>
      <c r="I31" s="1394"/>
      <c r="J31" s="1394"/>
      <c r="K31" s="1394"/>
      <c r="L31" s="1394"/>
      <c r="M31" s="1394"/>
      <c r="N31" s="1394"/>
      <c r="O31" s="1394"/>
      <c r="P31" s="1394"/>
    </row>
    <row r="32" spans="1:19">
      <c r="A32" s="2237"/>
      <c r="B32" s="2237" t="s">
        <v>1970</v>
      </c>
      <c r="C32" s="2237"/>
      <c r="D32" s="2237"/>
      <c r="E32" s="1276">
        <f>SUMIF(C19:C26,"*住宅*",E19:E26)</f>
        <v>0</v>
      </c>
      <c r="F32" s="2237"/>
      <c r="G32" s="2237"/>
      <c r="H32" s="1394"/>
      <c r="I32" s="1394"/>
      <c r="J32" s="1394"/>
      <c r="K32" s="1394"/>
      <c r="L32" s="1394"/>
      <c r="M32" s="1394"/>
      <c r="N32" s="1394"/>
      <c r="O32" s="1394"/>
      <c r="P32" s="1394"/>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53" sqref="A1:AM53"/>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25" width="6.75" style="2279" customWidth="1"/>
    <col min="26" max="30" width="6.75" style="2279" hidden="1" customWidth="1"/>
    <col min="31" max="31" width="8" style="2279" customWidth="1"/>
    <col min="32" max="33" width="7.25" style="2279" customWidth="1"/>
    <col min="34" max="34" width="9.6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1971</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1972</v>
      </c>
      <c r="B2" s="1269">
        <f>项目基本情况!D3</f>
        <v>43033</v>
      </c>
      <c r="C2" s="2281"/>
      <c r="D2" s="2282"/>
      <c r="E2" s="2281"/>
      <c r="F2" s="2281"/>
      <c r="G2" s="2281"/>
      <c r="H2" s="2281"/>
      <c r="I2" s="2281"/>
      <c r="J2" s="2281"/>
      <c r="K2" s="1429"/>
      <c r="L2" s="1429"/>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29"/>
      <c r="L3" s="1429"/>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7" t="s">
        <v>1973</v>
      </c>
      <c r="B4" s="2285"/>
      <c r="C4" s="2286"/>
      <c r="D4" s="2287"/>
      <c r="E4" s="2286" t="s">
        <v>1974</v>
      </c>
      <c r="F4" s="2286"/>
      <c r="G4" s="2286"/>
      <c r="H4" s="2286"/>
      <c r="I4" s="2286"/>
      <c r="J4" s="2288"/>
      <c r="K4" s="2289"/>
      <c r="L4" s="2290"/>
      <c r="M4" s="2286"/>
      <c r="N4" s="2286" t="s">
        <v>1975</v>
      </c>
      <c r="O4" s="2286"/>
      <c r="P4" s="2286"/>
      <c r="Q4" s="2286"/>
      <c r="R4" s="2286"/>
      <c r="S4" s="2288"/>
      <c r="T4" s="2291" t="str">
        <f>'数据-汇总表'!I17</f>
        <v>按面积比例</v>
      </c>
      <c r="U4" s="2285" t="s">
        <v>1976</v>
      </c>
      <c r="V4" s="2286"/>
      <c r="W4" s="2286"/>
      <c r="X4" s="2286"/>
      <c r="Y4" s="2288"/>
      <c r="Z4" s="2248" t="s">
        <v>1977</v>
      </c>
      <c r="AA4" s="2248"/>
      <c r="AB4" s="2248"/>
      <c r="AC4" s="2248"/>
      <c r="AD4" s="2248"/>
      <c r="AE4" s="2246" t="s">
        <v>1978</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1979</v>
      </c>
      <c r="B5" s="2294" t="s">
        <v>1980</v>
      </c>
      <c r="C5" s="2295" t="s">
        <v>1981</v>
      </c>
      <c r="D5" s="2296" t="s">
        <v>1982</v>
      </c>
      <c r="E5" s="1271" t="s">
        <v>1983</v>
      </c>
      <c r="F5" s="2297" t="s">
        <v>1984</v>
      </c>
      <c r="G5" s="1271" t="s">
        <v>1985</v>
      </c>
      <c r="H5" s="1271" t="s">
        <v>1986</v>
      </c>
      <c r="I5" s="1271" t="s">
        <v>1987</v>
      </c>
      <c r="J5" s="2298" t="s">
        <v>1988</v>
      </c>
      <c r="K5" s="2299" t="s">
        <v>1989</v>
      </c>
      <c r="L5" s="2300" t="s">
        <v>1990</v>
      </c>
      <c r="M5" s="2301" t="s">
        <v>1991</v>
      </c>
      <c r="N5" s="2302" t="s">
        <v>3662</v>
      </c>
      <c r="O5" s="2300" t="s">
        <v>1992</v>
      </c>
      <c r="P5" s="2303" t="s">
        <v>1993</v>
      </c>
      <c r="Q5" s="68" t="s">
        <v>1994</v>
      </c>
      <c r="R5" s="2304" t="s">
        <v>1995</v>
      </c>
      <c r="S5" s="2305" t="s">
        <v>1996</v>
      </c>
      <c r="T5" s="2306" t="s">
        <v>1997</v>
      </c>
      <c r="U5" s="1270" t="s">
        <v>1998</v>
      </c>
      <c r="V5" s="1271" t="s">
        <v>1999</v>
      </c>
      <c r="W5" s="1271" t="s">
        <v>2000</v>
      </c>
      <c r="X5" s="70"/>
      <c r="Y5" s="69" t="s">
        <v>2001</v>
      </c>
      <c r="Z5" s="2307" t="s">
        <v>1998</v>
      </c>
      <c r="AA5" s="1271" t="s">
        <v>1999</v>
      </c>
      <c r="AB5" s="1271" t="s">
        <v>2000</v>
      </c>
      <c r="AC5" s="70"/>
      <c r="AD5" s="70" t="s">
        <v>2001</v>
      </c>
      <c r="AE5" s="1270" t="s">
        <v>2002</v>
      </c>
      <c r="AF5" s="1271" t="s">
        <v>2003</v>
      </c>
      <c r="AG5" s="69" t="s">
        <v>2004</v>
      </c>
      <c r="AH5" s="1270" t="s">
        <v>2005</v>
      </c>
      <c r="AI5" s="2307" t="s">
        <v>2006</v>
      </c>
      <c r="AJ5" s="2307" t="s">
        <v>2007</v>
      </c>
      <c r="AK5" s="1271" t="s">
        <v>2008</v>
      </c>
      <c r="AL5" s="1271" t="s">
        <v>2009</v>
      </c>
      <c r="AM5" s="69" t="s">
        <v>2010</v>
      </c>
      <c r="AN5" s="2308" t="s">
        <v>2011</v>
      </c>
      <c r="AO5" s="2078" t="s">
        <v>2012</v>
      </c>
      <c r="AP5" s="1252" t="s">
        <v>2013</v>
      </c>
      <c r="AQ5" s="2309" t="s">
        <v>2014</v>
      </c>
      <c r="AR5" s="2309" t="s">
        <v>2015</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7-1003</v>
      </c>
      <c r="B6" s="2311" t="str">
        <f>IF(A6=0,"","经营性")</f>
        <v>经营性</v>
      </c>
      <c r="C6" s="2312" t="s">
        <v>1378</v>
      </c>
      <c r="D6" s="1054">
        <f>SUMIF(项目基本情况!D$12:I$12,C6,项目基本情况!D$14:I$14)</f>
        <v>40</v>
      </c>
      <c r="E6" s="1051">
        <f>IF(B6="","",SUMIF(项目基本情况!D$12:I$12,C6,项目基本情况!D$13:I$13))</f>
        <v>55683</v>
      </c>
      <c r="F6" s="71">
        <f>SUMIF(项目基本情况!D$12:I$12,C6,项目基本情况!D$15:I$15)</f>
        <v>34.65</v>
      </c>
      <c r="G6" s="72">
        <f>IF(ISERROR(ROUND(POWER(1+H6,D6-F6)*(POWER(1+H6,F6)-1)/(POWER(1+H6,D6)-1),3)),0,ROUND(POWER(1+H6,D6-F6)*(POWER(1+H6,F6)-1)/(POWER(1+H6,D6)-1),3))</f>
        <v>0.94499999999999995</v>
      </c>
      <c r="H6" s="802">
        <v>4.4999999999999998E-2</v>
      </c>
      <c r="I6" s="802">
        <v>0.05</v>
      </c>
      <c r="J6" s="73">
        <v>8.5000000000000006E-2</v>
      </c>
      <c r="K6" s="1254">
        <f>SUMIF('数据-汇总表'!C$19:C$33,A6,'数据-汇总表'!E$19:E$33)</f>
        <v>98.91</v>
      </c>
      <c r="L6" s="803">
        <v>2800</v>
      </c>
      <c r="M6" s="74">
        <f t="shared" ref="M6:M14" si="0">ROUND(K6*L6/10000,0)</f>
        <v>28</v>
      </c>
      <c r="N6" s="801">
        <f>ROUND(1-(2017-2016)/60,2)</f>
        <v>0.98</v>
      </c>
      <c r="O6" s="74" t="str">
        <f>IF($N$5="成新度","——",ROUND(M6*N6,0))</f>
        <v>——</v>
      </c>
      <c r="P6" s="75" t="str">
        <f>IF($N$5="成新度","——",M6-O6)</f>
        <v>——</v>
      </c>
      <c r="Q6" s="804">
        <v>0.1</v>
      </c>
      <c r="R6" s="76">
        <f ca="1">SUMIF('数据-汇总表'!C$19:C$33,A6,'数据-汇总表'!R$19:R$27)</f>
        <v>33.96</v>
      </c>
      <c r="S6" s="53">
        <f>IF('数据-汇总表'!$I$17="按面积比例",SUMIF('数据-汇总表'!C$19:C$33,A6,'数据-汇总表'!K$19:K$33),SUMIF('数据-汇总表'!C$19:C$33,A6,'数据-汇总表'!N$19:N$33))</f>
        <v>0</v>
      </c>
      <c r="T6" s="1445">
        <f>ROUND($L$14*S6/10000,0)</f>
        <v>0</v>
      </c>
      <c r="U6" s="77">
        <v>1.5</v>
      </c>
      <c r="V6" s="78">
        <v>0.03</v>
      </c>
      <c r="W6" s="78">
        <v>0.1</v>
      </c>
      <c r="X6" s="1264"/>
      <c r="Y6" s="79">
        <f>N6</f>
        <v>0.98</v>
      </c>
      <c r="Z6" s="80"/>
      <c r="AA6" s="73"/>
      <c r="AB6" s="73"/>
      <c r="AC6" s="1264"/>
      <c r="AD6" s="81"/>
      <c r="AE6" s="1265">
        <f ca="1">IF(AN6="",0,SUMIF(INDIRECT("'"&amp;AN6&amp;"'"&amp;"!E:E"),$AE$5,INDIRECT("'"&amp;AN6&amp;"'"&amp;"!F:F")))</f>
        <v>34.65</v>
      </c>
      <c r="AF6" s="1807"/>
      <c r="AG6" s="146">
        <f>IF(AF6="",0,AE6-AF6)</f>
        <v>0</v>
      </c>
      <c r="AH6" s="2947">
        <f>K6</f>
        <v>98.91</v>
      </c>
      <c r="AI6" s="84">
        <v>365</v>
      </c>
      <c r="AJ6" s="85"/>
      <c r="AK6" s="86">
        <v>0.02</v>
      </c>
      <c r="AL6" s="87">
        <v>2E-3</v>
      </c>
      <c r="AM6" s="88">
        <v>0.03</v>
      </c>
      <c r="AN6" s="2313" t="s">
        <v>3724</v>
      </c>
      <c r="AO6" s="54">
        <f ca="1">SUMIF(INDIRECT("'"&amp;AN6&amp;"'"&amp;"!A:A"),"总价",INDIRECT("'"&amp;AN6&amp;"'"&amp;"!B:B"))</f>
        <v>79</v>
      </c>
      <c r="AP6" s="2314">
        <f>IF(C6="住宅",K6*L6,0)</f>
        <v>0</v>
      </c>
      <c r="AQ6" s="54">
        <f>ROUND($L$14*$N$14*S6/10000,0)</f>
        <v>0</v>
      </c>
      <c r="AR6" s="54">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其余办公用房</v>
      </c>
      <c r="B7" s="2311" t="str">
        <f t="shared" ref="B7:B13" si="1">IF(A7=0,"","经营性")</f>
        <v>经营性</v>
      </c>
      <c r="C7" s="2312" t="s">
        <v>1378</v>
      </c>
      <c r="D7" s="1054">
        <f>SUMIF(项目基本情况!D$12:I$12,C7,项目基本情况!D$14:I$14)</f>
        <v>40</v>
      </c>
      <c r="E7" s="1051">
        <f>IF(B7="","",SUMIF(项目基本情况!D$12:I$12,C7,项目基本情况!D$13:I$13))</f>
        <v>55683</v>
      </c>
      <c r="F7" s="71">
        <f>SUMIF(项目基本情况!D$12:I$12,C7,项目基本情况!D$15:I$15)</f>
        <v>34.65</v>
      </c>
      <c r="G7" s="72">
        <f t="shared" ref="G7:G11" si="2">IF(ISERROR(ROUND(POWER(1+H7,D7-F7)*(POWER(1+H7,F7)-1)/(POWER(1+H7,D7)-1),3)),0,ROUND(POWER(1+H7,D7-F7)*(POWER(1+H7,F7)-1)/(POWER(1+H7,D7)-1),3))</f>
        <v>0.94499999999999995</v>
      </c>
      <c r="H7" s="802">
        <v>4.4999999999999998E-2</v>
      </c>
      <c r="I7" s="802">
        <v>0.05</v>
      </c>
      <c r="J7" s="73">
        <v>8.5000000000000006E-2</v>
      </c>
      <c r="K7" s="1254">
        <f>SUMIF('数据-汇总表'!C$19:C$33,A7,'数据-汇总表'!E$19:E$33)</f>
        <v>38207.739999999903</v>
      </c>
      <c r="L7" s="803">
        <v>2800</v>
      </c>
      <c r="M7" s="74">
        <f t="shared" si="0"/>
        <v>10698</v>
      </c>
      <c r="N7" s="801">
        <f>ROUND(1-(2017-2016)/60,2)</f>
        <v>0.98</v>
      </c>
      <c r="O7" s="74" t="str">
        <f t="shared" ref="O7:O14" si="3">IF($N$5="成新度","——",ROUND(M7*N7,0))</f>
        <v>——</v>
      </c>
      <c r="P7" s="75" t="str">
        <f t="shared" ref="P7:P14" si="4">IF($N$5="成新度","——",M7-O7)</f>
        <v>——</v>
      </c>
      <c r="Q7" s="804">
        <v>0.1</v>
      </c>
      <c r="R7" s="76">
        <f ca="1">SUMIF('数据-汇总表'!C$19:C$33,A7,'数据-汇总表'!R$19:R$27)</f>
        <v>13116.45</v>
      </c>
      <c r="S7" s="53">
        <f>IF('数据-汇总表'!$I$17="按面积比例",SUMIF('数据-汇总表'!C$19:C$33,A7,'数据-汇总表'!K$19:K$33),SUMIF('数据-汇总表'!C$19:C$33,A7,'数据-汇总表'!N$19:N$33))</f>
        <v>0</v>
      </c>
      <c r="T7" s="1445">
        <f t="shared" ref="T7:T13" si="5">ROUND($L$14*S7/10000,0)</f>
        <v>0</v>
      </c>
      <c r="U7" s="77">
        <v>1.5</v>
      </c>
      <c r="V7" s="78">
        <v>0.03</v>
      </c>
      <c r="W7" s="78">
        <v>0.1</v>
      </c>
      <c r="X7" s="1264"/>
      <c r="Y7" s="79">
        <f>N7</f>
        <v>0.98</v>
      </c>
      <c r="Z7" s="80"/>
      <c r="AA7" s="73"/>
      <c r="AB7" s="73"/>
      <c r="AC7" s="1264"/>
      <c r="AD7" s="81"/>
      <c r="AE7" s="1265">
        <f t="shared" ref="AE7:AE13" ca="1" si="6">IF(AN7="",0,SUMIF(INDIRECT("'"&amp;AN7&amp;"'"&amp;"!E:E"),$AE$5,INDIRECT("'"&amp;AN7&amp;"'"&amp;"!F:F")))</f>
        <v>0</v>
      </c>
      <c r="AF7" s="1807"/>
      <c r="AG7" s="146">
        <f t="shared" ref="AG7:AG13" si="7">IF(AF7="",0,AE7-AF7)</f>
        <v>0</v>
      </c>
      <c r="AH7" s="2947">
        <f>K7</f>
        <v>38207.739999999903</v>
      </c>
      <c r="AI7" s="84">
        <v>365</v>
      </c>
      <c r="AJ7" s="85"/>
      <c r="AK7" s="86">
        <v>0.02</v>
      </c>
      <c r="AL7" s="87">
        <v>2E-3</v>
      </c>
      <c r="AM7" s="88">
        <v>0.03</v>
      </c>
      <c r="AN7" s="2313"/>
      <c r="AO7" s="54" t="e">
        <f t="shared" ref="AO7:AO13" ca="1" si="8">SUMIF(INDIRECT("'"&amp;AN7&amp;"'"&amp;"!A:A"),"总价",INDIRECT("'"&amp;AN7&amp;"'"&amp;"!B:B"))</f>
        <v>#REF!</v>
      </c>
      <c r="AP7" s="2314">
        <f t="shared" ref="AP7:AP13" si="9">IF(C7="住宅",K7*L7,0)</f>
        <v>0</v>
      </c>
      <c r="AQ7" s="54">
        <f t="shared" ref="AQ7:AQ13" si="10">ROUND($L$14*$N$14*S7/10000,0)</f>
        <v>0</v>
      </c>
      <c r="AR7" s="54">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hidden="1">
      <c r="A8" s="2310">
        <f>'数据-汇总表'!C21</f>
        <v>0</v>
      </c>
      <c r="B8" s="2311" t="str">
        <f t="shared" si="1"/>
        <v/>
      </c>
      <c r="C8" s="2312"/>
      <c r="D8" s="1054">
        <f>SUMIF(项目基本情况!D$12:I$12,C8,项目基本情况!D$14:I$14)</f>
        <v>0</v>
      </c>
      <c r="E8" s="1051" t="str">
        <f>IF(B8="","",SUMIF(项目基本情况!D$12:I$12,C8,项目基本情况!D$13:I$13))</f>
        <v/>
      </c>
      <c r="F8" s="71">
        <f>SUMIF(项目基本情况!D$12:I$12,C8,项目基本情况!D$15:I$15)</f>
        <v>0</v>
      </c>
      <c r="G8" s="72">
        <f t="shared" si="2"/>
        <v>0</v>
      </c>
      <c r="H8" s="802"/>
      <c r="I8" s="802"/>
      <c r="J8" s="73"/>
      <c r="K8" s="1254">
        <f>SUMIF('数据-汇总表'!C$19:C$33,A8,'数据-汇总表'!E$19:E$33)</f>
        <v>0</v>
      </c>
      <c r="L8" s="803"/>
      <c r="M8" s="74">
        <f>ROUND(K8*L8/10000,0)</f>
        <v>0</v>
      </c>
      <c r="N8" s="801"/>
      <c r="O8" s="74" t="str">
        <f t="shared" si="3"/>
        <v>——</v>
      </c>
      <c r="P8" s="75" t="str">
        <f t="shared" si="4"/>
        <v>——</v>
      </c>
      <c r="Q8" s="804"/>
      <c r="R8" s="76">
        <f ca="1">SUMIF('数据-汇总表'!C$19:C$33,A8,'数据-汇总表'!R$19:R$27)</f>
        <v>0</v>
      </c>
      <c r="S8" s="53">
        <f>IF('数据-汇总表'!$I$17="按面积比例",SUMIF('数据-汇总表'!C$19:C$33,A8,'数据-汇总表'!K$19:K$33),SUMIF('数据-汇总表'!C$19:C$33,A8,'数据-汇总表'!N$19:N$33))</f>
        <v>0</v>
      </c>
      <c r="T8" s="1445">
        <f t="shared" si="5"/>
        <v>0</v>
      </c>
      <c r="U8" s="805"/>
      <c r="V8" s="806"/>
      <c r="W8" s="806"/>
      <c r="X8" s="1264"/>
      <c r="Y8" s="807"/>
      <c r="Z8" s="80"/>
      <c r="AA8" s="73"/>
      <c r="AB8" s="73"/>
      <c r="AC8" s="1264"/>
      <c r="AD8" s="81"/>
      <c r="AE8" s="1265">
        <f t="shared" ca="1" si="6"/>
        <v>0</v>
      </c>
      <c r="AF8" s="1807"/>
      <c r="AG8" s="146">
        <f t="shared" si="7"/>
        <v>0</v>
      </c>
      <c r="AH8" s="808"/>
      <c r="AI8" s="84"/>
      <c r="AJ8" s="85"/>
      <c r="AK8" s="809"/>
      <c r="AL8" s="810"/>
      <c r="AM8" s="811"/>
      <c r="AN8" s="2313"/>
      <c r="AO8" s="54" t="e">
        <f t="shared" ca="1" si="8"/>
        <v>#REF!</v>
      </c>
      <c r="AP8" s="2314">
        <f t="shared" si="9"/>
        <v>0</v>
      </c>
      <c r="AQ8" s="54">
        <f t="shared" si="10"/>
        <v>0</v>
      </c>
      <c r="AR8" s="54">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hidden="1">
      <c r="A9" s="2310">
        <f>'数据-汇总表'!C22</f>
        <v>0</v>
      </c>
      <c r="B9" s="2311" t="str">
        <f t="shared" si="1"/>
        <v/>
      </c>
      <c r="C9" s="2312"/>
      <c r="D9" s="1054">
        <f>SUMIF(项目基本情况!D$12:I$12,C9,项目基本情况!D$14:I$14)</f>
        <v>0</v>
      </c>
      <c r="E9" s="1051" t="str">
        <f>IF(B9="","",SUMIF(项目基本情况!D$12:I$12,C9,项目基本情况!D$13:I$13))</f>
        <v/>
      </c>
      <c r="F9" s="71">
        <f>SUMIF(项目基本情况!D$12:I$12,C9,项目基本情况!D$15:I$15)</f>
        <v>0</v>
      </c>
      <c r="G9" s="72">
        <f t="shared" si="2"/>
        <v>0</v>
      </c>
      <c r="H9" s="73"/>
      <c r="I9" s="73"/>
      <c r="J9" s="73"/>
      <c r="K9" s="1254">
        <f>SUMIF('数据-汇总表'!C$19:C$33,A9,'数据-汇总表'!E$19:E$33)</f>
        <v>0</v>
      </c>
      <c r="L9" s="803"/>
      <c r="M9" s="74">
        <f t="shared" si="0"/>
        <v>0</v>
      </c>
      <c r="N9" s="801"/>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4"/>
      <c r="Y9" s="79"/>
      <c r="Z9" s="80"/>
      <c r="AA9" s="73"/>
      <c r="AB9" s="73"/>
      <c r="AC9" s="1264"/>
      <c r="AD9" s="81"/>
      <c r="AE9" s="1265">
        <f t="shared" ca="1" si="6"/>
        <v>0</v>
      </c>
      <c r="AF9" s="1807"/>
      <c r="AG9" s="146">
        <f t="shared" si="7"/>
        <v>0</v>
      </c>
      <c r="AH9" s="82"/>
      <c r="AI9" s="84"/>
      <c r="AJ9" s="85"/>
      <c r="AK9" s="86"/>
      <c r="AL9" s="87"/>
      <c r="AM9" s="88"/>
      <c r="AN9" s="2313"/>
      <c r="AO9" s="54" t="e">
        <f t="shared" ca="1" si="8"/>
        <v>#REF!</v>
      </c>
      <c r="AP9" s="2314">
        <f t="shared" si="9"/>
        <v>0</v>
      </c>
      <c r="AQ9" s="54">
        <f t="shared" si="10"/>
        <v>0</v>
      </c>
      <c r="AR9" s="54">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hidden="1">
      <c r="A10" s="2310">
        <f>'数据-汇总表'!C23</f>
        <v>0</v>
      </c>
      <c r="B10" s="2311" t="str">
        <f t="shared" si="1"/>
        <v/>
      </c>
      <c r="C10" s="2312"/>
      <c r="D10" s="1054">
        <f>SUMIF(项目基本情况!D$12:I$12,C10,项目基本情况!D$14:I$14)</f>
        <v>0</v>
      </c>
      <c r="E10" s="1051" t="str">
        <f>IF(B10="","",SUMIF(项目基本情况!D$12:I$12,C10,项目基本情况!D$13:I$13))</f>
        <v/>
      </c>
      <c r="F10" s="71">
        <f>SUMIF(项目基本情况!D$12:I$12,C10,项目基本情况!D$15:I$15)</f>
        <v>0</v>
      </c>
      <c r="G10" s="72">
        <f t="shared" si="2"/>
        <v>0</v>
      </c>
      <c r="H10" s="73"/>
      <c r="I10" s="73"/>
      <c r="J10" s="73"/>
      <c r="K10" s="1254">
        <f>SUMIF('数据-汇总表'!C$19:C$33,A10,'数据-汇总表'!E$19:E$33)</f>
        <v>0</v>
      </c>
      <c r="L10" s="803"/>
      <c r="M10" s="74">
        <f t="shared" si="0"/>
        <v>0</v>
      </c>
      <c r="N10" s="801"/>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4"/>
      <c r="Y10" s="79"/>
      <c r="Z10" s="80"/>
      <c r="AA10" s="73"/>
      <c r="AB10" s="73"/>
      <c r="AC10" s="1264"/>
      <c r="AD10" s="81"/>
      <c r="AE10" s="1265">
        <f t="shared" ca="1" si="6"/>
        <v>0</v>
      </c>
      <c r="AF10" s="1807"/>
      <c r="AG10" s="146">
        <f t="shared" si="7"/>
        <v>0</v>
      </c>
      <c r="AH10" s="82"/>
      <c r="AI10" s="84"/>
      <c r="AJ10" s="85"/>
      <c r="AK10" s="86"/>
      <c r="AL10" s="87"/>
      <c r="AM10" s="88"/>
      <c r="AN10" s="2313"/>
      <c r="AO10" s="54" t="e">
        <f t="shared" ca="1" si="8"/>
        <v>#REF!</v>
      </c>
      <c r="AP10" s="2314">
        <f t="shared" si="9"/>
        <v>0</v>
      </c>
      <c r="AQ10" s="54">
        <f t="shared" si="10"/>
        <v>0</v>
      </c>
      <c r="AR10" s="54">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hidden="1">
      <c r="A11" s="2310">
        <f>'数据-汇总表'!C24</f>
        <v>0</v>
      </c>
      <c r="B11" s="2311" t="str">
        <f t="shared" si="1"/>
        <v/>
      </c>
      <c r="C11" s="2312"/>
      <c r="D11" s="1054">
        <f>SUMIF(项目基本情况!D$12:I$12,C11,项目基本情况!D$14:I$14)</f>
        <v>0</v>
      </c>
      <c r="E11" s="1051" t="str">
        <f>IF(B11="","",SUMIF(项目基本情况!D$12:I$12,C11,项目基本情况!D$13:I$13))</f>
        <v/>
      </c>
      <c r="F11" s="71">
        <f>SUMIF(项目基本情况!D$12:I$12,C11,项目基本情况!D$15:I$15)</f>
        <v>0</v>
      </c>
      <c r="G11" s="72">
        <f t="shared" si="2"/>
        <v>0</v>
      </c>
      <c r="H11" s="73"/>
      <c r="I11" s="73"/>
      <c r="J11" s="73"/>
      <c r="K11" s="1254">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4"/>
      <c r="Y11" s="79"/>
      <c r="Z11" s="92"/>
      <c r="AA11" s="73"/>
      <c r="AB11" s="73"/>
      <c r="AC11" s="1264"/>
      <c r="AD11" s="81"/>
      <c r="AE11" s="1265">
        <f t="shared" ca="1" si="6"/>
        <v>0</v>
      </c>
      <c r="AF11" s="1807"/>
      <c r="AG11" s="146">
        <f t="shared" si="7"/>
        <v>0</v>
      </c>
      <c r="AH11" s="82"/>
      <c r="AI11" s="84"/>
      <c r="AJ11" s="85"/>
      <c r="AK11" s="93"/>
      <c r="AL11" s="94"/>
      <c r="AM11" s="95"/>
      <c r="AN11" s="2313"/>
      <c r="AO11" s="54" t="e">
        <f t="shared" ca="1" si="8"/>
        <v>#REF!</v>
      </c>
      <c r="AP11" s="2314">
        <f t="shared" si="9"/>
        <v>0</v>
      </c>
      <c r="AQ11" s="54">
        <f t="shared" si="10"/>
        <v>0</v>
      </c>
      <c r="AR11" s="54">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hidden="1">
      <c r="A12" s="2310">
        <f>'数据-汇总表'!C25</f>
        <v>0</v>
      </c>
      <c r="B12" s="2311" t="str">
        <f t="shared" si="1"/>
        <v/>
      </c>
      <c r="C12" s="2312"/>
      <c r="D12" s="1054">
        <f>SUMIF(项目基本情况!D$12:I$12,C12,项目基本情况!D$14:I$14)</f>
        <v>0</v>
      </c>
      <c r="E12" s="105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4"/>
      <c r="Y12" s="79"/>
      <c r="Z12" s="92"/>
      <c r="AA12" s="73"/>
      <c r="AB12" s="73"/>
      <c r="AC12" s="1264"/>
      <c r="AD12" s="81"/>
      <c r="AE12" s="1265">
        <f t="shared" ca="1" si="6"/>
        <v>0</v>
      </c>
      <c r="AF12" s="1807"/>
      <c r="AG12" s="146">
        <f t="shared" si="7"/>
        <v>0</v>
      </c>
      <c r="AH12" s="82"/>
      <c r="AI12" s="84"/>
      <c r="AJ12" s="85"/>
      <c r="AK12" s="93"/>
      <c r="AL12" s="94"/>
      <c r="AM12" s="95"/>
      <c r="AN12" s="2313"/>
      <c r="AO12" s="54" t="e">
        <f t="shared" ca="1" si="8"/>
        <v>#REF!</v>
      </c>
      <c r="AP12" s="2314">
        <f t="shared" si="9"/>
        <v>0</v>
      </c>
      <c r="AQ12" s="54">
        <f t="shared" si="10"/>
        <v>0</v>
      </c>
      <c r="AR12" s="54">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hidden="1">
      <c r="A13" s="2310">
        <f>'数据-汇总表'!C26</f>
        <v>0</v>
      </c>
      <c r="B13" s="2311" t="str">
        <f t="shared" si="1"/>
        <v/>
      </c>
      <c r="C13" s="2312"/>
      <c r="D13" s="1054">
        <f>SUMIF(项目基本情况!D$12:I$12,C13,项目基本情况!D$14:I$14)</f>
        <v>0</v>
      </c>
      <c r="E13" s="105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4"/>
      <c r="Y13" s="79"/>
      <c r="Z13" s="80"/>
      <c r="AA13" s="73"/>
      <c r="AB13" s="73"/>
      <c r="AC13" s="1264"/>
      <c r="AD13" s="81"/>
      <c r="AE13" s="1265">
        <f t="shared" ca="1" si="6"/>
        <v>0</v>
      </c>
      <c r="AF13" s="1807"/>
      <c r="AG13" s="146">
        <f t="shared" si="7"/>
        <v>0</v>
      </c>
      <c r="AH13" s="82"/>
      <c r="AI13" s="84"/>
      <c r="AJ13" s="85"/>
      <c r="AK13" s="86"/>
      <c r="AL13" s="87"/>
      <c r="AM13" s="88"/>
      <c r="AN13" s="2313"/>
      <c r="AO13" s="54" t="e">
        <f t="shared" ca="1" si="8"/>
        <v>#REF!</v>
      </c>
      <c r="AP13" s="2314">
        <f t="shared" si="9"/>
        <v>0</v>
      </c>
      <c r="AQ13" s="54">
        <f t="shared" si="10"/>
        <v>0</v>
      </c>
      <c r="AR13" s="54">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2016</v>
      </c>
      <c r="B14" s="2311" t="s">
        <v>2017</v>
      </c>
      <c r="C14" s="2316" t="s">
        <v>2016</v>
      </c>
      <c r="D14" s="1054"/>
      <c r="E14" s="1051"/>
      <c r="F14" s="71"/>
      <c r="G14" s="72"/>
      <c r="H14" s="1253"/>
      <c r="I14" s="1253"/>
      <c r="J14" s="1253"/>
      <c r="K14" s="1254">
        <f>SUMIF('数据-汇总表'!C$19:C$33,A14,'数据-汇总表'!E$19:E$33)</f>
        <v>0</v>
      </c>
      <c r="L14" s="90"/>
      <c r="M14" s="74">
        <f t="shared" si="0"/>
        <v>0</v>
      </c>
      <c r="N14" s="91"/>
      <c r="O14" s="74" t="str">
        <f t="shared" si="3"/>
        <v>——</v>
      </c>
      <c r="P14" s="75" t="str">
        <f t="shared" si="4"/>
        <v>——</v>
      </c>
      <c r="Q14" s="1257"/>
      <c r="R14" s="76"/>
      <c r="S14" s="53"/>
      <c r="T14" s="1445"/>
      <c r="U14" s="723"/>
      <c r="V14" s="1259"/>
      <c r="W14" s="1259"/>
      <c r="X14" s="1260"/>
      <c r="Y14" s="1261"/>
      <c r="Z14" s="1262"/>
      <c r="AA14" s="1263"/>
      <c r="AB14" s="1263"/>
      <c r="AC14" s="1264"/>
      <c r="AD14" s="1260"/>
      <c r="AE14" s="1265"/>
      <c r="AF14" s="54"/>
      <c r="AG14" s="146"/>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2018</v>
      </c>
      <c r="B15" s="2311" t="s">
        <v>2017</v>
      </c>
      <c r="C15" s="2316" t="s">
        <v>2019</v>
      </c>
      <c r="D15" s="1054"/>
      <c r="E15" s="1051"/>
      <c r="F15" s="71"/>
      <c r="G15" s="72"/>
      <c r="H15" s="1253"/>
      <c r="I15" s="1253"/>
      <c r="J15" s="1253"/>
      <c r="K15" s="1254">
        <f>SUMIF('数据-汇总表'!C$19:C$33,A15,'数据-汇总表'!E$19:E$33)</f>
        <v>0</v>
      </c>
      <c r="L15" s="1255"/>
      <c r="M15" s="74"/>
      <c r="N15" s="1256"/>
      <c r="O15" s="74"/>
      <c r="P15" s="75"/>
      <c r="Q15" s="1257"/>
      <c r="R15" s="76"/>
      <c r="S15" s="53"/>
      <c r="T15" s="1445"/>
      <c r="U15" s="723"/>
      <c r="V15" s="1259"/>
      <c r="W15" s="1259"/>
      <c r="X15" s="1260"/>
      <c r="Y15" s="1261"/>
      <c r="Z15" s="1262"/>
      <c r="AA15" s="1263"/>
      <c r="AB15" s="1263"/>
      <c r="AC15" s="1264"/>
      <c r="AD15" s="1260"/>
      <c r="AE15" s="1265"/>
      <c r="AF15" s="54"/>
      <c r="AG15" s="146"/>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2020</v>
      </c>
      <c r="B16" s="96"/>
      <c r="C16" s="1008"/>
      <c r="D16" s="2318"/>
      <c r="E16" s="96"/>
      <c r="F16" s="96"/>
      <c r="G16" s="97">
        <f>ROUND(SUMPRODUCT(G6:G13,K6:K13)/SUMPRODUCT((G6:G13&gt;0)*(K6:K13)),3)</f>
        <v>0.94499999999999995</v>
      </c>
      <c r="H16" s="98">
        <f>ROUND(SUMPRODUCT(H6:H13,K6:K13)/SUMPRODUCT((H6:H13&gt;0)*(K6:K13)),3)</f>
        <v>4.4999999999999998E-2</v>
      </c>
      <c r="I16" s="99"/>
      <c r="J16" s="99"/>
      <c r="K16" s="100">
        <f>SUM(K6:K15)</f>
        <v>38306.649999999907</v>
      </c>
      <c r="L16" s="101">
        <f>ROUND(M16*10000/SUM(K6:K14),0)</f>
        <v>2800</v>
      </c>
      <c r="M16" s="101">
        <f>SUM(M6:M14)</f>
        <v>10726</v>
      </c>
      <c r="N16" s="102">
        <f>ROUND(SUMPRODUCT(M6:M14,N6:N14)/M16,3)</f>
        <v>0.98</v>
      </c>
      <c r="O16" s="101">
        <f>SUM(O6:O14)</f>
        <v>0</v>
      </c>
      <c r="P16" s="101">
        <f>SUM(P6:P14)</f>
        <v>0</v>
      </c>
      <c r="Q16" s="103">
        <f>ROUND(SUMPRODUCT(Q6:Q13,K6:K13)/SUMPRODUCT((Q6:Q13&gt;0)*(K6:K13)),2)</f>
        <v>0.1</v>
      </c>
      <c r="R16" s="1258">
        <f ca="1">SUM(R6:R13)</f>
        <v>13150.41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7" t="s">
        <v>2021</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2022</v>
      </c>
      <c r="B19" s="111">
        <v>0</v>
      </c>
      <c r="C19" s="2281" t="s">
        <v>2023</v>
      </c>
      <c r="D19" s="2282"/>
      <c r="E19" s="2281"/>
      <c r="F19" s="2281"/>
      <c r="G19" s="2281"/>
      <c r="H19" s="2281"/>
      <c r="I19" s="2281"/>
      <c r="J19" s="2281"/>
      <c r="K19" s="3072" t="s">
        <v>3716</v>
      </c>
      <c r="L19" s="3073" t="s">
        <v>3717</v>
      </c>
      <c r="M19" s="3074"/>
      <c r="N19" s="3075"/>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2024</v>
      </c>
      <c r="B20" s="112">
        <v>2</v>
      </c>
      <c r="C20" s="2281" t="s">
        <v>2025</v>
      </c>
      <c r="D20" s="2282"/>
      <c r="E20" s="2281"/>
      <c r="F20" s="2281"/>
      <c r="G20" s="2281"/>
      <c r="H20" s="2281"/>
      <c r="I20" s="2281"/>
      <c r="J20" s="2281"/>
      <c r="K20" s="3072"/>
      <c r="L20" s="2970" t="s">
        <v>3718</v>
      </c>
      <c r="M20" s="2971" t="s">
        <v>3719</v>
      </c>
      <c r="N20" s="2972" t="s">
        <v>3720</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2026</v>
      </c>
      <c r="B21" s="112">
        <v>2</v>
      </c>
      <c r="C21" s="2281"/>
      <c r="D21" s="2282"/>
      <c r="E21" s="2281"/>
      <c r="F21" s="2281"/>
      <c r="G21" s="2281"/>
      <c r="H21" s="2281"/>
      <c r="I21" s="2281"/>
      <c r="J21" s="2281"/>
      <c r="K21" s="2973" t="s">
        <v>3721</v>
      </c>
      <c r="L21" s="2974">
        <v>0</v>
      </c>
      <c r="M21" s="2975">
        <v>1620</v>
      </c>
      <c r="N21" s="2976">
        <v>1750</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2027</v>
      </c>
      <c r="B22" s="113">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2028</v>
      </c>
      <c r="B23" s="113">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2029</v>
      </c>
      <c r="B24" s="114">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2030</v>
      </c>
      <c r="B26" s="2324" t="s">
        <v>2031</v>
      </c>
      <c r="C26" s="2325" t="s">
        <v>2032</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2033</v>
      </c>
      <c r="B27" s="115">
        <v>80</v>
      </c>
      <c r="C27" s="1767" t="s">
        <v>2034</v>
      </c>
      <c r="D27" s="2327"/>
      <c r="E27" s="1429"/>
      <c r="F27" s="1429"/>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2035</v>
      </c>
      <c r="B28" s="118">
        <v>160</v>
      </c>
      <c r="C28" s="2330"/>
      <c r="D28" s="2327"/>
      <c r="E28" s="1429"/>
      <c r="F28" s="1429"/>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2036</v>
      </c>
      <c r="B29" s="120"/>
      <c r="C29" s="1767" t="s">
        <v>2037</v>
      </c>
      <c r="D29" s="2327"/>
      <c r="E29" s="1429"/>
      <c r="F29" s="1429"/>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2038</v>
      </c>
      <c r="B30" s="724">
        <v>200</v>
      </c>
      <c r="C30" s="2330"/>
      <c r="D30" s="2327"/>
      <c r="E30" s="1429"/>
      <c r="F30" s="1429"/>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2039</v>
      </c>
      <c r="B31" s="119">
        <f>B30-B32</f>
        <v>200</v>
      </c>
      <c r="C31" s="1767"/>
      <c r="D31" s="2327"/>
      <c r="E31" s="1429"/>
      <c r="F31" s="1429"/>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2040</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2041</v>
      </c>
      <c r="B33" s="726">
        <v>0.03</v>
      </c>
      <c r="C33" s="1766" t="s">
        <v>2042</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2043</v>
      </c>
      <c r="B34" s="121">
        <v>0</v>
      </c>
      <c r="C34" s="1766" t="s">
        <v>2044</v>
      </c>
      <c r="D34" s="2282" t="s">
        <v>2045</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2046</v>
      </c>
      <c r="B35" s="118">
        <v>200</v>
      </c>
      <c r="C35" s="1766" t="s">
        <v>2047</v>
      </c>
      <c r="D35" s="2327"/>
      <c r="E35" s="1429"/>
      <c r="F35" s="1429"/>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2048</v>
      </c>
      <c r="B36" s="122">
        <v>1.4999999999999999E-2</v>
      </c>
      <c r="C36" s="1766" t="s">
        <v>2049</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2050</v>
      </c>
      <c r="B37" s="123">
        <v>1.4999999999999999E-2</v>
      </c>
      <c r="C37" s="1766" t="s">
        <v>2051</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2052</v>
      </c>
      <c r="B38" s="121">
        <v>0.03</v>
      </c>
      <c r="C38" s="1766" t="s">
        <v>2051</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2053</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2054</v>
      </c>
      <c r="B40" s="1302">
        <f ca="1">存贷款利率!G1</f>
        <v>4.7500000000000001E-2</v>
      </c>
      <c r="C40" s="1766" t="s">
        <v>2055</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2056</v>
      </c>
      <c r="B41" s="124">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2057</v>
      </c>
      <c r="B42" s="125">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2058</v>
      </c>
      <c r="B43" s="126">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2059</v>
      </c>
      <c r="B44" s="127">
        <v>7.0000000000000007E-2</v>
      </c>
      <c r="C44" s="1766" t="s">
        <v>2060</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2061</v>
      </c>
      <c r="B45" s="125">
        <v>0.03</v>
      </c>
      <c r="C45" s="1767" t="s">
        <v>2062</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2063</v>
      </c>
      <c r="B46" s="125">
        <v>0.02</v>
      </c>
      <c r="C46" s="1767" t="s">
        <v>2064</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2065</v>
      </c>
      <c r="B47" s="128"/>
      <c r="C47" s="1767" t="s">
        <v>2066</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2067</v>
      </c>
      <c r="B48" s="129">
        <v>0.03</v>
      </c>
      <c r="C48" s="1774" t="s">
        <v>2068</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2069</v>
      </c>
      <c r="B49" s="125">
        <v>5.0000000000000001E-4</v>
      </c>
      <c r="C49" s="1774" t="s">
        <v>2070</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2071</v>
      </c>
      <c r="B50" s="130">
        <v>1.2E-2</v>
      </c>
      <c r="C50" s="1429"/>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2072</v>
      </c>
      <c r="B51" s="131">
        <v>0.12</v>
      </c>
      <c r="C51" s="1429"/>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2073</v>
      </c>
      <c r="B52" s="132">
        <f>SUMIF(A54:A63,B53,B54:B63)</f>
        <v>16</v>
      </c>
      <c r="C52" s="1429"/>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2074</v>
      </c>
      <c r="B53" s="2340" t="s">
        <v>526</v>
      </c>
      <c r="C53" s="1429" t="s">
        <v>2075</v>
      </c>
      <c r="D53" s="2341" t="s">
        <v>2076</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2077</v>
      </c>
      <c r="B54" s="83"/>
      <c r="C54" s="1429">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2078</v>
      </c>
      <c r="B55" s="83"/>
      <c r="C55" s="1429">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2079</v>
      </c>
      <c r="B56" s="83"/>
      <c r="C56" s="1429">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2080</v>
      </c>
      <c r="B57" s="83"/>
      <c r="C57" s="1429">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2081</v>
      </c>
      <c r="B58" s="83"/>
      <c r="C58" s="1429">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2082</v>
      </c>
      <c r="B59" s="83"/>
      <c r="C59" s="1429">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2083</v>
      </c>
      <c r="B60" s="83">
        <v>16</v>
      </c>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2084</v>
      </c>
      <c r="B61" s="83"/>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2085</v>
      </c>
      <c r="B62" s="83"/>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2086</v>
      </c>
      <c r="B63" s="133"/>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6"/>
      <c r="L134" s="26"/>
    </row>
    <row r="135" spans="1:12" s="2278" customFormat="1">
      <c r="A135" s="2347"/>
      <c r="D135" s="2348"/>
      <c r="K135" s="26"/>
      <c r="L135" s="26"/>
    </row>
    <row r="136" spans="1:12" s="2278" customFormat="1">
      <c r="A136" s="2347"/>
      <c r="D136" s="2348"/>
      <c r="K136" s="26"/>
      <c r="L136" s="26"/>
    </row>
    <row r="137" spans="1:12" s="2278" customFormat="1">
      <c r="A137" s="2347"/>
      <c r="D137" s="2348"/>
      <c r="K137" s="26"/>
      <c r="L137" s="26"/>
    </row>
    <row r="138" spans="1:12" s="2278" customFormat="1">
      <c r="A138" s="2347"/>
      <c r="D138" s="2348"/>
      <c r="K138" s="26"/>
      <c r="L138" s="26"/>
    </row>
    <row r="139" spans="1:12" s="2278" customFormat="1">
      <c r="A139" s="2347"/>
      <c r="D139" s="2348"/>
      <c r="K139" s="26"/>
      <c r="L139" s="26"/>
    </row>
    <row r="140" spans="1:12" s="2278" customFormat="1">
      <c r="A140" s="2347"/>
      <c r="D140" s="2348"/>
      <c r="K140" s="26"/>
      <c r="L140" s="26"/>
    </row>
    <row r="141" spans="1:12" s="2278" customFormat="1">
      <c r="A141" s="2347"/>
      <c r="D141" s="2348"/>
      <c r="K141" s="26"/>
      <c r="L141" s="26"/>
    </row>
    <row r="142" spans="1:12" s="2278" customFormat="1">
      <c r="A142" s="2347"/>
      <c r="D142" s="2348"/>
      <c r="K142" s="26"/>
      <c r="L142" s="26"/>
    </row>
    <row r="143" spans="1:12" s="2278" customFormat="1">
      <c r="A143" s="2347"/>
      <c r="D143" s="2348"/>
      <c r="K143" s="26"/>
      <c r="L143" s="26"/>
    </row>
    <row r="144" spans="1:12" s="2278" customFormat="1">
      <c r="A144" s="2347"/>
      <c r="D144" s="2348"/>
      <c r="K144" s="26"/>
      <c r="L144" s="26"/>
    </row>
    <row r="145" spans="1:12" s="2278" customFormat="1">
      <c r="A145" s="2347"/>
      <c r="D145" s="2348"/>
      <c r="K145" s="26"/>
      <c r="L145" s="26"/>
    </row>
    <row r="146" spans="1:12" s="2278" customFormat="1">
      <c r="A146" s="2347"/>
      <c r="D146" s="2348"/>
      <c r="K146" s="26"/>
      <c r="L146" s="26"/>
    </row>
    <row r="147" spans="1:12" s="2278" customFormat="1">
      <c r="A147" s="2347"/>
      <c r="D147" s="2348"/>
      <c r="K147" s="26"/>
      <c r="L147" s="26"/>
    </row>
    <row r="148" spans="1:12" s="2278" customFormat="1">
      <c r="A148" s="2347"/>
      <c r="D148" s="2348"/>
      <c r="K148" s="26"/>
      <c r="L148" s="26"/>
    </row>
    <row r="149" spans="1:12" s="2278" customFormat="1">
      <c r="A149" s="2347"/>
      <c r="D149" s="2348"/>
      <c r="K149" s="26"/>
      <c r="L149" s="26"/>
    </row>
    <row r="150" spans="1:12" s="2278" customFormat="1">
      <c r="A150" s="2347"/>
      <c r="D150" s="2348"/>
      <c r="K150" s="26"/>
      <c r="L150" s="26"/>
    </row>
    <row r="151" spans="1:12" s="2278" customFormat="1">
      <c r="A151" s="2347"/>
      <c r="D151" s="2348"/>
      <c r="K151" s="26"/>
      <c r="L151" s="26"/>
    </row>
    <row r="152" spans="1:12" s="2278" customFormat="1">
      <c r="A152" s="2347"/>
      <c r="D152" s="2348"/>
      <c r="K152" s="26"/>
      <c r="L152" s="26"/>
    </row>
    <row r="153" spans="1:12" s="2278" customFormat="1">
      <c r="A153" s="2347"/>
      <c r="D153" s="2348"/>
      <c r="K153" s="26"/>
      <c r="L153" s="26"/>
    </row>
    <row r="154" spans="1:12" s="2278" customFormat="1">
      <c r="A154" s="2347"/>
      <c r="D154" s="2348"/>
      <c r="K154" s="26"/>
      <c r="L154" s="26"/>
    </row>
    <row r="155" spans="1:12" s="2278" customFormat="1">
      <c r="A155" s="2347"/>
      <c r="D155" s="2348"/>
      <c r="K155" s="26"/>
      <c r="L155" s="26"/>
    </row>
    <row r="156" spans="1:12" s="2278" customFormat="1">
      <c r="A156" s="2347"/>
      <c r="D156" s="2348"/>
      <c r="K156" s="26"/>
      <c r="L156" s="26"/>
    </row>
    <row r="157" spans="1:12" s="2278" customFormat="1">
      <c r="A157" s="2347"/>
      <c r="D157" s="2348"/>
      <c r="K157" s="26"/>
      <c r="L157" s="26"/>
    </row>
    <row r="158" spans="1:12" s="2278" customFormat="1">
      <c r="A158" s="2347"/>
      <c r="D158" s="2348"/>
      <c r="K158" s="26"/>
      <c r="L158" s="26"/>
    </row>
    <row r="159" spans="1:12" s="2278" customFormat="1">
      <c r="A159" s="2347"/>
      <c r="D159" s="2348"/>
      <c r="K159" s="26"/>
      <c r="L159" s="26"/>
    </row>
    <row r="160" spans="1:12" s="2278" customFormat="1">
      <c r="A160" s="2347"/>
      <c r="D160" s="2348"/>
      <c r="K160" s="26"/>
      <c r="L160" s="26"/>
    </row>
    <row r="161" spans="1:12" s="2278" customFormat="1">
      <c r="A161" s="2347"/>
      <c r="D161" s="2348"/>
      <c r="K161" s="26"/>
      <c r="L161" s="26"/>
    </row>
    <row r="162" spans="1:12" s="2278" customFormat="1">
      <c r="A162" s="2347"/>
      <c r="D162" s="2348"/>
      <c r="K162" s="26"/>
      <c r="L162" s="26"/>
    </row>
    <row r="163" spans="1:12" s="2278" customFormat="1">
      <c r="A163" s="2347"/>
      <c r="D163" s="2348"/>
      <c r="K163" s="26"/>
      <c r="L163" s="26"/>
    </row>
    <row r="164" spans="1:12" s="2278" customFormat="1">
      <c r="A164" s="2347"/>
      <c r="D164" s="2348"/>
      <c r="K164" s="26"/>
      <c r="L164" s="26"/>
    </row>
    <row r="165" spans="1:12" s="2278" customFormat="1">
      <c r="A165" s="2347"/>
      <c r="D165" s="2348"/>
      <c r="K165" s="26"/>
      <c r="L165" s="26"/>
    </row>
    <row r="166" spans="1:12" s="2278" customFormat="1">
      <c r="A166" s="2347"/>
      <c r="D166" s="2348"/>
      <c r="K166" s="26"/>
      <c r="L166" s="26"/>
    </row>
    <row r="167" spans="1:12" s="2278" customFormat="1">
      <c r="A167" s="2347"/>
      <c r="D167" s="2348"/>
      <c r="K167" s="26"/>
      <c r="L167" s="26"/>
    </row>
    <row r="168" spans="1:12" s="2278" customFormat="1">
      <c r="A168" s="2347"/>
      <c r="D168" s="2348"/>
      <c r="K168" s="26"/>
      <c r="L168" s="26"/>
    </row>
    <row r="169" spans="1:12" s="2278" customFormat="1">
      <c r="A169" s="2347"/>
      <c r="D169" s="2348"/>
      <c r="K169" s="26"/>
      <c r="L169" s="26"/>
    </row>
    <row r="170" spans="1:12" s="2278" customFormat="1">
      <c r="A170" s="2347"/>
      <c r="D170" s="2348"/>
      <c r="K170" s="26"/>
      <c r="L170" s="26"/>
    </row>
    <row r="171" spans="1:12" s="2278" customFormat="1">
      <c r="A171" s="2347"/>
      <c r="D171" s="2348"/>
      <c r="K171" s="26"/>
      <c r="L171" s="26"/>
    </row>
    <row r="172" spans="1:12" s="2278" customFormat="1">
      <c r="A172" s="2347"/>
      <c r="D172" s="2348"/>
      <c r="K172" s="26"/>
      <c r="L172" s="26"/>
    </row>
    <row r="173" spans="1:12" s="2278" customFormat="1">
      <c r="A173" s="2347"/>
      <c r="D173" s="2348"/>
      <c r="K173" s="26"/>
      <c r="L173" s="26"/>
    </row>
    <row r="174" spans="1:12" s="2278" customFormat="1">
      <c r="A174" s="2347"/>
      <c r="D174" s="2348"/>
      <c r="K174" s="26"/>
      <c r="L174" s="26"/>
    </row>
  </sheetData>
  <sheetProtection password="C66D" sheet="1" objects="1" scenarios="1" formatCells="0" formatColumns="0" formatRows="0"/>
  <mergeCells count="2">
    <mergeCell ref="K19:K20"/>
    <mergeCell ref="L19:N19"/>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53',16);"/>
  </hyperlinks>
  <pageMargins left="0.7" right="0.7" top="0.75" bottom="0.75" header="0.3" footer="0.3"/>
  <pageSetup paperSize="9" scale="34" fitToHeight="0" orientation="landscape"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76" t="s">
        <v>2087</v>
      </c>
      <c r="B1" s="3077"/>
      <c r="C1" s="3077"/>
      <c r="D1" s="3077"/>
      <c r="E1" s="3077"/>
      <c r="F1" s="3077"/>
      <c r="G1" s="3077"/>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2088</v>
      </c>
      <c r="D2" s="2370"/>
      <c r="E2" s="2371"/>
      <c r="F2" s="2290"/>
      <c r="G2" s="2369" t="s">
        <v>2089</v>
      </c>
      <c r="H2" s="2372"/>
      <c r="I2" s="2372"/>
      <c r="J2" s="2372"/>
      <c r="K2" s="2372"/>
      <c r="L2" s="2372"/>
      <c r="M2" s="2372"/>
      <c r="N2" s="2372"/>
      <c r="O2" s="2372"/>
      <c r="P2" s="2372"/>
      <c r="Q2" s="2372"/>
      <c r="R2" s="2372"/>
    </row>
    <row r="3" spans="1:29" ht="27">
      <c r="A3" s="415" t="s">
        <v>2090</v>
      </c>
      <c r="B3" s="1271" t="s">
        <v>2091</v>
      </c>
      <c r="C3" s="2374"/>
      <c r="D3" s="2375"/>
      <c r="E3" s="431" t="s">
        <v>2090</v>
      </c>
      <c r="F3" s="2376" t="s">
        <v>2092</v>
      </c>
      <c r="G3" s="2377"/>
      <c r="H3" s="2372"/>
      <c r="I3" s="2372"/>
      <c r="J3" s="2372"/>
      <c r="K3" s="2372"/>
      <c r="L3" s="2372"/>
      <c r="M3" s="2372"/>
      <c r="N3" s="2372"/>
      <c r="O3" s="2372"/>
      <c r="P3" s="2372"/>
      <c r="Q3" s="2372"/>
      <c r="R3" s="2372"/>
    </row>
    <row r="4" spans="1:29" ht="15">
      <c r="A4" s="431"/>
      <c r="B4" s="1798" t="s">
        <v>2093</v>
      </c>
      <c r="C4" s="2378"/>
      <c r="D4" s="2375"/>
      <c r="E4" s="2379"/>
      <c r="F4" s="41" t="s">
        <v>2094</v>
      </c>
      <c r="G4" s="2380"/>
      <c r="H4" s="2372"/>
      <c r="I4" s="2372"/>
      <c r="J4" s="2372"/>
      <c r="K4" s="2372"/>
      <c r="L4" s="2372"/>
      <c r="M4" s="2372"/>
      <c r="N4" s="2372"/>
      <c r="O4" s="2372"/>
      <c r="P4" s="2372"/>
      <c r="Q4" s="2372"/>
      <c r="R4" s="2372"/>
    </row>
    <row r="5" spans="1:29" ht="15">
      <c r="A5" s="431"/>
      <c r="B5" s="1798" t="s">
        <v>2095</v>
      </c>
      <c r="C5" s="2378"/>
      <c r="D5" s="2375"/>
      <c r="E5" s="2379"/>
      <c r="F5" s="1798" t="s">
        <v>2096</v>
      </c>
      <c r="G5" s="2380"/>
      <c r="H5" s="2372"/>
      <c r="I5" s="2372"/>
      <c r="J5" s="2372"/>
      <c r="K5" s="2372"/>
      <c r="L5" s="2372"/>
      <c r="M5" s="2372"/>
      <c r="N5" s="2372"/>
      <c r="O5" s="2372"/>
      <c r="P5" s="2372"/>
      <c r="Q5" s="2372"/>
      <c r="R5" s="2372"/>
    </row>
    <row r="6" spans="1:29" ht="15">
      <c r="A6" s="431"/>
      <c r="B6" s="1798" t="s">
        <v>2097</v>
      </c>
      <c r="C6" s="2380"/>
      <c r="D6" s="2375"/>
      <c r="E6" s="2379"/>
      <c r="F6" s="1798" t="s">
        <v>2098</v>
      </c>
      <c r="G6" s="2380"/>
      <c r="H6" s="2372"/>
      <c r="I6" s="2372"/>
      <c r="J6" s="2372"/>
      <c r="K6" s="2372"/>
      <c r="L6" s="2372"/>
      <c r="M6" s="2372"/>
      <c r="N6" s="2372"/>
      <c r="O6" s="2372"/>
      <c r="P6" s="2372"/>
      <c r="Q6" s="2372"/>
      <c r="R6" s="2372"/>
    </row>
    <row r="7" spans="1:29" ht="15.75" thickBot="1">
      <c r="A7" s="431"/>
      <c r="B7" s="1798" t="s">
        <v>2096</v>
      </c>
      <c r="C7" s="2380"/>
      <c r="D7" s="2381"/>
      <c r="E7" s="2382"/>
      <c r="F7" s="2383" t="s">
        <v>2099</v>
      </c>
      <c r="G7" s="2384"/>
      <c r="H7" s="2372"/>
      <c r="I7" s="2372"/>
      <c r="J7" s="2372"/>
      <c r="K7" s="2372"/>
      <c r="L7" s="2372"/>
      <c r="M7" s="2372"/>
      <c r="N7" s="2372"/>
      <c r="O7" s="2372"/>
      <c r="P7" s="2372"/>
      <c r="Q7" s="2372"/>
      <c r="R7" s="2372"/>
    </row>
    <row r="8" spans="1:29" ht="15">
      <c r="A8" s="431"/>
      <c r="B8" s="1798" t="s">
        <v>2098</v>
      </c>
      <c r="C8" s="2380"/>
      <c r="D8" s="2381"/>
      <c r="E8" s="2381"/>
      <c r="F8" s="1136"/>
      <c r="G8" s="1136"/>
      <c r="H8" s="2372"/>
      <c r="I8" s="2372"/>
      <c r="J8" s="2372"/>
      <c r="K8" s="2372"/>
      <c r="L8" s="2372"/>
      <c r="M8" s="2372"/>
      <c r="N8" s="2372"/>
      <c r="O8" s="2372"/>
      <c r="P8" s="2372"/>
      <c r="Q8" s="2372"/>
      <c r="R8" s="2372"/>
    </row>
    <row r="9" spans="1:29" ht="15">
      <c r="A9" s="431"/>
      <c r="B9" s="1798" t="s">
        <v>2100</v>
      </c>
      <c r="C9" s="2378"/>
      <c r="D9" s="2375"/>
      <c r="E9" s="2381"/>
      <c r="F9" s="1136"/>
      <c r="G9" s="1136"/>
      <c r="H9" s="2372"/>
      <c r="I9" s="2372"/>
      <c r="J9" s="2372"/>
      <c r="K9" s="2372"/>
      <c r="L9" s="2372"/>
      <c r="M9" s="2372"/>
      <c r="N9" s="2372"/>
      <c r="O9" s="2372"/>
      <c r="P9" s="2372"/>
      <c r="Q9" s="2372"/>
      <c r="R9" s="2372"/>
    </row>
    <row r="10" spans="1:29" s="116" customFormat="1" ht="15.75" thickBot="1">
      <c r="A10" s="2385"/>
      <c r="B10" s="2386" t="s">
        <v>2101</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6"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2102</v>
      </c>
      <c r="B13" s="2392"/>
      <c r="C13" s="2392"/>
      <c r="D13" s="2399"/>
      <c r="E13" s="2392"/>
      <c r="F13" s="2392"/>
      <c r="G13" s="2392"/>
    </row>
    <row r="14" spans="1:29" ht="15.75" thickBot="1">
      <c r="A14" s="2403"/>
      <c r="B14" s="2404"/>
      <c r="C14" s="2405" t="s">
        <v>2103</v>
      </c>
      <c r="D14" s="2375"/>
      <c r="E14" s="2406"/>
      <c r="F14" s="2406"/>
      <c r="G14" s="2369" t="s">
        <v>2104</v>
      </c>
    </row>
    <row r="15" spans="1:29" ht="27">
      <c r="A15" s="67" t="s">
        <v>2105</v>
      </c>
      <c r="B15" s="1270" t="s">
        <v>2091</v>
      </c>
      <c r="C15" s="2407">
        <f>C3</f>
        <v>0</v>
      </c>
      <c r="D15" s="2375"/>
      <c r="E15" s="2408" t="s">
        <v>2106</v>
      </c>
      <c r="F15" s="1270" t="s">
        <v>2107</v>
      </c>
      <c r="G15" s="134">
        <f>G3</f>
        <v>0</v>
      </c>
    </row>
    <row r="16" spans="1:29" ht="15">
      <c r="A16" s="645"/>
      <c r="B16" s="2409" t="s">
        <v>2093</v>
      </c>
      <c r="C16" s="2410">
        <f>C4</f>
        <v>0</v>
      </c>
      <c r="D16" s="2375"/>
      <c r="E16" s="2411"/>
      <c r="F16" s="2412" t="s">
        <v>2094</v>
      </c>
      <c r="G16" s="135">
        <f>G4</f>
        <v>0</v>
      </c>
    </row>
    <row r="17" spans="1:18" ht="15">
      <c r="A17" s="645"/>
      <c r="B17" s="2409" t="s">
        <v>2095</v>
      </c>
      <c r="C17" s="2410">
        <f>C5</f>
        <v>0</v>
      </c>
      <c r="D17" s="2381"/>
      <c r="E17" s="2411"/>
      <c r="F17" s="2412" t="s">
        <v>2108</v>
      </c>
      <c r="G17" s="1572"/>
    </row>
    <row r="18" spans="1:18" ht="15">
      <c r="A18" s="645"/>
      <c r="B18" s="2412" t="s">
        <v>2097</v>
      </c>
      <c r="C18" s="135">
        <f>C6</f>
        <v>0</v>
      </c>
      <c r="D18" s="2381"/>
      <c r="E18" s="2411"/>
      <c r="F18" s="2412" t="s">
        <v>2099</v>
      </c>
      <c r="G18" s="135">
        <f>G7</f>
        <v>0</v>
      </c>
    </row>
    <row r="19" spans="1:18" ht="15">
      <c r="A19" s="645"/>
      <c r="B19" s="2412" t="s">
        <v>2109</v>
      </c>
      <c r="C19" s="1572"/>
      <c r="D19" s="2375"/>
      <c r="E19" s="2411"/>
      <c r="F19" s="1798" t="s">
        <v>2096</v>
      </c>
      <c r="G19" s="135">
        <f>G5</f>
        <v>0</v>
      </c>
    </row>
    <row r="20" spans="1:18" ht="15">
      <c r="A20" s="645"/>
      <c r="B20" s="2412" t="s">
        <v>2110</v>
      </c>
      <c r="C20" s="2410">
        <f>C9</f>
        <v>0</v>
      </c>
      <c r="D20" s="2381"/>
      <c r="E20" s="2411"/>
      <c r="F20" s="1798" t="s">
        <v>2111</v>
      </c>
      <c r="G20" s="135">
        <f>G6</f>
        <v>0</v>
      </c>
    </row>
    <row r="21" spans="1:18" ht="15">
      <c r="A21" s="645"/>
      <c r="B21" s="1798" t="s">
        <v>2096</v>
      </c>
      <c r="C21" s="135">
        <f>C7</f>
        <v>0</v>
      </c>
      <c r="D21" s="2375"/>
      <c r="E21" s="2411"/>
      <c r="F21" s="2412" t="s">
        <v>2112</v>
      </c>
      <c r="G21" s="2413"/>
    </row>
    <row r="22" spans="1:18" ht="13.5" customHeight="1">
      <c r="A22" s="645"/>
      <c r="B22" s="1798" t="s">
        <v>2098</v>
      </c>
      <c r="C22" s="135">
        <f>C8</f>
        <v>0</v>
      </c>
      <c r="D22" s="2375"/>
      <c r="E22" s="2411"/>
      <c r="F22" s="2412" t="s">
        <v>2101</v>
      </c>
      <c r="G22" s="1572"/>
    </row>
    <row r="23" spans="1:18" s="2372" customFormat="1" ht="15.75" thickBot="1">
      <c r="A23" s="645"/>
      <c r="B23" s="2412" t="s">
        <v>2112</v>
      </c>
      <c r="C23" s="2413"/>
      <c r="D23" s="2400"/>
      <c r="E23" s="2414"/>
      <c r="F23" s="2415" t="s">
        <v>2113</v>
      </c>
      <c r="G23" s="2416"/>
      <c r="H23" s="2400"/>
      <c r="I23" s="2401"/>
      <c r="J23" s="2400"/>
      <c r="K23" s="2400"/>
      <c r="L23" s="2401"/>
      <c r="M23" s="2400"/>
      <c r="N23" s="2400"/>
      <c r="O23" s="2401"/>
      <c r="P23" s="2400"/>
      <c r="Q23" s="2400"/>
      <c r="R23" s="2402"/>
    </row>
    <row r="24" spans="1:18" s="2372" customFormat="1" ht="15.75" thickBot="1">
      <c r="A24" s="2417"/>
      <c r="B24" s="2415" t="s">
        <v>2114</v>
      </c>
      <c r="C24" s="136">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10" sqref="E10"/>
    </sheetView>
  </sheetViews>
  <sheetFormatPr defaultRowHeight="13.5"/>
  <cols>
    <col min="1" max="1" width="23.375" style="1741" customWidth="1"/>
    <col min="2" max="9" width="15.75" style="1741" customWidth="1"/>
    <col min="10" max="16384" width="9" style="1741"/>
  </cols>
  <sheetData>
    <row r="1" spans="1:10" ht="16.5">
      <c r="A1" s="1746" t="s">
        <v>1366</v>
      </c>
      <c r="B1" s="1746">
        <f>SUM(B14:B23)</f>
        <v>56978.459999999905</v>
      </c>
      <c r="C1" s="1745"/>
      <c r="D1" s="1745"/>
      <c r="E1" s="1745"/>
      <c r="F1" s="1745"/>
      <c r="G1" s="1743"/>
    </row>
    <row r="2" spans="1:10" ht="16.5">
      <c r="A2" s="1746" t="s">
        <v>1354</v>
      </c>
      <c r="B2" s="1746">
        <f>SUM(C14:C23)</f>
        <v>19560.309999999998</v>
      </c>
      <c r="C2" s="1745"/>
      <c r="D2" s="1745"/>
      <c r="E2" s="1745"/>
      <c r="F2" s="1745"/>
      <c r="G2" s="1743"/>
    </row>
    <row r="3" spans="1:10" ht="16.5">
      <c r="A3" s="1746" t="s">
        <v>1363</v>
      </c>
      <c r="B3" s="1747">
        <f>项目基本情况!D3</f>
        <v>43033</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55637</v>
      </c>
      <c r="C5" s="1746">
        <f ca="1">ROUND(B5*10000/$B$1,0)</f>
        <v>9765</v>
      </c>
      <c r="D5" s="1746">
        <f ca="1">ROUND(B5*10000/$B$2,0)</f>
        <v>28444</v>
      </c>
      <c r="E5" s="1745"/>
      <c r="F5" s="1743"/>
      <c r="G5" s="1743"/>
    </row>
    <row r="6" spans="1:10" ht="16.5">
      <c r="A6" s="1746" t="s">
        <v>1357</v>
      </c>
      <c r="B6" s="1746">
        <f ca="1">SUM(G14:G23)</f>
        <v>78</v>
      </c>
      <c r="C6" s="1746">
        <f ca="1">ROUND(B6*10000/$B$1,0)</f>
        <v>14</v>
      </c>
      <c r="D6" s="1746">
        <f ca="1">ROUND(B6*10000/$B$2,0)</f>
        <v>40</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'数据-汇总表'!E3</f>
        <v>38306.649999999907</v>
      </c>
      <c r="C14" s="1744">
        <f>'数据-汇总表'!D3</f>
        <v>13150.41</v>
      </c>
      <c r="D14" s="1744">
        <f ca="1">结果表!H118</f>
        <v>78</v>
      </c>
      <c r="E14" s="1744">
        <f ca="1">ROUND(D14*10000/B14,0)</f>
        <v>20</v>
      </c>
      <c r="F14" s="1744">
        <f ca="1">ROUND(D14*10000/C14,0)</f>
        <v>59</v>
      </c>
      <c r="G14" s="1744">
        <f ca="1">结果表!D122</f>
        <v>78</v>
      </c>
      <c r="H14" s="1744" t="str">
        <f>结果表!D124</f>
        <v>——</v>
      </c>
      <c r="I14" s="1744" t="str">
        <f>结果表!D126</f>
        <v>——</v>
      </c>
      <c r="J14" s="1743"/>
    </row>
    <row r="15" spans="1:10" ht="16.5">
      <c r="A15" s="1742" t="s">
        <v>1350</v>
      </c>
      <c r="B15" s="1749">
        <v>0</v>
      </c>
      <c r="C15" s="1749">
        <v>0</v>
      </c>
      <c r="D15" s="1749">
        <f ca="1">典型户型修正!S22-D14</f>
        <v>30490</v>
      </c>
      <c r="E15" s="1744" t="e">
        <f t="shared" ref="E15:E23" ca="1" si="0">ROUND(D15*10000/B15,0)</f>
        <v>#DIV/0!</v>
      </c>
      <c r="F15" s="1744" t="e">
        <f t="shared" ref="F15:F23" ca="1" si="1">ROUND(D15*10000/C15,0)</f>
        <v>#DIV/0!</v>
      </c>
      <c r="G15" s="1750"/>
      <c r="H15" s="1750"/>
      <c r="I15" s="1749"/>
      <c r="J15" s="1743"/>
    </row>
    <row r="16" spans="1:10" ht="16.5">
      <c r="A16" s="1742" t="s">
        <v>1349</v>
      </c>
      <c r="B16" s="1749">
        <v>18671.810000000001</v>
      </c>
      <c r="C16" s="1749">
        <v>6409.9</v>
      </c>
      <c r="D16" s="1749">
        <v>25069</v>
      </c>
      <c r="E16" s="1744">
        <f t="shared" si="0"/>
        <v>13426</v>
      </c>
      <c r="F16" s="1744">
        <f t="shared" si="1"/>
        <v>39110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42" sqref="A1:I142"/>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2115</v>
      </c>
      <c r="B1" s="2423"/>
      <c r="C1" s="2424" t="s">
        <v>3041</v>
      </c>
      <c r="D1" s="2423"/>
      <c r="E1" s="2423"/>
      <c r="F1" s="2425" t="s">
        <v>2116</v>
      </c>
      <c r="G1" s="2074" t="s">
        <v>3663</v>
      </c>
      <c r="H1" s="2426" t="str">
        <f>IF(G1="现房","——","估价对象范围")</f>
        <v>——</v>
      </c>
      <c r="I1" s="2427" t="s">
        <v>3700</v>
      </c>
    </row>
    <row r="2" spans="1:12" ht="21.75" customHeight="1" thickBot="1">
      <c r="A2" s="3150" t="str">
        <f>项目基本情况!S2</f>
        <v>房地产</v>
      </c>
      <c r="B2" s="3151"/>
      <c r="C2" s="3151"/>
      <c r="D2" s="3151"/>
      <c r="E2" s="3151"/>
      <c r="F2" s="3151"/>
      <c r="G2" s="3151"/>
      <c r="H2" s="3151"/>
      <c r="I2" s="3152"/>
    </row>
    <row r="3" spans="1:12" ht="12.75">
      <c r="A3" s="3153" t="s">
        <v>2117</v>
      </c>
      <c r="B3" s="3154"/>
      <c r="C3" s="3154"/>
      <c r="D3" s="3154"/>
      <c r="E3" s="3154"/>
      <c r="F3" s="3154"/>
      <c r="G3" s="3154"/>
      <c r="H3" s="3154"/>
      <c r="I3" s="3154"/>
    </row>
    <row r="4" spans="1:12" ht="14.25">
      <c r="A4" s="2430" t="s">
        <v>2118</v>
      </c>
      <c r="B4" s="2431" t="s">
        <v>2119</v>
      </c>
      <c r="C4" s="2432" t="s">
        <v>3664</v>
      </c>
      <c r="D4" s="2432" t="s">
        <v>3665</v>
      </c>
      <c r="E4" s="3134" t="s">
        <v>2120</v>
      </c>
      <c r="F4" s="3147"/>
      <c r="G4" s="3147"/>
      <c r="H4" s="3147"/>
      <c r="I4" s="3135"/>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hidden="1">
      <c r="A5" s="3125" t="s">
        <v>2121</v>
      </c>
      <c r="B5" s="3047">
        <v>25</v>
      </c>
      <c r="C5" s="3155"/>
      <c r="D5" s="3143"/>
      <c r="E5" s="139" t="s">
        <v>2122</v>
      </c>
      <c r="F5" s="2434"/>
      <c r="G5" s="2434"/>
      <c r="H5" s="2434"/>
      <c r="I5" s="1834"/>
    </row>
    <row r="6" spans="1:12" ht="12.75" hidden="1">
      <c r="A6" s="3125"/>
      <c r="B6" s="3047"/>
      <c r="C6" s="3157"/>
      <c r="D6" s="3143"/>
      <c r="E6" s="139" t="s">
        <v>2123</v>
      </c>
      <c r="F6" s="2434"/>
      <c r="G6" s="2434"/>
      <c r="H6" s="2434"/>
      <c r="I6" s="1834"/>
    </row>
    <row r="7" spans="1:12" ht="12.75" hidden="1">
      <c r="A7" s="3125"/>
      <c r="B7" s="3047"/>
      <c r="C7" s="3156"/>
      <c r="D7" s="3143"/>
      <c r="E7" s="139" t="s">
        <v>2124</v>
      </c>
      <c r="F7" s="2434"/>
      <c r="G7" s="2434"/>
      <c r="H7" s="2434"/>
      <c r="I7" s="1834"/>
    </row>
    <row r="8" spans="1:12" ht="12.75" hidden="1">
      <c r="A8" s="3125" t="s">
        <v>2125</v>
      </c>
      <c r="B8" s="3047">
        <v>15</v>
      </c>
      <c r="C8" s="3155"/>
      <c r="D8" s="3143"/>
      <c r="E8" s="139" t="s">
        <v>2126</v>
      </c>
      <c r="F8" s="2434"/>
      <c r="G8" s="2434"/>
      <c r="H8" s="2434"/>
      <c r="I8" s="1834"/>
    </row>
    <row r="9" spans="1:12" ht="12.75" hidden="1">
      <c r="A9" s="3125"/>
      <c r="B9" s="3047"/>
      <c r="C9" s="3156"/>
      <c r="D9" s="3143"/>
      <c r="E9" s="139" t="s">
        <v>2127</v>
      </c>
      <c r="F9" s="2434"/>
      <c r="G9" s="2434"/>
      <c r="H9" s="2434"/>
      <c r="I9" s="1834"/>
    </row>
    <row r="10" spans="1:12" ht="12.75" hidden="1">
      <c r="A10" s="3125" t="s">
        <v>2128</v>
      </c>
      <c r="B10" s="3047">
        <v>15</v>
      </c>
      <c r="C10" s="3155"/>
      <c r="D10" s="3143"/>
      <c r="E10" s="139" t="s">
        <v>2129</v>
      </c>
      <c r="F10" s="2434"/>
      <c r="G10" s="2434"/>
      <c r="H10" s="2434"/>
      <c r="I10" s="1834"/>
    </row>
    <row r="11" spans="1:12" ht="12.75" hidden="1">
      <c r="A11" s="3125"/>
      <c r="B11" s="3047"/>
      <c r="C11" s="3156"/>
      <c r="D11" s="3143"/>
      <c r="E11" s="139" t="s">
        <v>2130</v>
      </c>
      <c r="F11" s="2434"/>
      <c r="G11" s="2434"/>
      <c r="H11" s="2434"/>
      <c r="I11" s="1834"/>
    </row>
    <row r="12" spans="1:12" ht="12.75" hidden="1">
      <c r="A12" s="3125" t="s">
        <v>2131</v>
      </c>
      <c r="B12" s="3047">
        <v>15</v>
      </c>
      <c r="C12" s="3155"/>
      <c r="D12" s="3143"/>
      <c r="E12" s="139" t="s">
        <v>2132</v>
      </c>
      <c r="F12" s="2434"/>
      <c r="G12" s="2434"/>
      <c r="H12" s="2434"/>
      <c r="I12" s="1834"/>
    </row>
    <row r="13" spans="1:12" ht="12.75" hidden="1">
      <c r="A13" s="3125"/>
      <c r="B13" s="3047"/>
      <c r="C13" s="3156"/>
      <c r="D13" s="3143"/>
      <c r="E13" s="139" t="s">
        <v>2133</v>
      </c>
      <c r="F13" s="2434"/>
      <c r="G13" s="2434"/>
      <c r="H13" s="2434"/>
      <c r="I13" s="1834"/>
    </row>
    <row r="14" spans="1:12" ht="12.75">
      <c r="A14" s="3125" t="s">
        <v>2134</v>
      </c>
      <c r="B14" s="3047">
        <v>30</v>
      </c>
      <c r="C14" s="3155">
        <v>5</v>
      </c>
      <c r="D14" s="3143">
        <v>5</v>
      </c>
      <c r="E14" s="139" t="s">
        <v>2135</v>
      </c>
      <c r="F14" s="2434"/>
      <c r="G14" s="2434"/>
      <c r="H14" s="2434"/>
      <c r="I14" s="1834"/>
    </row>
    <row r="15" spans="1:12" ht="12.75">
      <c r="A15" s="3125"/>
      <c r="B15" s="3047"/>
      <c r="C15" s="3157"/>
      <c r="D15" s="3143"/>
      <c r="E15" s="139" t="s">
        <v>2136</v>
      </c>
      <c r="F15" s="2434"/>
      <c r="G15" s="2434"/>
      <c r="H15" s="2434"/>
      <c r="I15" s="1834"/>
    </row>
    <row r="16" spans="1:12" ht="12.75">
      <c r="A16" s="3125"/>
      <c r="B16" s="3047"/>
      <c r="C16" s="3156"/>
      <c r="D16" s="3143"/>
      <c r="E16" s="139" t="s">
        <v>2137</v>
      </c>
      <c r="F16" s="2434"/>
      <c r="G16" s="2434"/>
      <c r="H16" s="2434"/>
      <c r="I16" s="1834"/>
    </row>
    <row r="17" spans="1:35" ht="15">
      <c r="A17" s="2435" t="s">
        <v>2138</v>
      </c>
      <c r="B17" s="63"/>
      <c r="C17" s="140">
        <f>SUM(C5:C16)</f>
        <v>5</v>
      </c>
      <c r="D17" s="140">
        <f>SUM(D5:D16)</f>
        <v>5</v>
      </c>
      <c r="E17" s="137"/>
      <c r="F17" s="137"/>
      <c r="G17" s="137"/>
      <c r="H17" s="137"/>
      <c r="I17" s="137"/>
      <c r="K17" s="2433"/>
      <c r="L17" s="2436" t="s">
        <v>2139</v>
      </c>
      <c r="M17" s="2436" t="s">
        <v>2140</v>
      </c>
    </row>
    <row r="18" spans="1:35" ht="15.75" thickBot="1">
      <c r="A18" s="2437" t="s">
        <v>2141</v>
      </c>
      <c r="B18" s="2438"/>
      <c r="C18" s="141">
        <f>ROUND(C17/SUM(C17:D17),2)</f>
        <v>0.5</v>
      </c>
      <c r="D18" s="141">
        <f>1-C18</f>
        <v>0.5</v>
      </c>
      <c r="E18" s="137"/>
      <c r="F18" s="137"/>
      <c r="G18" s="137"/>
      <c r="H18" s="137"/>
      <c r="I18" s="137"/>
      <c r="K18" s="2433" t="s">
        <v>2142</v>
      </c>
      <c r="L18" s="2433">
        <f>IF(C1="",'数据-汇总表'!E3,SUMIF(项目类型,C1,'数据-汇总表'!E17:E26)+SUMIF(项目类型,C1,'数据-汇总表'!I17:I26))</f>
        <v>98.91</v>
      </c>
      <c r="M18" s="2433">
        <f>IF(C1="",'数据-汇总表'!E3,SUMIF(项目类型,C1,'数据-汇总表'!E17:E26))</f>
        <v>98.91</v>
      </c>
    </row>
    <row r="19" spans="1:35" ht="15">
      <c r="A19" s="2439" t="s">
        <v>2143</v>
      </c>
      <c r="B19" s="2440" t="s">
        <v>2144</v>
      </c>
      <c r="C19" s="142">
        <f ca="1">SUMIF(INDIRECT("'"&amp;C4&amp;"'"&amp;"!A:A"),结果表!B19,INDIRECT("'"&amp;C4&amp;"'"&amp;"!B:B"))</f>
        <v>82</v>
      </c>
      <c r="D19" s="143">
        <f ca="1">SUMIF(INDIRECT("'"&amp;D4&amp;"'"&amp;"!A:A"),结果表!B19,INDIRECT("'"&amp;D4&amp;"'"&amp;"!B:B"))</f>
        <v>74</v>
      </c>
      <c r="E19" s="2439" t="s">
        <v>2145</v>
      </c>
      <c r="F19" s="2440" t="s">
        <v>2144</v>
      </c>
      <c r="G19" s="144">
        <f ca="1">ROUND(C19*$C$18+D19*$D$18,0)</f>
        <v>78</v>
      </c>
      <c r="H19" s="2441" t="s">
        <v>2146</v>
      </c>
      <c r="I19" s="137"/>
      <c r="K19" s="2433" t="s">
        <v>2147</v>
      </c>
      <c r="L19" s="2433">
        <f>IF(C1="",'数据-汇总表'!D3,SUMIF(项目类型,C1,'数据-汇总表'!D17:D26)+SUMIF(项目类型,C1,'数据-汇总表'!H17:H27))</f>
        <v>33.96</v>
      </c>
      <c r="M19" s="2433">
        <f>IF(C1="",'数据-汇总表'!D3,SUMIF(项目类型,C1,'数据-汇总表'!D17:D26))</f>
        <v>33.96</v>
      </c>
    </row>
    <row r="20" spans="1:35" ht="15">
      <c r="A20" s="2442"/>
      <c r="B20" s="1250" t="s">
        <v>2148</v>
      </c>
      <c r="C20" s="145">
        <f ca="1">SUMIF(INDIRECT("'"&amp;C4&amp;"'"&amp;"!A:A"),结果表!B20,INDIRECT("'"&amp;C4&amp;"'"&amp;"!B:B"))</f>
        <v>8333</v>
      </c>
      <c r="D20" s="146">
        <f ca="1">SUMIF(INDIRECT("'"&amp;D4&amp;"'"&amp;"!A:A"),结果表!B20,INDIRECT("'"&amp;D4&amp;"'"&amp;"!B:B"))</f>
        <v>7482</v>
      </c>
      <c r="E20" s="2442"/>
      <c r="F20" s="1250" t="s">
        <v>2148</v>
      </c>
      <c r="G20" s="147">
        <f ca="1">ROUND(C20*$C$18+D20*$D$18,0)</f>
        <v>7908</v>
      </c>
      <c r="H20" s="983" t="s">
        <v>2149</v>
      </c>
      <c r="I20" s="137"/>
    </row>
    <row r="21" spans="1:35" ht="15" customHeight="1" thickBot="1">
      <c r="A21" s="1003"/>
      <c r="B21" s="2443" t="s">
        <v>2150</v>
      </c>
      <c r="C21" s="789">
        <f ca="1">ROUND(C19*10000/L19,0)</f>
        <v>24146</v>
      </c>
      <c r="D21" s="790">
        <f ca="1">ROUND(D19*10000/L19,0)</f>
        <v>21790</v>
      </c>
      <c r="E21" s="1003"/>
      <c r="F21" s="2443" t="s">
        <v>2150</v>
      </c>
      <c r="G21" s="148">
        <f ca="1">ROUND(G19*10000/L19,0)</f>
        <v>22968</v>
      </c>
      <c r="H21" s="2444" t="s">
        <v>2149</v>
      </c>
      <c r="I21" s="137"/>
    </row>
    <row r="22" spans="1:35" ht="15" thickBot="1">
      <c r="A22" s="2285" t="s">
        <v>2151</v>
      </c>
      <c r="B22" s="2445"/>
      <c r="C22" s="2446"/>
      <c r="D22" s="791">
        <f ca="1">IF(C19&lt;D19,D19/C19-1,C19/D19-1)</f>
        <v>0.10810810810810811</v>
      </c>
      <c r="E22" s="137"/>
      <c r="F22" s="137"/>
      <c r="G22" s="137"/>
      <c r="H22" s="137"/>
      <c r="I22" s="137"/>
    </row>
    <row r="23" spans="1:35" ht="13.5" hidden="1" thickBot="1">
      <c r="A23" s="2423"/>
      <c r="B23" s="2423"/>
      <c r="C23" s="2423"/>
      <c r="D23" s="2423"/>
      <c r="E23" s="137"/>
      <c r="F23" s="137"/>
      <c r="G23" s="137"/>
      <c r="H23" s="137"/>
      <c r="I23" s="137"/>
    </row>
    <row r="24" spans="1:35" ht="14.25" hidden="1">
      <c r="A24" s="3164" t="s">
        <v>2152</v>
      </c>
      <c r="B24" s="2440" t="s">
        <v>2144</v>
      </c>
      <c r="C24" s="144">
        <f>IF(B30=0,0,D30)</f>
        <v>0</v>
      </c>
      <c r="D24" s="2447"/>
      <c r="E24" s="137"/>
      <c r="F24" s="137"/>
      <c r="G24" s="137"/>
      <c r="H24" s="137"/>
      <c r="I24" s="137"/>
    </row>
    <row r="25" spans="1:35" ht="14.25" hidden="1">
      <c r="A25" s="3165"/>
      <c r="B25" s="1250" t="s">
        <v>2148</v>
      </c>
      <c r="C25" s="149">
        <f>IF(B30=0,0,C30)</f>
        <v>0</v>
      </c>
      <c r="D25" s="2448"/>
      <c r="E25" s="137"/>
      <c r="F25" s="137"/>
      <c r="G25" s="137"/>
      <c r="H25" s="137"/>
      <c r="I25" s="137"/>
    </row>
    <row r="26" spans="1:35" ht="13.5" hidden="1" customHeight="1">
      <c r="A26" s="2449" t="s">
        <v>2153</v>
      </c>
      <c r="B26" s="150" t="s">
        <v>2154</v>
      </c>
      <c r="C26" s="150" t="s">
        <v>2155</v>
      </c>
      <c r="D26" s="151" t="s">
        <v>2156</v>
      </c>
      <c r="E26" s="137"/>
      <c r="F26" s="137"/>
      <c r="G26" s="137"/>
      <c r="H26" s="137"/>
      <c r="I26" s="137"/>
    </row>
    <row r="27" spans="1:35" ht="14.25" hidden="1">
      <c r="A27" s="2449"/>
      <c r="B27" s="150">
        <v>0</v>
      </c>
      <c r="C27" s="150">
        <v>0</v>
      </c>
      <c r="D27" s="151">
        <f>ROUND(C27*B27/10000,0)</f>
        <v>0</v>
      </c>
      <c r="E27" s="137"/>
      <c r="F27" s="137"/>
      <c r="G27" s="137"/>
      <c r="H27" s="137"/>
      <c r="I27" s="137"/>
    </row>
    <row r="28" spans="1:35" ht="14.25" hidden="1">
      <c r="A28" s="2449"/>
      <c r="B28" s="150"/>
      <c r="C28" s="150"/>
      <c r="D28" s="151"/>
      <c r="E28" s="137"/>
      <c r="F28" s="137"/>
      <c r="G28" s="137"/>
      <c r="H28" s="137"/>
      <c r="I28" s="137"/>
    </row>
    <row r="29" spans="1:35" ht="14.25" hidden="1">
      <c r="A29" s="2449"/>
      <c r="B29" s="150"/>
      <c r="C29" s="150"/>
      <c r="D29" s="151"/>
      <c r="E29" s="137"/>
      <c r="F29" s="137"/>
      <c r="G29" s="137"/>
      <c r="H29" s="137"/>
      <c r="I29" s="137"/>
    </row>
    <row r="30" spans="1:35" ht="14.25" hidden="1">
      <c r="A30" s="152" t="s">
        <v>2157</v>
      </c>
      <c r="B30" s="152">
        <f>SUM(B27:B29)</f>
        <v>0</v>
      </c>
      <c r="C30" s="152" t="e">
        <f>ROUND(D30*10000/B30,0)</f>
        <v>#DIV/0!</v>
      </c>
      <c r="D30" s="152">
        <f>SUM(D27:D29)</f>
        <v>0</v>
      </c>
      <c r="E30" s="137"/>
      <c r="F30" s="137"/>
      <c r="G30" s="137"/>
      <c r="H30" s="137"/>
      <c r="I30" s="137"/>
    </row>
    <row r="31" spans="1:35" s="2451" customFormat="1" ht="15" hidden="1" thickBot="1">
      <c r="A31" s="2450"/>
      <c r="B31" s="2450"/>
      <c r="C31" s="2450"/>
      <c r="D31" s="2450"/>
      <c r="E31" s="137"/>
      <c r="F31" s="137"/>
      <c r="G31" s="137"/>
      <c r="H31" s="137"/>
      <c r="I31" s="137"/>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hidden="1" thickBot="1">
      <c r="A32" s="2452" t="s">
        <v>2158</v>
      </c>
      <c r="B32" s="2453"/>
      <c r="C32" s="153">
        <f ca="1">IF(D32="总价",G19-C24,G20-C25)</f>
        <v>78</v>
      </c>
      <c r="D32" s="2454" t="s">
        <v>2159</v>
      </c>
      <c r="E32" s="137"/>
      <c r="F32" s="137"/>
      <c r="G32" s="137"/>
      <c r="H32" s="137"/>
      <c r="I32" s="137"/>
    </row>
    <row r="33" spans="1:15" ht="15" hidden="1">
      <c r="A33" s="960" t="s">
        <v>2160</v>
      </c>
      <c r="B33" s="2455"/>
      <c r="C33" s="2456"/>
      <c r="D33" s="2457"/>
      <c r="E33" s="2458" t="s">
        <v>2161</v>
      </c>
      <c r="F33" s="2459" t="str">
        <f>IF(D32="楼面单价","取值（单价）","取值（总价）")</f>
        <v>取值（总价）</v>
      </c>
      <c r="G33" s="137"/>
      <c r="H33" s="137"/>
      <c r="I33" s="137"/>
    </row>
    <row r="34" spans="1:15" ht="15" hidden="1">
      <c r="A34" s="2460"/>
      <c r="B34" s="2461"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2163</v>
      </c>
      <c r="F34" s="1739"/>
      <c r="G34" s="137"/>
      <c r="H34" s="137"/>
      <c r="I34" s="137"/>
    </row>
    <row r="35" spans="1:15" ht="15.75" hidden="1" thickBot="1">
      <c r="A35" s="2463"/>
      <c r="B35" s="2464"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5" t="s">
        <v>2165</v>
      </c>
      <c r="F35" s="163"/>
      <c r="G35" s="137"/>
      <c r="H35" s="137"/>
      <c r="I35" s="137"/>
    </row>
    <row r="36" spans="1:15" ht="15.75" hidden="1" thickBot="1">
      <c r="A36" s="3144" t="s">
        <v>2166</v>
      </c>
      <c r="B36" s="2466" t="s">
        <v>2167</v>
      </c>
      <c r="C36" s="154"/>
      <c r="D36" s="2467"/>
      <c r="E36" s="2468"/>
      <c r="F36" s="2469"/>
      <c r="G36" s="137"/>
      <c r="H36" s="137"/>
      <c r="I36" s="137"/>
    </row>
    <row r="37" spans="1:15" ht="15.75" hidden="1" thickBot="1">
      <c r="A37" s="3145"/>
      <c r="B37" s="2271" t="s">
        <v>2168</v>
      </c>
      <c r="C37" s="156"/>
      <c r="D37" s="1394"/>
      <c r="E37" s="1394"/>
      <c r="F37" s="2469"/>
      <c r="G37" s="137"/>
      <c r="H37" s="137"/>
      <c r="I37" s="137"/>
    </row>
    <row r="38" spans="1:15" ht="15.75" hidden="1" thickBot="1">
      <c r="A38" s="3146"/>
      <c r="B38" s="2470" t="s">
        <v>2169</v>
      </c>
      <c r="C38" s="727"/>
      <c r="D38" s="2471" t="s">
        <v>2170</v>
      </c>
      <c r="E38" s="1394"/>
      <c r="F38" s="2469"/>
      <c r="G38" s="137"/>
      <c r="H38" s="137"/>
      <c r="I38" s="137"/>
    </row>
    <row r="39" spans="1:15" ht="15" hidden="1">
      <c r="A39" s="2442" t="s">
        <v>2171</v>
      </c>
      <c r="B39" s="2472" t="s">
        <v>2172</v>
      </c>
      <c r="C39" s="2473" t="s">
        <v>2173</v>
      </c>
      <c r="D39" s="2473" t="s">
        <v>2174</v>
      </c>
      <c r="E39" s="2474" t="s">
        <v>2175</v>
      </c>
      <c r="F39" s="2469"/>
      <c r="G39" s="137"/>
      <c r="H39" s="137"/>
      <c r="I39" s="137"/>
    </row>
    <row r="40" spans="1:15" ht="14.25" hidden="1">
      <c r="A40" s="2475" t="s">
        <v>2176</v>
      </c>
      <c r="B40" s="158"/>
      <c r="C40" s="159"/>
      <c r="D40" s="159"/>
      <c r="E40" s="160"/>
      <c r="F40" s="2469"/>
      <c r="G40" s="137"/>
      <c r="H40" s="137"/>
      <c r="I40" s="137"/>
    </row>
    <row r="41" spans="1:15" ht="14.25" hidden="1">
      <c r="A41" s="2475" t="s">
        <v>2177</v>
      </c>
      <c r="B41" s="158"/>
      <c r="C41" s="159"/>
      <c r="D41" s="159"/>
      <c r="E41" s="160"/>
      <c r="F41" s="2469"/>
      <c r="G41" s="137"/>
      <c r="H41" s="137"/>
      <c r="I41" s="137"/>
    </row>
    <row r="42" spans="1:15" ht="15" hidden="1" thickBot="1">
      <c r="A42" s="2476"/>
      <c r="B42" s="161"/>
      <c r="C42" s="162"/>
      <c r="D42" s="162"/>
      <c r="E42" s="163"/>
      <c r="F42" s="2469"/>
      <c r="G42" s="137"/>
      <c r="H42" s="137"/>
      <c r="I42" s="137"/>
    </row>
    <row r="43" spans="1:15" ht="12.75" hidden="1">
      <c r="A43" s="2169"/>
      <c r="B43" s="2169"/>
      <c r="C43" s="2169"/>
      <c r="D43" s="2169"/>
      <c r="E43" s="2169"/>
      <c r="F43" s="2477"/>
      <c r="G43" s="2477"/>
      <c r="H43" s="2477"/>
      <c r="I43" s="2478"/>
    </row>
    <row r="44" spans="1:15" ht="18.75" hidden="1">
      <c r="A44" s="2479" t="s">
        <v>2178</v>
      </c>
      <c r="B44" s="2480"/>
      <c r="C44" s="2480"/>
      <c r="D44" s="2481"/>
      <c r="E44" s="2481"/>
      <c r="F44" s="2482"/>
      <c r="G44" s="2482"/>
      <c r="H44" s="2482"/>
      <c r="I44" s="2482"/>
      <c r="J44" s="2483" t="s">
        <v>2179</v>
      </c>
      <c r="K44" s="2484"/>
      <c r="L44" s="2484"/>
      <c r="M44" s="2484"/>
      <c r="N44" s="2484"/>
      <c r="O44" s="2484"/>
    </row>
    <row r="45" spans="1:15" ht="14.25" hidden="1" customHeight="1" thickBot="1">
      <c r="A45" s="3161" t="s">
        <v>2180</v>
      </c>
      <c r="B45" s="3162"/>
      <c r="C45" s="3163"/>
      <c r="D45" s="164">
        <f ca="1">ROUND(H101*F45,0)</f>
        <v>78</v>
      </c>
      <c r="E45" s="165" t="s">
        <v>2181</v>
      </c>
      <c r="F45" s="166">
        <v>1</v>
      </c>
      <c r="G45" s="167" t="s">
        <v>2182</v>
      </c>
      <c r="H45" s="137"/>
      <c r="I45" s="137"/>
      <c r="J45" s="3080" t="s">
        <v>2183</v>
      </c>
      <c r="K45" s="3080"/>
      <c r="L45" s="3080"/>
      <c r="M45" s="3080"/>
      <c r="N45" s="3080"/>
      <c r="O45" s="3080"/>
    </row>
    <row r="46" spans="1:15" ht="14.25" hidden="1" customHeight="1">
      <c r="A46" s="3158" t="s">
        <v>2184</v>
      </c>
      <c r="B46" s="3159"/>
      <c r="C46" s="3159"/>
      <c r="D46" s="3159"/>
      <c r="E46" s="3159"/>
      <c r="F46" s="3159"/>
      <c r="G46" s="3160"/>
      <c r="H46" s="2485"/>
      <c r="I46" s="168"/>
      <c r="J46" s="1812">
        <v>1</v>
      </c>
      <c r="K46" s="3080" t="s">
        <v>2185</v>
      </c>
      <c r="L46" s="3080"/>
      <c r="M46" s="3081"/>
      <c r="N46" s="3081"/>
      <c r="O46" s="3081"/>
    </row>
    <row r="47" spans="1:15" ht="12" hidden="1" customHeight="1">
      <c r="A47" s="169" t="s">
        <v>2186</v>
      </c>
      <c r="B47" s="170"/>
      <c r="C47" s="171"/>
      <c r="D47" s="172" t="s">
        <v>2187</v>
      </c>
      <c r="E47" s="23" t="s">
        <v>2188</v>
      </c>
      <c r="F47" s="173" t="s">
        <v>2189</v>
      </c>
      <c r="G47" s="174" t="s">
        <v>2190</v>
      </c>
      <c r="H47" s="2485"/>
      <c r="I47" s="168"/>
      <c r="J47" s="1812">
        <v>2</v>
      </c>
      <c r="K47" s="3080" t="s">
        <v>2191</v>
      </c>
      <c r="L47" s="3080"/>
      <c r="M47" s="3082">
        <f>'数据-取费表'!B2</f>
        <v>43033</v>
      </c>
      <c r="N47" s="3082"/>
      <c r="O47" s="3082"/>
    </row>
    <row r="48" spans="1:15" ht="25.5" hidden="1">
      <c r="A48" s="3148" t="s">
        <v>2192</v>
      </c>
      <c r="B48" s="3149"/>
      <c r="C48" s="3149"/>
      <c r="D48" s="139">
        <f>IF(H48="情况1",0,IF(H48="情况2",D52,IF(H48="情况3",D53,IF(H48="情况4",D54))))</f>
        <v>0</v>
      </c>
      <c r="E48" s="1801" t="str">
        <f>IF(H48="情况4","(销售额-原购置价)×税（费）率","销售额×税（费）率")</f>
        <v>销售额×税（费）率</v>
      </c>
      <c r="F48" s="175" t="str">
        <f>IF(H48="情况1","免征",'数据-取费表'!B41)</f>
        <v>免征</v>
      </c>
      <c r="G48" s="2486" t="s">
        <v>2193</v>
      </c>
      <c r="H48" s="2487" t="s">
        <v>2194</v>
      </c>
      <c r="I48" s="2485"/>
      <c r="J48" s="1812">
        <v>3</v>
      </c>
      <c r="K48" s="3080" t="s">
        <v>2195</v>
      </c>
      <c r="L48" s="3080"/>
      <c r="M48" s="3083">
        <f ca="1">H101</f>
        <v>78</v>
      </c>
      <c r="N48" s="3083"/>
      <c r="O48" s="3083"/>
    </row>
    <row r="49" spans="1:35" ht="25.5" hidden="1" customHeight="1">
      <c r="A49" s="176" t="s">
        <v>2196</v>
      </c>
      <c r="B49" s="3128" t="s">
        <v>2197</v>
      </c>
      <c r="C49" s="3128"/>
      <c r="D49" s="177">
        <v>0</v>
      </c>
      <c r="E49" s="22" t="s">
        <v>2198</v>
      </c>
      <c r="F49" s="27" t="s">
        <v>34</v>
      </c>
      <c r="G49" s="3109"/>
      <c r="H49" s="137"/>
      <c r="I49" s="2488"/>
      <c r="J49" s="1812">
        <v>4</v>
      </c>
      <c r="K49" s="3080" t="str">
        <f>IF(项目基本情况!E8="房地产抵押价值","房地产抵押价值","抵押担保权已注销时的房地产抵押价值")</f>
        <v>抵押担保权已注销时的房地产抵押价值</v>
      </c>
      <c r="L49" s="3080"/>
      <c r="M49" s="3083" t="str">
        <f>IF(项目基本情况!E8="房地产抵押价值",H107,H109)</f>
        <v>——</v>
      </c>
      <c r="N49" s="3083"/>
      <c r="O49" s="3083"/>
    </row>
    <row r="50" spans="1:35" ht="25.5" hidden="1" customHeight="1">
      <c r="A50" s="178"/>
      <c r="B50" s="3128" t="s">
        <v>2199</v>
      </c>
      <c r="C50" s="3128"/>
      <c r="D50" s="179"/>
      <c r="E50" s="30"/>
      <c r="F50" s="180"/>
      <c r="G50" s="3110"/>
      <c r="H50" s="137"/>
      <c r="I50" s="2488"/>
      <c r="J50" s="3080" t="s">
        <v>2200</v>
      </c>
      <c r="K50" s="3080"/>
      <c r="L50" s="3080"/>
      <c r="M50" s="3080"/>
      <c r="N50" s="3080"/>
      <c r="O50" s="3080"/>
    </row>
    <row r="51" spans="1:35" ht="12" hidden="1" customHeight="1">
      <c r="A51" s="181"/>
      <c r="B51" s="3128" t="s">
        <v>2201</v>
      </c>
      <c r="C51" s="3128"/>
      <c r="D51" s="182"/>
      <c r="E51" s="29"/>
      <c r="F51" s="180"/>
      <c r="G51" s="3111"/>
      <c r="H51" s="137"/>
      <c r="I51" s="2488"/>
      <c r="J51" s="2489" t="s">
        <v>2202</v>
      </c>
      <c r="K51" s="3080" t="s">
        <v>2203</v>
      </c>
      <c r="L51" s="3080"/>
      <c r="M51" s="2489" t="s">
        <v>2204</v>
      </c>
      <c r="N51" s="2489" t="s">
        <v>2205</v>
      </c>
      <c r="O51" s="2489" t="s">
        <v>2206</v>
      </c>
    </row>
    <row r="52" spans="1:35" ht="24" hidden="1" customHeight="1">
      <c r="A52" s="183" t="s">
        <v>2207</v>
      </c>
      <c r="B52" s="3128" t="s">
        <v>2208</v>
      </c>
      <c r="C52" s="3128"/>
      <c r="D52" s="182">
        <f ca="1">ROUND(D45*'数据-取费表'!B41/(1+'数据-取费表'!C42),0)</f>
        <v>4</v>
      </c>
      <c r="E52" s="11" t="s">
        <v>2209</v>
      </c>
      <c r="F52" s="184">
        <f>'数据-取费表'!B41</f>
        <v>5.6000000000000001E-2</v>
      </c>
      <c r="G52" s="2490"/>
      <c r="H52" s="137"/>
      <c r="I52" s="2488"/>
      <c r="J52" s="1812">
        <v>1</v>
      </c>
      <c r="K52" s="3103" t="s">
        <v>2210</v>
      </c>
      <c r="L52" s="3103"/>
      <c r="M52" s="1754">
        <f>D48</f>
        <v>0</v>
      </c>
      <c r="N52" s="1812" t="str">
        <f>E48</f>
        <v>销售额×税（费）率</v>
      </c>
      <c r="O52" s="1755" t="str">
        <f>F48</f>
        <v>免征</v>
      </c>
    </row>
    <row r="53" spans="1:35" ht="12" hidden="1" customHeight="1">
      <c r="A53" s="183" t="s">
        <v>2211</v>
      </c>
      <c r="B53" s="3129" t="s">
        <v>2212</v>
      </c>
      <c r="C53" s="3130"/>
      <c r="D53" s="182">
        <f ca="1">ROUND(D45*'数据-取费表'!B41/(1+'数据-取费表'!C42),0)</f>
        <v>4</v>
      </c>
      <c r="E53" s="11" t="s">
        <v>2209</v>
      </c>
      <c r="F53" s="184">
        <f>'数据-取费表'!B41</f>
        <v>5.6000000000000001E-2</v>
      </c>
      <c r="G53" s="2490"/>
      <c r="H53" s="137"/>
      <c r="I53" s="2488"/>
      <c r="J53" s="1812">
        <v>2</v>
      </c>
      <c r="K53" s="3103" t="s">
        <v>2213</v>
      </c>
      <c r="L53" s="3103"/>
      <c r="M53" s="1754">
        <f t="shared" ref="M53:O54" ca="1" si="0">D55</f>
        <v>0</v>
      </c>
      <c r="N53" s="1812" t="str">
        <f t="shared" si="0"/>
        <v>销售额×税（费）率</v>
      </c>
      <c r="O53" s="1755">
        <f t="shared" si="0"/>
        <v>5.0000000000000001E-4</v>
      </c>
    </row>
    <row r="54" spans="1:35" ht="12" hidden="1" customHeight="1">
      <c r="A54" s="183" t="s">
        <v>2214</v>
      </c>
      <c r="B54" s="3129" t="s">
        <v>2215</v>
      </c>
      <c r="C54" s="3130"/>
      <c r="D54" s="182">
        <f ca="1">C68</f>
        <v>4</v>
      </c>
      <c r="E54" s="29" t="s">
        <v>2216</v>
      </c>
      <c r="F54" s="184">
        <f>'数据-取费表'!B41</f>
        <v>5.6000000000000001E-2</v>
      </c>
      <c r="G54" s="2490"/>
      <c r="H54" s="2491"/>
      <c r="I54" s="2488"/>
      <c r="J54" s="1812">
        <v>3</v>
      </c>
      <c r="K54" s="3103" t="s">
        <v>2217</v>
      </c>
      <c r="L54" s="3103"/>
      <c r="M54" s="1754" t="e">
        <f t="shared" ca="1" si="0"/>
        <v>#DIV/0!</v>
      </c>
      <c r="N54" s="1812" t="str">
        <f t="shared" si="0"/>
        <v>增值额×税（费）率</v>
      </c>
      <c r="O54" s="1756" t="str">
        <f t="shared" si="0"/>
        <v>——</v>
      </c>
    </row>
    <row r="55" spans="1:35" ht="24" hidden="1" customHeight="1">
      <c r="A55" s="3167" t="s">
        <v>2218</v>
      </c>
      <c r="B55" s="3149"/>
      <c r="C55" s="3149"/>
      <c r="D55" s="185">
        <f ca="1">IF(H55="个人住宅",0,ROUND(D45*I55,0))</f>
        <v>0</v>
      </c>
      <c r="E55" s="11" t="s">
        <v>2219</v>
      </c>
      <c r="F55" s="184">
        <f>IF(H55="正常",I55,"免征")</f>
        <v>5.0000000000000001E-4</v>
      </c>
      <c r="G55" s="2490"/>
      <c r="H55" s="2487" t="s">
        <v>2220</v>
      </c>
      <c r="I55" s="186">
        <f>'数据-取费表'!B49</f>
        <v>5.0000000000000001E-4</v>
      </c>
      <c r="J55" s="1812" t="str">
        <f>IF(H59="非个人房产","",4)</f>
        <v/>
      </c>
      <c r="K55" s="3103" t="str">
        <f>IF(H59="非个人房产","——","个人所得税")</f>
        <v>——</v>
      </c>
      <c r="L55" s="3103"/>
      <c r="M55" s="1757" t="str">
        <f>D59</f>
        <v>——</v>
      </c>
      <c r="N55" s="1810" t="str">
        <f>E59</f>
        <v>——</v>
      </c>
      <c r="O55" s="1758" t="str">
        <f>F59</f>
        <v>——</v>
      </c>
    </row>
    <row r="56" spans="1:35" ht="24.75" hidden="1">
      <c r="A56" s="3167" t="s">
        <v>2221</v>
      </c>
      <c r="B56" s="3149"/>
      <c r="C56" s="3149"/>
      <c r="D56" s="185" t="e">
        <f ca="1">IF(H56="个人住宅",D57,D58)</f>
        <v>#DIV/0!</v>
      </c>
      <c r="E56" s="11" t="s">
        <v>2222</v>
      </c>
      <c r="F56" s="184" t="str">
        <f>IF(H56="正常",F58,"免征")</f>
        <v>——</v>
      </c>
      <c r="G56" s="2492" t="s">
        <v>2223</v>
      </c>
      <c r="H56" s="2493" t="s">
        <v>2220</v>
      </c>
      <c r="I56" s="2494"/>
      <c r="J56" s="1812" t="str">
        <f>IF(项目基本情况!K6="上海银行",IF(J55="",4,J55+1),"")</f>
        <v/>
      </c>
      <c r="K56" s="3086" t="str">
        <f>IF(项目基本情况!K6="上海银行","其他处置费用","")</f>
        <v/>
      </c>
      <c r="L56" s="3087"/>
      <c r="M56" s="1754" t="str">
        <f>IF(项目基本情况!K6="上海银行",M69,"")</f>
        <v/>
      </c>
      <c r="N56" s="3089" t="str">
        <f>IF(项目基本情况!K6="上海银行","包含处置中涉及的律师、诉讼、拍卖、评估等费用","")</f>
        <v/>
      </c>
      <c r="O56" s="3090"/>
    </row>
    <row r="57" spans="1:35" ht="12.75" hidden="1">
      <c r="A57" s="183" t="s">
        <v>2196</v>
      </c>
      <c r="B57" s="3134" t="s">
        <v>2224</v>
      </c>
      <c r="C57" s="3135"/>
      <c r="D57" s="187">
        <v>0</v>
      </c>
      <c r="E57" s="22" t="s">
        <v>2198</v>
      </c>
      <c r="F57" s="155"/>
      <c r="G57" s="2490"/>
      <c r="H57" s="2494"/>
      <c r="I57" s="2494"/>
      <c r="J57" s="3103">
        <f>IF(AND(J55="",J56=""),4,IF(项目基本情况!K6="上海银行",结果表!J56+1,结果表!J55+1))</f>
        <v>4</v>
      </c>
      <c r="K57" s="3103" t="s">
        <v>2225</v>
      </c>
      <c r="L57" s="2495" t="s">
        <v>2226</v>
      </c>
      <c r="M57" s="1759"/>
      <c r="N57" s="1760">
        <f ca="1">SUMIF(M52:M56,"&lt;9e307")</f>
        <v>0</v>
      </c>
      <c r="O57" s="2496"/>
      <c r="P57" s="1753" t="e">
        <f ca="1">N57/M49</f>
        <v>#VALUE!</v>
      </c>
    </row>
    <row r="58" spans="1:35" ht="24.75" hidden="1">
      <c r="A58" s="183" t="s">
        <v>2207</v>
      </c>
      <c r="B58" s="3134" t="s">
        <v>2227</v>
      </c>
      <c r="C58" s="3147"/>
      <c r="D58" s="185" t="e">
        <f ca="1">IF(H58="转让取得",C81,C97)</f>
        <v>#DIV/0!</v>
      </c>
      <c r="E58" s="11" t="s">
        <v>2222</v>
      </c>
      <c r="F58" s="23" t="s">
        <v>34</v>
      </c>
      <c r="G58" s="2490"/>
      <c r="H58" s="2493" t="s">
        <v>2228</v>
      </c>
      <c r="I58" s="2494"/>
      <c r="J58" s="3103"/>
      <c r="K58" s="3103"/>
      <c r="L58" s="2495" t="s">
        <v>2229</v>
      </c>
      <c r="M58" s="1761"/>
      <c r="N58" s="2497" t="str">
        <f ca="1">NUMBERSTRING(INT(N57*10000),2)&amp;"元整"</f>
        <v>零元整</v>
      </c>
      <c r="O58" s="2498"/>
    </row>
    <row r="59" spans="1:35" ht="24.75" hidden="1" thickBot="1">
      <c r="A59" s="3107" t="s">
        <v>2230</v>
      </c>
      <c r="B59" s="3108"/>
      <c r="C59" s="3108"/>
      <c r="D59" s="188" t="str">
        <f>IF(H59="非个人房产","——",IF(H59="个人住宅",0,ROUND(D45*I59,0)))</f>
        <v>——</v>
      </c>
      <c r="E59" s="189" t="str">
        <f>IF(H59="非个人房产","——","销售额×税（费）率")</f>
        <v>——</v>
      </c>
      <c r="F59" s="190" t="str">
        <f>IF(H59="非个人房产","——",IF(H59="个人住宅","免征",I59))</f>
        <v>——</v>
      </c>
      <c r="G59" s="2499" t="s">
        <v>2223</v>
      </c>
      <c r="H59" s="2493" t="s">
        <v>2231</v>
      </c>
      <c r="I59" s="191">
        <v>0.01</v>
      </c>
      <c r="J59" s="3105">
        <f>J57+1</f>
        <v>5</v>
      </c>
      <c r="K59" s="3103" t="s">
        <v>2232</v>
      </c>
      <c r="L59" s="1812" t="s">
        <v>2226</v>
      </c>
      <c r="M59" s="1762"/>
      <c r="N59" s="1763" t="e">
        <f ca="1">M49-N57</f>
        <v>#VALUE!</v>
      </c>
      <c r="O59" s="2500"/>
    </row>
    <row r="60" spans="1:35" ht="12" hidden="1" customHeight="1">
      <c r="A60" s="2501"/>
      <c r="B60" s="2423"/>
      <c r="C60" s="2423"/>
      <c r="D60" s="2423"/>
      <c r="E60" s="2170"/>
      <c r="F60" s="2494"/>
      <c r="G60" s="2494"/>
      <c r="H60" s="2502"/>
      <c r="I60" s="137"/>
      <c r="J60" s="3106"/>
      <c r="K60" s="3103"/>
      <c r="L60" s="2495" t="s">
        <v>2229</v>
      </c>
      <c r="M60" s="1761"/>
      <c r="N60" s="2497" t="e">
        <f ca="1">NUMBERSTRING(INT(N59*10000),2)&amp;"元整"</f>
        <v>#VALUE!</v>
      </c>
      <c r="O60" s="2498"/>
    </row>
    <row r="61" spans="1:35" ht="13.5" hidden="1" thickBot="1">
      <c r="A61" s="3166" t="s">
        <v>2233</v>
      </c>
      <c r="B61" s="3166"/>
      <c r="C61" s="3166"/>
      <c r="D61" s="3166"/>
      <c r="E61" s="3166"/>
      <c r="F61" s="2494"/>
      <c r="G61" s="2494"/>
      <c r="H61" s="2502"/>
      <c r="I61" s="137"/>
      <c r="J61" s="1812">
        <f>J59+1</f>
        <v>6</v>
      </c>
      <c r="K61" s="3103" t="s">
        <v>2234</v>
      </c>
      <c r="L61" s="3103"/>
      <c r="M61" s="1764"/>
      <c r="N61" s="1765" t="e">
        <f ca="1">ROUND(N59*10000/'数据-汇总表'!E3,0)</f>
        <v>#VALUE!</v>
      </c>
      <c r="O61" s="2503"/>
    </row>
    <row r="62" spans="1:35" ht="12.75" hidden="1">
      <c r="A62" s="3123" t="s">
        <v>2235</v>
      </c>
      <c r="B62" s="3124"/>
      <c r="C62" s="1804"/>
      <c r="D62" s="1804" t="s">
        <v>2236</v>
      </c>
      <c r="E62" s="192" t="s">
        <v>2237</v>
      </c>
      <c r="F62" s="2494"/>
      <c r="G62" s="2494"/>
      <c r="H62" s="2502"/>
      <c r="I62" s="137"/>
    </row>
    <row r="63" spans="1:35" ht="12.75" hidden="1">
      <c r="A63" s="203" t="s">
        <v>775</v>
      </c>
      <c r="B63" s="193" t="s">
        <v>2238</v>
      </c>
      <c r="C63" s="194">
        <f ca="1">ROUND((C64+C65)/(1+'数据-取费表'!C42),0)</f>
        <v>74</v>
      </c>
      <c r="D63" s="195"/>
      <c r="E63" s="196"/>
      <c r="F63" s="2494"/>
      <c r="G63" s="2494"/>
      <c r="H63" s="2502"/>
      <c r="I63" s="137"/>
      <c r="J63" s="3088" t="s">
        <v>2239</v>
      </c>
      <c r="K63" s="2504" t="s">
        <v>2240</v>
      </c>
      <c r="L63" s="1752" t="e">
        <f>IF(M49&gt;10000,M49*0.5%,IF(AND(M49&gt;1000,M49&lt;=10000),M49*1%,IF(AND(M49&gt;100,M49&lt;=1000),M49*3%,IF(AND(M49&gt;10,M49&lt;=100),M49*5%,M49*8%))))</f>
        <v>#VALUE!</v>
      </c>
      <c r="M63" s="23" t="e">
        <f>ROUND(L63,1)</f>
        <v>#VALUE!</v>
      </c>
      <c r="Z63" s="2428"/>
      <c r="AI63" s="2429"/>
    </row>
    <row r="64" spans="1:35" ht="14.25" hidden="1" customHeight="1">
      <c r="A64" s="197" t="s">
        <v>770</v>
      </c>
      <c r="B64" s="198" t="s">
        <v>2241</v>
      </c>
      <c r="C64" s="199">
        <f ca="1">D45</f>
        <v>78</v>
      </c>
      <c r="D64" s="200" t="s">
        <v>32</v>
      </c>
      <c r="E64" s="201"/>
      <c r="F64" s="2494"/>
      <c r="G64" s="2494"/>
      <c r="H64" s="2502"/>
      <c r="I64" s="137"/>
      <c r="J64" s="3088"/>
      <c r="K64" s="2504" t="s">
        <v>2242</v>
      </c>
      <c r="L64" s="1752"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2243</v>
      </c>
      <c r="Z64" s="2428"/>
      <c r="AI64" s="2429"/>
    </row>
    <row r="65" spans="1:35" ht="14.25" hidden="1" customHeight="1">
      <c r="A65" s="197" t="s">
        <v>771</v>
      </c>
      <c r="B65" s="198" t="s">
        <v>2244</v>
      </c>
      <c r="C65" s="202"/>
      <c r="D65" s="200"/>
      <c r="E65" s="201"/>
      <c r="F65" s="2494"/>
      <c r="G65" s="2494"/>
      <c r="H65" s="2502"/>
      <c r="I65" s="137"/>
      <c r="J65" s="3088"/>
      <c r="K65" s="2504" t="s">
        <v>2245</v>
      </c>
      <c r="L65" s="1752" t="e">
        <f>IF(M49&gt;1000,M49*0.1%,IF(AND(M49&gt;500,M49&lt;=1000),M49*0.5%,IF(AND(M49&gt;50,M49&lt;=500),M49*1%,IF(AND(M49&gt;1,M49&lt;=50),M49*1.5%))))</f>
        <v>#VALUE!</v>
      </c>
      <c r="M65" s="23" t="e">
        <f t="shared" si="1"/>
        <v>#VALUE!</v>
      </c>
      <c r="N65" s="137" t="s">
        <v>2243</v>
      </c>
      <c r="Z65" s="2428"/>
      <c r="AI65" s="2429"/>
    </row>
    <row r="66" spans="1:35" ht="14.25" hidden="1" customHeight="1">
      <c r="A66" s="203" t="s">
        <v>772</v>
      </c>
      <c r="B66" s="204" t="s">
        <v>2246</v>
      </c>
      <c r="C66" s="205"/>
      <c r="D66" s="206" t="s">
        <v>32</v>
      </c>
      <c r="E66" s="1776" t="s">
        <v>1372</v>
      </c>
      <c r="F66" s="2494"/>
      <c r="G66" s="2494"/>
      <c r="H66" s="2502"/>
      <c r="I66" s="137"/>
      <c r="J66" s="3088"/>
      <c r="K66" s="2504" t="s">
        <v>2247</v>
      </c>
      <c r="L66" s="1752" t="e">
        <f>M49*0.5%</f>
        <v>#VALUE!</v>
      </c>
      <c r="M66" s="23" t="e">
        <f>IF(L66&gt;0.5,0.5,ROUND(L66,0))</f>
        <v>#VALUE!</v>
      </c>
      <c r="N66" s="137" t="s">
        <v>2248</v>
      </c>
      <c r="Z66" s="2428"/>
      <c r="AI66" s="2429"/>
    </row>
    <row r="67" spans="1:35" ht="14.25" hidden="1" customHeight="1">
      <c r="A67" s="203" t="s">
        <v>773</v>
      </c>
      <c r="B67" s="204" t="s">
        <v>2249</v>
      </c>
      <c r="C67" s="207">
        <f ca="1">C63-C66</f>
        <v>74</v>
      </c>
      <c r="D67" s="200" t="s">
        <v>32</v>
      </c>
      <c r="E67" s="201"/>
      <c r="F67" s="2494"/>
      <c r="G67" s="2494"/>
      <c r="H67" s="2502"/>
      <c r="I67" s="137"/>
      <c r="J67" s="3088"/>
      <c r="K67" s="2504"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8"/>
      <c r="AI67" s="2429"/>
    </row>
    <row r="68" spans="1:35" ht="14.25" hidden="1" customHeight="1" thickBot="1">
      <c r="A68" s="208" t="s">
        <v>774</v>
      </c>
      <c r="B68" s="209" t="s">
        <v>2251</v>
      </c>
      <c r="C68" s="210">
        <f ca="1">IF(C67&lt;=0,0,ROUND(C67*D68,0))</f>
        <v>4</v>
      </c>
      <c r="D68" s="211">
        <f>'数据-取费表'!B41</f>
        <v>5.6000000000000001E-2</v>
      </c>
      <c r="E68" s="212"/>
      <c r="F68" s="2494"/>
      <c r="G68" s="2494"/>
      <c r="H68" s="2502"/>
      <c r="I68" s="137"/>
      <c r="J68" s="3088"/>
      <c r="K68" s="2504" t="s">
        <v>2252</v>
      </c>
      <c r="L68" s="1752" t="e">
        <f>IF(M49&gt;10000,M49*0.5%,IF(AND(M49&gt;5000,M49&lt;=10000),M49*1%,IF(AND(M49&gt;1000,M49&lt;=5000),M49*2%,IF(AND(M49&gt;200,M49&lt;=1000),M49*3%,M49*5%))))</f>
        <v>#VALUE!</v>
      </c>
      <c r="M68" s="23" t="e">
        <f>ROUND(L68,1)</f>
        <v>#VALUE!</v>
      </c>
      <c r="Z68" s="2428"/>
      <c r="AI68" s="2429"/>
    </row>
    <row r="69" spans="1:35" s="2451" customFormat="1" ht="16.5" hidden="1" customHeight="1">
      <c r="A69" s="2505"/>
      <c r="B69" s="2506"/>
      <c r="C69" s="2507"/>
      <c r="D69" s="2508"/>
      <c r="E69" s="2509"/>
      <c r="F69" s="2170"/>
      <c r="G69" s="2170"/>
      <c r="H69" s="2169"/>
      <c r="I69" s="2423"/>
      <c r="J69" s="3088"/>
      <c r="K69" s="2504" t="s">
        <v>2253</v>
      </c>
      <c r="L69" s="2510"/>
      <c r="M69" s="23"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hidden="1" thickBot="1">
      <c r="A70" s="3132" t="s">
        <v>2254</v>
      </c>
      <c r="B70" s="3133"/>
      <c r="C70" s="3133"/>
      <c r="D70" s="3133"/>
      <c r="E70" s="3133"/>
      <c r="F70" s="3133"/>
      <c r="G70" s="3133"/>
      <c r="H70" s="3133"/>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hidden="1">
      <c r="A71" s="3123" t="s">
        <v>2235</v>
      </c>
      <c r="B71" s="3124"/>
      <c r="C71" s="1804"/>
      <c r="D71" s="1804" t="s">
        <v>2236</v>
      </c>
      <c r="E71" s="213" t="s">
        <v>2237</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hidden="1">
      <c r="A72" s="203" t="s">
        <v>775</v>
      </c>
      <c r="B72" s="204" t="s">
        <v>2255</v>
      </c>
      <c r="C72" s="207">
        <f ca="1">ROUND(D45/(1+'数据-取费表'!C42),0)</f>
        <v>74</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hidden="1">
      <c r="A73" s="203" t="s">
        <v>772</v>
      </c>
      <c r="B73" s="173" t="s">
        <v>2256</v>
      </c>
      <c r="C73" s="207">
        <f ca="1">C74+C78</f>
        <v>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hidden="1">
      <c r="A74" s="217" t="s">
        <v>770</v>
      </c>
      <c r="B74" s="198" t="s">
        <v>2257</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hidden="1">
      <c r="A75" s="217" t="s">
        <v>776</v>
      </c>
      <c r="B75" s="198" t="s">
        <v>2258</v>
      </c>
      <c r="C75" s="218"/>
      <c r="D75" s="200" t="s">
        <v>32</v>
      </c>
      <c r="E75" s="219" t="s">
        <v>2259</v>
      </c>
      <c r="F75" s="2516" t="s">
        <v>2260</v>
      </c>
      <c r="G75" s="219" t="s">
        <v>2261</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hidden="1" customHeight="1">
      <c r="A76" s="217" t="s">
        <v>777</v>
      </c>
      <c r="B76" s="221" t="s">
        <v>2262</v>
      </c>
      <c r="C76" s="200">
        <f>IF(F75="购房发票",ROUND(C75*H75*D76,0),0)</f>
        <v>0</v>
      </c>
      <c r="D76" s="222">
        <v>0.05</v>
      </c>
      <c r="E76" s="3129" t="s">
        <v>2263</v>
      </c>
      <c r="F76" s="3128"/>
      <c r="G76" s="3128"/>
      <c r="H76" s="3131"/>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4" t="s">
        <v>2265</v>
      </c>
      <c r="F77" s="224"/>
      <c r="G77" s="2518" t="s">
        <v>2266</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hidden="1" customHeight="1">
      <c r="A78" s="217" t="s">
        <v>771</v>
      </c>
      <c r="B78" s="198" t="s">
        <v>2267</v>
      </c>
      <c r="C78" s="225">
        <f ca="1">ROUND(D45*D78/(1+'数据-取费表'!C42),0)</f>
        <v>0</v>
      </c>
      <c r="D78" s="226">
        <f>'数据-取费表'!B43</f>
        <v>6.000000000000001E-3</v>
      </c>
      <c r="E78" s="3120" t="s">
        <v>2268</v>
      </c>
      <c r="F78" s="3121"/>
      <c r="G78" s="3121"/>
      <c r="H78" s="3122"/>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hidden="1">
      <c r="A79" s="2520" t="s">
        <v>779</v>
      </c>
      <c r="B79" s="204" t="s">
        <v>2269</v>
      </c>
      <c r="C79" s="207">
        <f ca="1">C72-C73</f>
        <v>74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hidden="1">
      <c r="A80" s="2520" t="s">
        <v>780</v>
      </c>
      <c r="B80" s="204" t="s">
        <v>2270</v>
      </c>
      <c r="C80" s="227" t="e">
        <f ca="1">IF(C79&lt;=0,0,C79/C73)</f>
        <v>#DIV/0!</v>
      </c>
      <c r="D80" s="200" t="s">
        <v>32</v>
      </c>
      <c r="E80" s="14" t="e">
        <f ca="1">IF(C80&gt;=200%,"增值额超过扣除项目金额200%",IF(C80&gt;=100%,"增值额超过扣除项目金额100%，未超过200%",IF(C80&gt;=50%,"增值额超过扣除项目金额50%，未超过100%",IF(C80&lt;50%,"增值额未超过扣除项目金额50%"))))</f>
        <v>#DIV/0!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hidden="1" thickBot="1">
      <c r="A81" s="2521" t="s">
        <v>781</v>
      </c>
      <c r="B81" s="209" t="s">
        <v>2271</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hidden="1"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hidden="1" thickBot="1">
      <c r="A83" s="3132" t="s">
        <v>2272</v>
      </c>
      <c r="B83" s="3133"/>
      <c r="C83" s="3133"/>
      <c r="D83" s="3133"/>
      <c r="E83" s="3133"/>
      <c r="F83" s="3133"/>
      <c r="G83" s="3133"/>
      <c r="H83" s="3133"/>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hidden="1">
      <c r="A84" s="3123" t="s">
        <v>2235</v>
      </c>
      <c r="B84" s="3124"/>
      <c r="C84" s="1804"/>
      <c r="D84" s="1804" t="s">
        <v>2236</v>
      </c>
      <c r="E84" s="213" t="s">
        <v>2237</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hidden="1">
      <c r="A85" s="203" t="s">
        <v>775</v>
      </c>
      <c r="B85" s="204" t="s">
        <v>2255</v>
      </c>
      <c r="C85" s="207">
        <f ca="1">ROUND(D45/(1+'数据-取费表'!C42),0)</f>
        <v>74</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hidden="1">
      <c r="A86" s="203" t="s">
        <v>772</v>
      </c>
      <c r="B86" s="173" t="s">
        <v>2256</v>
      </c>
      <c r="C86" s="207">
        <f ca="1">IF(H88="仅含出让金",C87+C90+C91+C92+C93+C94,C87+C91+C92+C93+C94)</f>
        <v>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hidden="1">
      <c r="A87" s="217" t="s">
        <v>770</v>
      </c>
      <c r="B87" s="198" t="s">
        <v>2273</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hidden="1">
      <c r="A88" s="217" t="s">
        <v>776</v>
      </c>
      <c r="B88" s="198" t="s">
        <v>2274</v>
      </c>
      <c r="C88" s="236"/>
      <c r="D88" s="226"/>
      <c r="E88" s="237" t="s">
        <v>2275</v>
      </c>
      <c r="F88" s="1800"/>
      <c r="G88" s="238" t="s">
        <v>2276</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hidden="1">
      <c r="A89" s="217" t="s">
        <v>777</v>
      </c>
      <c r="B89" s="198" t="s">
        <v>2264</v>
      </c>
      <c r="C89" s="225">
        <f>ROUND(C88*D89,0)</f>
        <v>0</v>
      </c>
      <c r="D89" s="226">
        <f>'数据-取费表'!B48+'数据-取费表'!B49</f>
        <v>3.0499999999999999E-2</v>
      </c>
      <c r="E89" s="237" t="s">
        <v>2277</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hidden="1">
      <c r="A90" s="217" t="s">
        <v>771</v>
      </c>
      <c r="B90" s="198" t="s">
        <v>2278</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hidden="1" customHeight="1">
      <c r="A91" s="217" t="s">
        <v>2279</v>
      </c>
      <c r="B91" s="198" t="s">
        <v>2280</v>
      </c>
      <c r="C91" s="225">
        <f>IF(H91="——",成本法!C33,I91)</f>
        <v>0</v>
      </c>
      <c r="D91" s="226"/>
      <c r="E91" s="3120" t="s">
        <v>2281</v>
      </c>
      <c r="F91" s="3121"/>
      <c r="G91" s="3121"/>
      <c r="H91" s="2523" t="s">
        <v>2282</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hidden="1" customHeight="1">
      <c r="A92" s="217" t="s">
        <v>2283</v>
      </c>
      <c r="B92" s="198" t="s">
        <v>2284</v>
      </c>
      <c r="C92" s="225">
        <f>ROUND((C87+C90+C91)*D92,0)</f>
        <v>0</v>
      </c>
      <c r="D92" s="226">
        <v>0.1</v>
      </c>
      <c r="E92" s="3120" t="s">
        <v>2285</v>
      </c>
      <c r="F92" s="3121"/>
      <c r="G92" s="3121"/>
      <c r="H92" s="3122"/>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hidden="1" customHeight="1">
      <c r="A93" s="217" t="s">
        <v>2286</v>
      </c>
      <c r="B93" s="198" t="s">
        <v>2267</v>
      </c>
      <c r="C93" s="225">
        <f ca="1">ROUND(D45*D93/(1+'数据-取费表'!C42),0)</f>
        <v>0</v>
      </c>
      <c r="D93" s="226">
        <f>'数据-取费表'!B43</f>
        <v>6.000000000000001E-3</v>
      </c>
      <c r="E93" s="3120" t="s">
        <v>2268</v>
      </c>
      <c r="F93" s="3121"/>
      <c r="G93" s="3121"/>
      <c r="H93" s="3122"/>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hidden="1" customHeight="1">
      <c r="A94" s="217" t="s">
        <v>2287</v>
      </c>
      <c r="B94" s="198" t="s">
        <v>2288</v>
      </c>
      <c r="C94" s="236">
        <f>ROUND((C87+C90+C91)*D94,0)</f>
        <v>0</v>
      </c>
      <c r="D94" s="226">
        <v>0.2</v>
      </c>
      <c r="E94" s="3168" t="s">
        <v>2289</v>
      </c>
      <c r="F94" s="3169"/>
      <c r="G94" s="3169"/>
      <c r="H94" s="3170"/>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hidden="1">
      <c r="A95" s="2520" t="s">
        <v>779</v>
      </c>
      <c r="B95" s="204" t="s">
        <v>2269</v>
      </c>
      <c r="C95" s="207">
        <f ca="1">ROUND(C85-C86,0)</f>
        <v>74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hidden="1">
      <c r="A96" s="2520" t="s">
        <v>780</v>
      </c>
      <c r="B96" s="204" t="s">
        <v>2270</v>
      </c>
      <c r="C96" s="227" t="e">
        <f ca="1">IF(C95&lt;=0,0,C95/C86)</f>
        <v>#DIV/0!</v>
      </c>
      <c r="D96" s="200" t="s">
        <v>32</v>
      </c>
      <c r="E96" s="14" t="e">
        <f ca="1">IF(C96&gt;=200%,"增值额超过扣除项目金额200%",IF(C96&gt;=100%,"增值额超过扣除项目金额100%，未超过200%",IF(C96&gt;=50%,"增值额超过扣除项目金额50%，未超过100%",IF(C96&lt;50%,"增值额未超过扣除项目金额50%"))))</f>
        <v>#DIV/0!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hidden="1" thickBot="1">
      <c r="A97" s="2521" t="s">
        <v>781</v>
      </c>
      <c r="B97" s="209" t="s">
        <v>2271</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hidden="1" customHeight="1">
      <c r="A98" s="2501"/>
      <c r="B98" s="2423"/>
      <c r="C98" s="2423"/>
      <c r="D98" s="2423"/>
      <c r="E98" s="2170"/>
      <c r="F98" s="2170"/>
      <c r="G98" s="2170"/>
      <c r="H98" s="2169"/>
      <c r="I98" s="137"/>
    </row>
    <row r="99" spans="1:35" ht="21.75" hidden="1" customHeight="1" thickBot="1">
      <c r="A99" s="2479" t="s">
        <v>2290</v>
      </c>
      <c r="B99" s="2423"/>
      <c r="C99" s="2423"/>
      <c r="D99" s="2423"/>
      <c r="E99" s="2170"/>
      <c r="F99" s="2170"/>
      <c r="G99" s="2170"/>
      <c r="H99" s="2169"/>
      <c r="I99" s="137"/>
    </row>
    <row r="100" spans="1:35" ht="18.75" hidden="1" customHeight="1">
      <c r="A100" s="3068" t="s">
        <v>2291</v>
      </c>
      <c r="B100" s="3069"/>
      <c r="C100" s="3069"/>
      <c r="D100" s="3104"/>
      <c r="E100" s="3069" t="s">
        <v>2292</v>
      </c>
      <c r="F100" s="3069"/>
      <c r="G100" s="3069"/>
      <c r="H100" s="3104"/>
      <c r="I100" s="137"/>
    </row>
    <row r="101" spans="1:35" ht="18.75" hidden="1" customHeight="1">
      <c r="A101" s="3112" t="s">
        <v>2293</v>
      </c>
      <c r="B101" s="3113"/>
      <c r="C101" s="736" t="str">
        <f>C4</f>
        <v>比较法-办公</v>
      </c>
      <c r="D101" s="737" t="str">
        <f>D4</f>
        <v>收益法</v>
      </c>
      <c r="E101" s="3084" t="s">
        <v>2294</v>
      </c>
      <c r="F101" s="3085"/>
      <c r="G101" s="2525" t="s">
        <v>2295</v>
      </c>
      <c r="H101" s="1048">
        <f ca="1">H118</f>
        <v>78</v>
      </c>
      <c r="I101" s="137"/>
    </row>
    <row r="102" spans="1:35" ht="18.75" hidden="1" customHeight="1">
      <c r="A102" s="3114" t="s">
        <v>2296</v>
      </c>
      <c r="B102" s="2525" t="s">
        <v>2295</v>
      </c>
      <c r="C102" s="736">
        <f ca="1">C19</f>
        <v>82</v>
      </c>
      <c r="D102" s="737">
        <f ca="1">D19</f>
        <v>74</v>
      </c>
      <c r="E102" s="3084"/>
      <c r="F102" s="3085"/>
      <c r="G102" s="2525" t="s">
        <v>2297</v>
      </c>
      <c r="H102" s="371">
        <f ca="1">I118</f>
        <v>7886</v>
      </c>
      <c r="I102" s="137"/>
    </row>
    <row r="103" spans="1:35" ht="42.75" hidden="1" customHeight="1">
      <c r="A103" s="3114"/>
      <c r="B103" s="2525" t="s">
        <v>2297</v>
      </c>
      <c r="C103" s="738">
        <f ca="1">C20</f>
        <v>8333</v>
      </c>
      <c r="D103" s="739">
        <f ca="1">D20</f>
        <v>7482</v>
      </c>
      <c r="E103" s="3078" t="s">
        <v>2298</v>
      </c>
      <c r="F103" s="3079"/>
      <c r="G103" s="2526" t="s">
        <v>2299</v>
      </c>
      <c r="H103" s="1048">
        <f>IF(D36="正常操作",H104+H105+H106,H105+H106)</f>
        <v>0</v>
      </c>
      <c r="I103" s="137"/>
    </row>
    <row r="104" spans="1:35" ht="18.75" hidden="1" customHeight="1">
      <c r="A104" s="3114" t="s">
        <v>2300</v>
      </c>
      <c r="B104" s="2527" t="s">
        <v>2295</v>
      </c>
      <c r="C104" s="740">
        <f ca="1">H118</f>
        <v>78</v>
      </c>
      <c r="D104" s="741"/>
      <c r="E104" s="2271" t="s">
        <v>2301</v>
      </c>
      <c r="F104" s="2262"/>
      <c r="G104" s="2526" t="s">
        <v>2299</v>
      </c>
      <c r="H104" s="1049">
        <f>IF(D36="同一抵押权人同一抵押物续贷",C36&amp;"（未扣减，详见特别提示）",C36)</f>
        <v>0</v>
      </c>
      <c r="I104" s="137"/>
    </row>
    <row r="105" spans="1:35" ht="18.75" hidden="1" customHeight="1" thickBot="1">
      <c r="A105" s="3126"/>
      <c r="B105" s="2528" t="s">
        <v>2297</v>
      </c>
      <c r="C105" s="742">
        <f ca="1">I118</f>
        <v>7886</v>
      </c>
      <c r="D105" s="743"/>
      <c r="E105" s="2271" t="s">
        <v>2302</v>
      </c>
      <c r="F105" s="2262"/>
      <c r="G105" s="2526" t="s">
        <v>2299</v>
      </c>
      <c r="H105" s="1049">
        <f>C37</f>
        <v>0</v>
      </c>
      <c r="I105" s="137"/>
    </row>
    <row r="106" spans="1:35" ht="18.75" hidden="1" customHeight="1">
      <c r="A106" s="2423" t="s">
        <v>2303</v>
      </c>
      <c r="B106" s="2423"/>
      <c r="C106" s="2423"/>
      <c r="D106" s="2423"/>
      <c r="E106" s="2529" t="s">
        <v>2304</v>
      </c>
      <c r="F106" s="2262"/>
      <c r="G106" s="2526" t="s">
        <v>2299</v>
      </c>
      <c r="H106" s="1049">
        <f>C38</f>
        <v>0</v>
      </c>
      <c r="I106" s="137"/>
    </row>
    <row r="107" spans="1:35" ht="18.75" hidden="1" customHeight="1">
      <c r="A107" s="137"/>
      <c r="B107" s="137"/>
      <c r="C107" s="137"/>
      <c r="D107" s="137"/>
      <c r="E107" s="3115" t="str">
        <f>IF(项目基本情况!E8="已注销","——","3.房地产抵押价值")</f>
        <v>3.房地产抵押价值</v>
      </c>
      <c r="F107" s="3085"/>
      <c r="G107" s="2525" t="s">
        <v>2295</v>
      </c>
      <c r="H107" s="1048">
        <f ca="1">IF(E107="——","——",H101-H103)</f>
        <v>78</v>
      </c>
      <c r="I107" s="137"/>
    </row>
    <row r="108" spans="1:35" ht="18.75" hidden="1" customHeight="1">
      <c r="A108" s="137"/>
      <c r="B108" s="137"/>
      <c r="C108" s="137"/>
      <c r="D108" s="137"/>
      <c r="E108" s="3115"/>
      <c r="F108" s="3085"/>
      <c r="G108" s="2525" t="s">
        <v>2297</v>
      </c>
      <c r="H108" s="371">
        <f ca="1">ROUND(H107*10000/'数据-汇总表'!E3,0)</f>
        <v>20</v>
      </c>
      <c r="I108" s="137"/>
    </row>
    <row r="109" spans="1:35" ht="18.75" hidden="1" customHeight="1">
      <c r="A109" s="137"/>
      <c r="B109" s="137"/>
      <c r="C109" s="137"/>
      <c r="D109" s="137"/>
      <c r="E109" s="3115" t="str">
        <f>IF(项目基本情况!E8="已注销及未注销","4.抵押担保权已注销时的房地产抵押价值",IF(项目基本情况!E8="已注销","3.抵押担保权已注销时的房地产抵押价值","——"))</f>
        <v>——</v>
      </c>
      <c r="F109" s="3085"/>
      <c r="G109" s="2525" t="s">
        <v>2295</v>
      </c>
      <c r="H109" s="348" t="str">
        <f>IF(E109="——","——",H101-H105-H106)</f>
        <v>——</v>
      </c>
      <c r="I109" s="137"/>
    </row>
    <row r="110" spans="1:35" ht="18.75" hidden="1" customHeight="1">
      <c r="A110" s="137"/>
      <c r="B110" s="137"/>
      <c r="C110" s="137"/>
      <c r="D110" s="137"/>
      <c r="E110" s="3115"/>
      <c r="F110" s="3085"/>
      <c r="G110" s="2525" t="s">
        <v>2297</v>
      </c>
      <c r="H110" s="371" t="str">
        <f>IF(H109="——","——",ROUND(H109*10000/'数据-汇总表'!E3,0))</f>
        <v>——</v>
      </c>
      <c r="I110" s="137"/>
    </row>
    <row r="111" spans="1:35" ht="18.75" hidden="1" customHeight="1">
      <c r="A111" s="137"/>
      <c r="B111" s="137"/>
      <c r="C111" s="137"/>
      <c r="D111" s="137"/>
      <c r="E111" s="3116" t="str">
        <f>IF(项目基本情况!E9="抵押净值",IF(OR(项目基本情况!E8="已注销",项目基本情况!E8="房地产抵押价值"),"4.抵押净值","5.抵押净值"),"——")</f>
        <v>——</v>
      </c>
      <c r="F111" s="3117"/>
      <c r="G111" s="2525" t="s">
        <v>2295</v>
      </c>
      <c r="H111" s="1048" t="str">
        <f>IF(E111="——","——",N59)</f>
        <v>——</v>
      </c>
      <c r="I111" s="137"/>
    </row>
    <row r="112" spans="1:35" ht="18.75" hidden="1" customHeight="1" thickBot="1">
      <c r="A112" s="137"/>
      <c r="B112" s="137"/>
      <c r="C112" s="137"/>
      <c r="D112" s="137"/>
      <c r="E112" s="3118"/>
      <c r="F112" s="3119"/>
      <c r="G112" s="2530" t="s">
        <v>2297</v>
      </c>
      <c r="H112" s="790" t="str">
        <f>IF(E111="——","——",N61)</f>
        <v>——</v>
      </c>
      <c r="I112" s="137"/>
    </row>
    <row r="113" spans="1:11" ht="18.75" hidden="1" customHeight="1">
      <c r="A113" s="137"/>
      <c r="B113" s="137"/>
      <c r="C113" s="137"/>
      <c r="D113" s="137"/>
      <c r="E113" s="3127" t="s">
        <v>2303</v>
      </c>
      <c r="F113" s="3127"/>
      <c r="G113" s="3127"/>
      <c r="H113" s="3127"/>
      <c r="I113" s="137"/>
    </row>
    <row r="114" spans="1:11" ht="29.25" hidden="1" customHeight="1">
      <c r="A114" s="2423"/>
      <c r="B114" s="2423"/>
      <c r="C114" s="2423"/>
      <c r="D114" s="2423"/>
      <c r="E114" s="2501"/>
      <c r="F114" s="2501"/>
      <c r="G114" s="2501"/>
      <c r="H114" s="2501"/>
      <c r="I114" s="2423"/>
    </row>
    <row r="115" spans="1:11" ht="18.75" customHeight="1">
      <c r="A115" s="3140" t="s">
        <v>2305</v>
      </c>
      <c r="B115" s="3141"/>
      <c r="C115" s="3141"/>
      <c r="D115" s="3141"/>
      <c r="E115" s="3141"/>
      <c r="F115" s="3141"/>
      <c r="G115" s="3141"/>
      <c r="H115" s="3141"/>
      <c r="I115" s="3142"/>
    </row>
    <row r="116" spans="1:11" ht="27" customHeight="1">
      <c r="A116" s="3047" t="s">
        <v>2306</v>
      </c>
      <c r="B116" s="3094" t="s">
        <v>2307</v>
      </c>
      <c r="C116" s="3094" t="s">
        <v>2308</v>
      </c>
      <c r="D116" s="3100" t="s">
        <v>2309</v>
      </c>
      <c r="E116" s="3101"/>
      <c r="F116" s="3136" t="s">
        <v>2310</v>
      </c>
      <c r="G116" s="3136"/>
      <c r="H116" s="3047" t="s">
        <v>2311</v>
      </c>
      <c r="I116" s="3047"/>
    </row>
    <row r="117" spans="1:11" ht="18.75" customHeight="1">
      <c r="A117" s="3047"/>
      <c r="B117" s="3095"/>
      <c r="C117" s="3095"/>
      <c r="D117" s="1798" t="s">
        <v>2312</v>
      </c>
      <c r="E117" s="1798" t="s">
        <v>2313</v>
      </c>
      <c r="F117" s="1798" t="s">
        <v>2312</v>
      </c>
      <c r="G117" s="1798" t="s">
        <v>2314</v>
      </c>
      <c r="H117" s="1798" t="s">
        <v>2312</v>
      </c>
      <c r="I117" s="1798" t="s">
        <v>2314</v>
      </c>
    </row>
    <row r="118" spans="1:11" ht="24.75" customHeight="1">
      <c r="A118" s="2531" t="str">
        <f>项目基本情况!S2</f>
        <v>房地产</v>
      </c>
      <c r="B118" s="1798">
        <f>M18</f>
        <v>98.91</v>
      </c>
      <c r="C118" s="1798">
        <f>M19</f>
        <v>33.96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78</v>
      </c>
      <c r="I118" s="1798">
        <f ca="1">ROUND(IF(D32="楼面单价",C32,H118*10000/B118),0)</f>
        <v>7886</v>
      </c>
    </row>
    <row r="119" spans="1:11" ht="18.75" customHeight="1">
      <c r="A119" s="3047" t="s">
        <v>2315</v>
      </c>
      <c r="B119" s="3047"/>
      <c r="C119" s="3047"/>
      <c r="D119" s="3096" t="e">
        <f ca="1">NUMBERSTRING(INT(D118*10000),2)&amp;"元整"</f>
        <v>#REF!</v>
      </c>
      <c r="E119" s="3097"/>
      <c r="F119" s="3096" t="e">
        <f ca="1">NUMBERSTRING(INT(F118*10000),2)&amp;"元整"</f>
        <v>#REF!</v>
      </c>
      <c r="G119" s="3097"/>
      <c r="H119" s="3096" t="str">
        <f ca="1">NUMBERSTRING(INT(H118*10000),2)&amp;"元整"</f>
        <v>柒拾捌万元整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28" t="str">
        <f>IF(D120=0,"故，本次评估不存在"&amp;A120,"故，本次评估"&amp;A120&amp;"为人民币"&amp;D120&amp;"万元整。")</f>
        <v>故，本次评估不存在估价师知悉的法定优先受偿款</v>
      </c>
    </row>
    <row r="121" spans="1:11" ht="18.75" customHeight="1">
      <c r="A121" s="3137" t="s">
        <v>2315</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房地产抵押价值</v>
      </c>
      <c r="B122" s="3102"/>
      <c r="C122" s="3102"/>
      <c r="D122" s="3091">
        <f ca="1">H107</f>
        <v>78</v>
      </c>
      <c r="E122" s="3092"/>
      <c r="F122" s="3092"/>
      <c r="G122" s="3092"/>
      <c r="H122" s="3092"/>
      <c r="I122" s="3093"/>
    </row>
    <row r="123" spans="1:11" ht="18.75" customHeight="1">
      <c r="A123" s="3047" t="s">
        <v>2315</v>
      </c>
      <c r="B123" s="3047"/>
      <c r="C123" s="3047"/>
      <c r="D123" s="3096" t="str">
        <f ca="1">NUMBERSTRING(INT(D122*10000),2)&amp;"元整"</f>
        <v>柒拾捌万元整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47" t="s">
        <v>2315</v>
      </c>
      <c r="B125" s="3047"/>
      <c r="C125" s="3047"/>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47" t="s">
        <v>2315</v>
      </c>
      <c r="B127" s="3047"/>
      <c r="C127" s="3047"/>
      <c r="D127" s="3096" t="e">
        <f>NUMBERSTRING(INT(D126*10000),2)&amp;"元整"</f>
        <v>#VALUE!</v>
      </c>
      <c r="E127" s="3098"/>
      <c r="F127" s="3098"/>
      <c r="G127" s="3098"/>
      <c r="H127" s="3098"/>
      <c r="I127" s="3097"/>
    </row>
    <row r="128" spans="1:11" ht="21.75" customHeight="1">
      <c r="A128" s="3099" t="s">
        <v>2316</v>
      </c>
      <c r="B128" s="3099"/>
      <c r="C128" s="3099"/>
      <c r="D128" s="3099"/>
      <c r="E128" s="3099"/>
      <c r="F128" s="3099"/>
      <c r="G128" s="3099"/>
      <c r="H128" s="3099"/>
      <c r="I128" s="3099"/>
    </row>
    <row r="129" spans="1:35" ht="21.75" customHeight="1">
      <c r="A129" s="2532" t="s">
        <v>2317</v>
      </c>
      <c r="B129" s="2533"/>
      <c r="C129" s="2534" t="s">
        <v>2318</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2319</v>
      </c>
      <c r="G135" s="2549"/>
      <c r="H135" s="2549"/>
      <c r="I135" s="2550" t="s">
        <v>2320</v>
      </c>
    </row>
    <row r="136" spans="1:35" ht="21.75" customHeight="1">
      <c r="A136" s="795"/>
      <c r="B136" s="255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2322</v>
      </c>
    </row>
    <row r="139" spans="1:35" ht="21.75" customHeight="1">
      <c r="A139" s="795"/>
      <c r="B139" s="2551" t="s">
        <v>2323</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2322</v>
      </c>
    </row>
    <row r="142" spans="1:35" ht="21.75" customHeight="1">
      <c r="A142" s="795"/>
      <c r="B142" s="2551"/>
      <c r="C142" s="2552"/>
      <c r="D142" s="2553"/>
      <c r="E142" s="2553"/>
      <c r="F142" s="2345"/>
      <c r="G142" s="795"/>
      <c r="H142" s="795"/>
      <c r="I142" s="795"/>
    </row>
    <row r="143" spans="1:35" s="138"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1">
        <f>MATCH(B1,'数据-取费表'!A6:A16,0)+5</f>
        <v>8</v>
      </c>
    </row>
    <row r="2" spans="1:9" s="244" customFormat="1" ht="18" customHeight="1">
      <c r="A2" s="245" t="s">
        <v>2325</v>
      </c>
      <c r="B2" s="246">
        <f ca="1">IF(D2="——",C52,C52-E2)</f>
        <v>16003</v>
      </c>
      <c r="C2" s="243" t="s">
        <v>2326</v>
      </c>
      <c r="D2" s="2554" t="s">
        <v>70</v>
      </c>
      <c r="E2" s="1442" t="e">
        <f ca="1">SUMIF(INDIRECT("'"&amp;G2&amp;"'"&amp;"!A:A"),"承租人权益价值",INDIRECT("'"&amp;G2&amp;"'"&amp;"!c:c"))</f>
        <v>#REF!</v>
      </c>
      <c r="F2" s="2555" t="s">
        <v>2326</v>
      </c>
      <c r="G2" s="2556"/>
    </row>
    <row r="3" spans="1:9" s="244" customFormat="1" ht="18" customHeight="1" thickBot="1">
      <c r="A3" s="247" t="s">
        <v>2327</v>
      </c>
      <c r="B3" s="248">
        <f ca="1">ROUND(B2*10000/(IF(B1="",'数据-汇总表'!E3,INDIRECT("'数据-取费表'!k"&amp;$G$1))),0)</f>
        <v>4178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7"/>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80</v>
      </c>
      <c r="F9" s="265"/>
      <c r="G9" s="2558"/>
      <c r="H9" s="1392"/>
      <c r="I9" s="2559" t="s">
        <v>2342</v>
      </c>
    </row>
    <row r="10" spans="1:9" s="258" customFormat="1" ht="13.5" customHeight="1">
      <c r="A10" s="953" t="s">
        <v>801</v>
      </c>
      <c r="B10" s="268" t="s">
        <v>2343</v>
      </c>
      <c r="C10" s="269">
        <f ca="1">ROUND(D10*E10/10000,0)</f>
        <v>613</v>
      </c>
      <c r="D10" s="1035">
        <f ca="1">IF(B1="",'数据-汇总表'!E6,IF(INDIRECT("'数据-取费表'!c"&amp;$G$1)="住宅",INDIRECT("'数据-取费表'!s"&amp;$G$1),INDIRECT("'数据-取费表'!k"&amp;$G$1)+INDIRECT("'数据-取费表'!s"&amp;$G$1)))</f>
        <v>38306.649999999907</v>
      </c>
      <c r="E10" s="269">
        <f>'数据-取费表'!B28</f>
        <v>160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766</v>
      </c>
      <c r="D19" s="1039">
        <f ca="1">D9+D10</f>
        <v>38306.649999999907</v>
      </c>
      <c r="E19" s="255">
        <f>'数据-取费表'!B31</f>
        <v>200</v>
      </c>
      <c r="F19" s="275"/>
      <c r="G19" s="2557"/>
    </row>
    <row r="20" spans="1:7" s="258" customFormat="1" ht="13.5" customHeight="1">
      <c r="A20" s="299" t="s">
        <v>2356</v>
      </c>
      <c r="B20" s="254" t="s">
        <v>2357</v>
      </c>
      <c r="C20" s="276">
        <f ca="1">ROUND((C5+C19)*F20,0)</f>
        <v>11</v>
      </c>
      <c r="D20" s="276"/>
      <c r="E20" s="276"/>
      <c r="F20" s="277">
        <f>'数据-取费表'!B37</f>
        <v>1.4999999999999999E-2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6">
        <f ca="1">ROUND(SUM(C23:C25),0)</f>
        <v>75</v>
      </c>
      <c r="D22" s="279">
        <f ca="1">C26</f>
        <v>1.4E-3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7">
        <f ca="1">ROUND(IF('数据-取费表'!B22&lt;=1,C5*F22*'数据-取费表'!B23,C5*(POWER((1+F22),'数据-取费表'!B23)-1)),0)</f>
        <v>0</v>
      </c>
      <c r="D23" s="282"/>
      <c r="E23" s="282"/>
      <c r="F23" s="283"/>
      <c r="G23" s="284" t="s">
        <v>2367</v>
      </c>
    </row>
    <row r="24" spans="1:7" s="258" customFormat="1" ht="13.5" customHeight="1">
      <c r="A24" s="954" t="s">
        <v>2368</v>
      </c>
      <c r="B24" s="259" t="s">
        <v>2369</v>
      </c>
      <c r="C24" s="1357">
        <f ca="1">ROUND(IF('数据-取费表'!B22&lt;=1,C19*F22*('数据-取费表'!B19/2+'数据-取费表'!B21),C19*(POWER((1+F22),('数据-取费表'!B19/2+'数据-取费表'!B21))-1)),0)</f>
        <v>74</v>
      </c>
      <c r="D24" s="282"/>
      <c r="E24" s="282"/>
      <c r="F24" s="283"/>
      <c r="G24" s="284" t="s">
        <v>2370</v>
      </c>
    </row>
    <row r="25" spans="1:7" s="258" customFormat="1" ht="24">
      <c r="A25" s="954" t="s">
        <v>2371</v>
      </c>
      <c r="B25" s="259" t="s">
        <v>2372</v>
      </c>
      <c r="C25" s="1357">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78</v>
      </c>
      <c r="D27" s="279">
        <f ca="1">C29</f>
        <v>3.0000000000000001E-3</v>
      </c>
      <c r="E27" s="280" t="s">
        <v>2377</v>
      </c>
      <c r="F27" s="290">
        <f ca="1">IF(B1="",'数据-取费表'!Q16,INDIRECT("'数据-取费表'!q"&amp;$G$1))</f>
        <v>0.1</v>
      </c>
      <c r="G27" s="291" t="s">
        <v>2378</v>
      </c>
    </row>
    <row r="28" spans="1:7" s="258" customFormat="1" ht="13.5" customHeight="1">
      <c r="A28" s="954" t="s">
        <v>791</v>
      </c>
      <c r="B28" s="292" t="s">
        <v>2379</v>
      </c>
      <c r="C28" s="293">
        <f ca="1">ROUND((C5+C19+C20)*F27*'数据-取费表'!B21/'数据-取费表'!B20,0)</f>
        <v>78</v>
      </c>
      <c r="D28" s="279"/>
      <c r="E28" s="280"/>
      <c r="F28" s="290"/>
      <c r="G28" s="291"/>
    </row>
    <row r="29" spans="1:7" s="258" customFormat="1" ht="13.5" customHeight="1">
      <c r="A29" s="954"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1019</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11975</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10726</v>
      </c>
      <c r="D34" s="261"/>
      <c r="E34" s="264"/>
      <c r="F34" s="301">
        <f ca="1">IF('数据-取费表'!B24=0,1,IF(B1="",'数据-取费表'!N16,INDIRECT("'数据-取费表'!n"&amp;$G$1)))</f>
        <v>1</v>
      </c>
      <c r="G34" s="263" t="s">
        <v>2389</v>
      </c>
    </row>
    <row r="35" spans="1:7" ht="13.5" customHeight="1">
      <c r="A35" s="954" t="s">
        <v>796</v>
      </c>
      <c r="B35" s="259" t="s">
        <v>2390</v>
      </c>
      <c r="C35" s="264">
        <f ca="1">ROUND(C34*F35,0)</f>
        <v>322</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766</v>
      </c>
      <c r="D37" s="261">
        <f ca="1">D19</f>
        <v>38306.649999999907</v>
      </c>
      <c r="E37" s="293">
        <f>'数据-取费表'!B35</f>
        <v>200</v>
      </c>
      <c r="F37" s="303"/>
      <c r="G37" s="305" t="s">
        <v>2395</v>
      </c>
    </row>
    <row r="38" spans="1:7" ht="13.5" customHeight="1">
      <c r="A38" s="954" t="s">
        <v>799</v>
      </c>
      <c r="B38" s="259" t="s">
        <v>2396</v>
      </c>
      <c r="C38" s="264">
        <f ca="1">ROUND(C34*F38,0)</f>
        <v>161</v>
      </c>
      <c r="D38" s="264"/>
      <c r="E38" s="264"/>
      <c r="F38" s="303">
        <f>'数据-取费表'!B36</f>
        <v>1.4999999999999999E-2</v>
      </c>
      <c r="G38" s="263" t="s">
        <v>2391</v>
      </c>
    </row>
    <row r="39" spans="1:7" s="258" customFormat="1" ht="13.5" customHeight="1">
      <c r="A39" s="299" t="s">
        <v>2397</v>
      </c>
      <c r="B39" s="254" t="s">
        <v>2398</v>
      </c>
      <c r="C39" s="276">
        <f ca="1">ROUND(C33*F20,0)</f>
        <v>180</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578</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569</v>
      </c>
      <c r="D42" s="282"/>
      <c r="E42" s="282"/>
      <c r="F42" s="283"/>
      <c r="G42" s="3171" t="s">
        <v>2407</v>
      </c>
    </row>
    <row r="43" spans="1:7" ht="13.5" customHeight="1">
      <c r="A43" s="954" t="s">
        <v>792</v>
      </c>
      <c r="B43" s="259" t="s">
        <v>2408</v>
      </c>
      <c r="C43" s="282">
        <f ca="1">ROUND(IF('数据-取费表'!B22&lt;=1,C39*F22*'数据-取费表'!B21/2,C39*(POWER((1+F22),'数据-取费表'!B21/2)-1)),0)</f>
        <v>9</v>
      </c>
      <c r="D43" s="282"/>
      <c r="E43" s="282"/>
      <c r="F43" s="283"/>
      <c r="G43" s="3172"/>
    </row>
    <row r="44" spans="1:7" ht="13.5" customHeight="1">
      <c r="A44" s="954" t="s">
        <v>793</v>
      </c>
      <c r="B44" s="259" t="s">
        <v>2409</v>
      </c>
      <c r="C44" s="282">
        <f ca="1">ROUND(IF('数据-取费表'!B22&lt;=1,C40*F22*'数据-取费表'!B21/2,C40*(POWER((1+F22),'数据-取费表'!B21/2)-1)),4)</f>
        <v>1.4E-3</v>
      </c>
      <c r="D44" s="282"/>
      <c r="E44" s="282"/>
      <c r="F44" s="283"/>
      <c r="G44" s="3173"/>
    </row>
    <row r="45" spans="1:7" s="258" customFormat="1" ht="13.5" customHeight="1">
      <c r="A45" s="299" t="s">
        <v>2410</v>
      </c>
      <c r="B45" s="288" t="s">
        <v>2376</v>
      </c>
      <c r="C45" s="289">
        <f ca="1">C46</f>
        <v>1216</v>
      </c>
      <c r="D45" s="279">
        <f ca="1">C47</f>
        <v>3.0000000000000001E-3</v>
      </c>
      <c r="E45" s="280" t="s">
        <v>2402</v>
      </c>
      <c r="F45" s="290"/>
      <c r="G45" s="291" t="s">
        <v>2411</v>
      </c>
    </row>
    <row r="46" spans="1:7" s="258" customFormat="1" ht="13.5" customHeight="1">
      <c r="A46" s="954" t="s">
        <v>791</v>
      </c>
      <c r="B46" s="292" t="s">
        <v>2412</v>
      </c>
      <c r="C46" s="293">
        <f ca="1">ROUND((C33+C39)*F27,0)</f>
        <v>1216</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15290</v>
      </c>
      <c r="D49" s="276"/>
      <c r="E49" s="276"/>
      <c r="F49" s="308"/>
      <c r="G49" s="278" t="s">
        <v>2417</v>
      </c>
    </row>
    <row r="50" spans="1:7" s="302" customFormat="1" ht="24">
      <c r="A50" s="299" t="s">
        <v>2418</v>
      </c>
      <c r="B50" s="254" t="s">
        <v>2419</v>
      </c>
      <c r="C50" s="276"/>
      <c r="D50" s="276"/>
      <c r="E50" s="276"/>
      <c r="F50" s="308">
        <f>IF('数据-取费表'!B24=0,'数据-取费表'!N16,1)</f>
        <v>0.98</v>
      </c>
      <c r="G50" s="291" t="s">
        <v>2420</v>
      </c>
    </row>
    <row r="51" spans="1:7" ht="16.5" customHeight="1">
      <c r="A51" s="299" t="s">
        <v>2421</v>
      </c>
      <c r="B51" s="254" t="s">
        <v>2422</v>
      </c>
      <c r="C51" s="276">
        <f ca="1">ROUND(C49*F50,0)</f>
        <v>14984</v>
      </c>
      <c r="D51" s="276"/>
      <c r="E51" s="276"/>
      <c r="F51" s="308"/>
      <c r="G51" s="278" t="s">
        <v>2423</v>
      </c>
    </row>
    <row r="52" spans="1:7" s="252" customFormat="1" ht="16.5" thickBot="1">
      <c r="A52" s="309" t="s">
        <v>2424</v>
      </c>
      <c r="B52" s="310"/>
      <c r="C52" s="311">
        <f ca="1">C31+C51</f>
        <v>16003</v>
      </c>
      <c r="D52" s="310"/>
      <c r="E52" s="310"/>
      <c r="F52" s="310"/>
      <c r="G52" s="312"/>
    </row>
    <row r="55" spans="1:7" ht="15">
      <c r="B55" s="314" t="s">
        <v>2425</v>
      </c>
      <c r="C55" s="315"/>
    </row>
    <row r="56" spans="1:7">
      <c r="B56" s="317" t="s">
        <v>1515</v>
      </c>
      <c r="C56" s="319">
        <f ca="1">1-C57</f>
        <v>6.3999999999999946E-2</v>
      </c>
    </row>
    <row r="57" spans="1:7">
      <c r="B57" s="317" t="s">
        <v>1516</v>
      </c>
      <c r="C57" s="318">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1" t="str">
        <f>项目基本情况!B1</f>
        <v>预评估</v>
      </c>
      <c r="C37" s="2981"/>
      <c r="D37" s="2981"/>
      <c r="E37" s="2981"/>
      <c r="F37" s="2981"/>
      <c r="G37" s="2981"/>
      <c r="H37" s="2981"/>
      <c r="I37" s="298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60"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16818</v>
      </c>
      <c r="C2" s="243" t="s">
        <v>2326</v>
      </c>
      <c r="D2" s="2554" t="s">
        <v>70</v>
      </c>
      <c r="E2" s="1442" t="e">
        <f ca="1">SUMIF(INDIRECT("'"&amp;G2&amp;"'"&amp;"!A:A"),"承租人权益价值",INDIRECT("'"&amp;G2&amp;"'"&amp;"!c:c"))</f>
        <v>#REF!</v>
      </c>
      <c r="F2" s="2555" t="s">
        <v>2326</v>
      </c>
      <c r="G2" s="2556"/>
    </row>
    <row r="3" spans="1:8" s="244" customFormat="1" ht="18" customHeight="1" thickBot="1">
      <c r="A3" s="247" t="s">
        <v>2327</v>
      </c>
      <c r="B3" s="248">
        <f ca="1">ROUND(B2*10000/(IF(B1="",'数据-汇总表'!E3,INDIRECT("'数据-取费表'!k"&amp;$G$1))),0)</f>
        <v>4390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6129064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6129064</v>
      </c>
      <c r="D8" s="266"/>
      <c r="E8" s="264"/>
      <c r="F8" s="265"/>
      <c r="G8" s="2557"/>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2343</v>
      </c>
      <c r="C10" s="269">
        <f ca="1">ROUND(D10*E10,0)</f>
        <v>6129064</v>
      </c>
      <c r="D10" s="1035">
        <f ca="1">IF(B1="",'数据-汇总表'!E6,IF(INDIRECT("'数据-取费表'!c"&amp;$G$1)="住宅",INDIRECT("'数据-取费表'!s"&amp;$G$1),INDIRECT("'数据-取费表'!k"&amp;$G$1)+INDIRECT("'数据-取费表'!s"&amp;$G$1)))</f>
        <v>38306.649999999907</v>
      </c>
      <c r="E10" s="269">
        <f>'数据-取费表'!B28</f>
        <v>160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7661330</v>
      </c>
      <c r="D19" s="1039">
        <f ca="1">D9+D10</f>
        <v>38306.649999999907</v>
      </c>
      <c r="E19" s="255">
        <f>'数据-取费表'!B31</f>
        <v>200</v>
      </c>
      <c r="F19" s="275"/>
      <c r="G19" s="2557"/>
    </row>
    <row r="20" spans="1:7" s="258" customFormat="1" ht="13.5" customHeight="1">
      <c r="A20" s="299" t="s">
        <v>2437</v>
      </c>
      <c r="B20" s="254" t="s">
        <v>2438</v>
      </c>
      <c r="C20" s="276">
        <f ca="1">ROUND((C5+C19)*F20,0)</f>
        <v>206856</v>
      </c>
      <c r="D20" s="276"/>
      <c r="E20" s="276"/>
      <c r="F20" s="277">
        <f>'数据-取费表'!B37</f>
        <v>1.4999999999999999E-2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2">
        <f ca="1">ROUND(SUM(C23:C25),0)</f>
        <v>1351028</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3">
        <f ca="1">ROUND(IF('数据-取费表'!B22&lt;=1,C5*F22*'数据-取费表'!B22,C5*(POWER((1+F22),'数据-取费表'!B22)-1)),0)</f>
        <v>596090</v>
      </c>
      <c r="D23" s="282"/>
      <c r="E23" s="282"/>
      <c r="F23" s="283"/>
      <c r="G23" s="284" t="s">
        <v>2447</v>
      </c>
    </row>
    <row r="24" spans="1:7" s="258" customFormat="1" ht="13.5" customHeight="1">
      <c r="A24" s="954" t="s">
        <v>2337</v>
      </c>
      <c r="B24" s="259" t="s">
        <v>2448</v>
      </c>
      <c r="C24" s="1383">
        <f ca="1">ROUND(IF('数据-取费表'!B22&lt;=1,C19*F22*('数据-取费表'!B19/2+'数据-取费表'!B20),C19*(POWER((1+F22),('数据-取费表'!B19/2+'数据-取费表'!B20))-1)),0)</f>
        <v>745112</v>
      </c>
      <c r="D24" s="282"/>
      <c r="E24" s="282"/>
      <c r="F24" s="283"/>
      <c r="G24" s="284" t="s">
        <v>2449</v>
      </c>
    </row>
    <row r="25" spans="1:7" s="258" customFormat="1" ht="24">
      <c r="A25" s="954" t="s">
        <v>2339</v>
      </c>
      <c r="B25" s="259" t="s">
        <v>2450</v>
      </c>
      <c r="C25" s="1383">
        <f ca="1">ROUND(IF('数据-取费表'!B22&lt;=1,C20*F22*'数据-取费表'!B22/2,C20*(POWER((1+F22),'数据-取费表'!B22/2)-1)),0)</f>
        <v>9826</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1399725</v>
      </c>
      <c r="D27" s="279">
        <f ca="1">C29</f>
        <v>3.0000000000000001E-3</v>
      </c>
      <c r="E27" s="280" t="s">
        <v>2377</v>
      </c>
      <c r="F27" s="290">
        <f ca="1">IF(B1="",'数据-取费表'!Q16,INDIRECT("'数据-取费表'!q"&amp;$G$1))</f>
        <v>0.1</v>
      </c>
      <c r="G27" s="291" t="s">
        <v>2378</v>
      </c>
    </row>
    <row r="28" spans="1:7" s="258" customFormat="1" ht="13.5" customHeight="1">
      <c r="A28" s="954" t="s">
        <v>791</v>
      </c>
      <c r="B28" s="292" t="s">
        <v>2379</v>
      </c>
      <c r="C28" s="293">
        <f ca="1">ROUND((C5+C19+C20)*F27,0)</f>
        <v>1399725</v>
      </c>
      <c r="D28" s="279"/>
      <c r="E28" s="280"/>
      <c r="F28" s="290"/>
      <c r="G28" s="291"/>
    </row>
    <row r="29" spans="1:7" s="258" customFormat="1" ht="13.5" customHeight="1">
      <c r="A29" s="954"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18358000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119746588</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107258620</v>
      </c>
      <c r="D34" s="261"/>
      <c r="E34" s="264"/>
      <c r="F34" s="301"/>
      <c r="G34" s="263"/>
    </row>
    <row r="35" spans="1:7" ht="13.5" customHeight="1">
      <c r="A35" s="954" t="s">
        <v>796</v>
      </c>
      <c r="B35" s="259" t="s">
        <v>2390</v>
      </c>
      <c r="C35" s="264">
        <f ca="1">ROUND(C34*F35,0)</f>
        <v>3217759</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7661330</v>
      </c>
      <c r="D37" s="261">
        <f ca="1">D19</f>
        <v>38306.649999999907</v>
      </c>
      <c r="E37" s="293">
        <f>'数据-取费表'!B35</f>
        <v>200</v>
      </c>
      <c r="F37" s="303"/>
      <c r="G37" s="305"/>
    </row>
    <row r="38" spans="1:7" ht="13.5" customHeight="1">
      <c r="A38" s="954" t="s">
        <v>799</v>
      </c>
      <c r="B38" s="259" t="s">
        <v>2396</v>
      </c>
      <c r="C38" s="264">
        <f ca="1">ROUND(C34*F38,0)</f>
        <v>1608879</v>
      </c>
      <c r="D38" s="264"/>
      <c r="E38" s="264"/>
      <c r="F38" s="303">
        <f>'数据-取费表'!B36</f>
        <v>1.4999999999999999E-2</v>
      </c>
      <c r="G38" s="263" t="s">
        <v>2391</v>
      </c>
    </row>
    <row r="39" spans="1:7" s="258" customFormat="1" ht="13.5" customHeight="1">
      <c r="A39" s="299" t="s">
        <v>2397</v>
      </c>
      <c r="B39" s="254" t="s">
        <v>2398</v>
      </c>
      <c r="C39" s="276">
        <f ca="1">ROUND(C33*F20,0)</f>
        <v>1796199</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5773282</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5687963</v>
      </c>
      <c r="D42" s="282"/>
      <c r="E42" s="282"/>
      <c r="F42" s="283"/>
      <c r="G42" s="3171" t="s">
        <v>2454</v>
      </c>
    </row>
    <row r="43" spans="1:7" ht="13.5" customHeight="1">
      <c r="A43" s="954" t="s">
        <v>792</v>
      </c>
      <c r="B43" s="259" t="s">
        <v>2408</v>
      </c>
      <c r="C43" s="282">
        <f ca="1">ROUND(IF('数据-取费表'!B22&lt;=1,C39*F22*'数据-取费表'!B20/2,C39*(POWER((1+F22),'数据-取费表'!B20/2)-1)),0)</f>
        <v>85319</v>
      </c>
      <c r="D43" s="282"/>
      <c r="E43" s="282"/>
      <c r="F43" s="283"/>
      <c r="G43" s="3172"/>
    </row>
    <row r="44" spans="1:7" ht="13.5" customHeight="1">
      <c r="A44" s="954" t="s">
        <v>793</v>
      </c>
      <c r="B44" s="259" t="s">
        <v>2409</v>
      </c>
      <c r="C44" s="282">
        <f ca="1">ROUND(IF('数据-取费表'!B22&lt;=1,C40*F22*'数据-取费表'!B20/2,C40*(POWER((1+F22),'数据-取费表'!B20/2)-1)),4)</f>
        <v>1.4E-3</v>
      </c>
      <c r="D44" s="282"/>
      <c r="E44" s="282"/>
      <c r="F44" s="283"/>
      <c r="G44" s="3173"/>
    </row>
    <row r="45" spans="1:7" s="258" customFormat="1" ht="13.5" customHeight="1">
      <c r="A45" s="299" t="s">
        <v>2410</v>
      </c>
      <c r="B45" s="288" t="s">
        <v>2376</v>
      </c>
      <c r="C45" s="289">
        <f ca="1">C46</f>
        <v>12154279</v>
      </c>
      <c r="D45" s="279">
        <f ca="1">C47</f>
        <v>3.0000000000000001E-3</v>
      </c>
      <c r="E45" s="280" t="s">
        <v>2402</v>
      </c>
      <c r="F45" s="290"/>
      <c r="G45" s="291" t="s">
        <v>2411</v>
      </c>
    </row>
    <row r="46" spans="1:7" s="258" customFormat="1" ht="13.5" customHeight="1">
      <c r="A46" s="954" t="s">
        <v>791</v>
      </c>
      <c r="B46" s="292" t="s">
        <v>2412</v>
      </c>
      <c r="C46" s="293">
        <f ca="1">ROUND((C33+C39)*F27,0)</f>
        <v>12154279</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152877724</v>
      </c>
      <c r="D49" s="276"/>
      <c r="E49" s="276"/>
      <c r="F49" s="308"/>
      <c r="G49" s="278" t="s">
        <v>2417</v>
      </c>
    </row>
    <row r="50" spans="1:7" s="302" customFormat="1">
      <c r="A50" s="299" t="s">
        <v>2418</v>
      </c>
      <c r="B50" s="254" t="s">
        <v>2419</v>
      </c>
      <c r="C50" s="276"/>
      <c r="D50" s="276"/>
      <c r="E50" s="276"/>
      <c r="F50" s="308">
        <f>IF('数据-取费表'!B24=0,'数据-取费表'!N16,1)</f>
        <v>0.98</v>
      </c>
      <c r="G50" s="291"/>
    </row>
    <row r="51" spans="1:7" ht="16.5" customHeight="1">
      <c r="A51" s="299" t="s">
        <v>2421</v>
      </c>
      <c r="B51" s="254" t="s">
        <v>2456</v>
      </c>
      <c r="C51" s="276">
        <f ca="1">ROUND(C49*F50,0)</f>
        <v>149820170</v>
      </c>
      <c r="D51" s="276"/>
      <c r="E51" s="276"/>
      <c r="F51" s="308"/>
      <c r="G51" s="278" t="s">
        <v>2423</v>
      </c>
    </row>
    <row r="52" spans="1:7" s="252" customFormat="1" ht="16.5" thickBot="1">
      <c r="A52" s="309" t="s">
        <v>2424</v>
      </c>
      <c r="B52" s="310"/>
      <c r="C52" s="311">
        <f ca="1">C31+C51</f>
        <v>168178170</v>
      </c>
      <c r="D52" s="310"/>
      <c r="E52" s="310"/>
      <c r="F52" s="310"/>
      <c r="G52" s="312"/>
    </row>
    <row r="55" spans="1:7" ht="15">
      <c r="B55" s="314" t="s">
        <v>2425</v>
      </c>
      <c r="C55" s="315"/>
    </row>
    <row r="56" spans="1:7">
      <c r="B56" s="317" t="s">
        <v>1515</v>
      </c>
      <c r="C56" s="319">
        <f ca="1">1-C57</f>
        <v>0.10899999999999999</v>
      </c>
    </row>
    <row r="57" spans="1:7">
      <c r="B57" s="317" t="s">
        <v>1516</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8</v>
      </c>
    </row>
    <row r="2" spans="1:33" ht="18" customHeight="1">
      <c r="A2" s="245" t="s">
        <v>2325</v>
      </c>
      <c r="B2" s="248">
        <f ca="1">C32</f>
        <v>-665</v>
      </c>
      <c r="C2" s="320" t="s">
        <v>2458</v>
      </c>
      <c r="D2" s="320"/>
      <c r="E2" s="320"/>
      <c r="F2" s="320"/>
      <c r="G2" s="320"/>
      <c r="H2" s="320"/>
      <c r="I2" s="320"/>
      <c r="J2" s="320"/>
      <c r="K2" s="320"/>
    </row>
    <row r="3" spans="1:33" ht="18" customHeight="1" thickBot="1">
      <c r="A3" s="247" t="s">
        <v>2327</v>
      </c>
      <c r="B3" s="248">
        <f ca="1">ROUND(B2*10000/IF(C1="",'数据-汇总表'!E3,INDIRECT("'数据-取费表'!K"&amp;$K$1)),0)</f>
        <v>-174</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61" t="s">
        <v>2463</v>
      </c>
      <c r="D5" s="2561" t="s">
        <v>2464</v>
      </c>
      <c r="E5" s="2561" t="s">
        <v>2465</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39"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1335</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2479</v>
      </c>
      <c r="C12" s="23">
        <f ca="1">ROUND(C11*F12,0)</f>
        <v>0</v>
      </c>
      <c r="D12" s="976"/>
      <c r="E12" s="375"/>
      <c r="F12" s="979">
        <f>'数据-取费表'!B33</f>
        <v>0.03</v>
      </c>
      <c r="G12" s="8" t="s">
        <v>2480</v>
      </c>
      <c r="H12" s="971"/>
      <c r="I12" s="971"/>
      <c r="J12" s="971"/>
      <c r="K12" s="972"/>
    </row>
    <row r="13" spans="1:33" s="978" customFormat="1" ht="13.5" customHeight="1">
      <c r="A13" s="974" t="s">
        <v>1337</v>
      </c>
      <c r="B13" s="975" t="s">
        <v>2481</v>
      </c>
      <c r="C13" s="23">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1338</v>
      </c>
      <c r="B14" s="975" t="s">
        <v>2483</v>
      </c>
      <c r="C14" s="23">
        <f ca="1">ROUND(D14*E14*F11/10000,0)</f>
        <v>0</v>
      </c>
      <c r="D14" s="1036">
        <f ca="1">IF(C1="",'数据-汇总表'!E3,INDIRECT("'数据-取费表'!K"&amp;$K$1)+INDIRECT("'数据-取费表'!S"&amp;$K$1))</f>
        <v>38306.649999999907</v>
      </c>
      <c r="E14" s="23">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2485</v>
      </c>
      <c r="C15" s="986">
        <f ca="1">ROUND(C11*F15,0)</f>
        <v>0</v>
      </c>
      <c r="D15" s="981"/>
      <c r="E15" s="986"/>
      <c r="F15" s="987">
        <f>'数据-取费表'!B36</f>
        <v>1.4999999999999999E-2</v>
      </c>
      <c r="G15" s="139"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39"/>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3">
        <f ca="1">ROUND(D17*E17/10000,0)</f>
        <v>0</v>
      </c>
      <c r="D17" s="1036">
        <f ca="1">D14</f>
        <v>38306.649999999907</v>
      </c>
      <c r="E17" s="23">
        <f>'数据-取费表'!B32</f>
        <v>0</v>
      </c>
      <c r="F17" s="981"/>
      <c r="G17" s="139"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2490</v>
      </c>
      <c r="C18" s="23">
        <f ca="1">C19+C20-IF(C1="",'数据-取费表'!B29,IF(G18="已全部缴纳",C19+C20,H18))</f>
        <v>613</v>
      </c>
      <c r="D18" s="1036"/>
      <c r="E18" s="23"/>
      <c r="F18" s="979"/>
      <c r="G18" s="2563"/>
      <c r="H18" s="1580"/>
      <c r="I18" s="2564" t="s">
        <v>2491</v>
      </c>
      <c r="J18" s="982"/>
      <c r="K18" s="983"/>
    </row>
    <row r="19" spans="1:33" s="978" customFormat="1" ht="13.5" customHeight="1">
      <c r="A19" s="974" t="s">
        <v>805</v>
      </c>
      <c r="B19" s="975" t="s">
        <v>2492</v>
      </c>
      <c r="C19" s="23">
        <f ca="1">ROUND(D19*E19/10000,0)</f>
        <v>0</v>
      </c>
      <c r="D19" s="1036">
        <f ca="1">IF(C1="",'数据-汇总表'!E5,IF(INDIRECT("'数据-取费表'!c"&amp;$K$1)="住宅",INDIRECT("'数据-取费表'!k"&amp;$K$1),0))</f>
        <v>0</v>
      </c>
      <c r="E19" s="23">
        <f>'数据-取费表'!B27</f>
        <v>80</v>
      </c>
      <c r="F19" s="979"/>
      <c r="G19" s="14"/>
      <c r="H19" s="1582"/>
      <c r="I19" s="984"/>
      <c r="J19" s="984"/>
      <c r="K19" s="985"/>
    </row>
    <row r="20" spans="1:33" s="978" customFormat="1" ht="13.5" customHeight="1">
      <c r="A20" s="974" t="s">
        <v>806</v>
      </c>
      <c r="B20" s="975" t="s">
        <v>2493</v>
      </c>
      <c r="C20" s="23">
        <f ca="1">ROUND(D20*E20/10000,0)</f>
        <v>613</v>
      </c>
      <c r="D20" s="1036">
        <f ca="1">IF(C1="",'数据-汇总表'!E6,IF(INDIRECT("'数据-取费表'!c"&amp;$K$1)="住宅",INDIRECT("'数据-取费表'!s"&amp;$K$1),INDIRECT("'数据-取费表'!k"&amp;$K$1)+INDIRECT("'数据-取费表'!s"&amp;$K$1)))</f>
        <v>38306.649999999907</v>
      </c>
      <c r="E20" s="23">
        <f>'数据-取费表'!B28</f>
        <v>160</v>
      </c>
      <c r="F20" s="979"/>
      <c r="G20" s="14"/>
      <c r="H20" s="984"/>
      <c r="I20" s="984"/>
      <c r="J20" s="984"/>
      <c r="K20" s="985"/>
    </row>
    <row r="21" spans="1:33" s="978" customFormat="1" ht="13.5" customHeight="1">
      <c r="A21" s="964" t="s">
        <v>802</v>
      </c>
      <c r="B21" s="988" t="s">
        <v>2494</v>
      </c>
      <c r="C21" s="989">
        <f ca="1">C16+C17+C18</f>
        <v>613</v>
      </c>
      <c r="D21" s="990"/>
      <c r="E21" s="325"/>
      <c r="F21" s="325"/>
      <c r="G21" s="139" t="s">
        <v>2495</v>
      </c>
      <c r="H21" s="982"/>
      <c r="I21" s="982"/>
      <c r="J21" s="982"/>
      <c r="K21" s="983"/>
    </row>
    <row r="22" spans="1:33" s="978" customFormat="1" ht="13.5" customHeight="1">
      <c r="A22" s="964" t="s">
        <v>2467</v>
      </c>
      <c r="B22" s="988" t="s">
        <v>2496</v>
      </c>
      <c r="C22" s="989">
        <f ca="1">ROUND(C21*F22,0)</f>
        <v>9</v>
      </c>
      <c r="D22" s="325"/>
      <c r="E22" s="325"/>
      <c r="F22" s="991">
        <f>'数据-取费表'!B37</f>
        <v>1.4999999999999999E-2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8">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59">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0">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2507</v>
      </c>
      <c r="B28" s="2566" t="s">
        <v>2508</v>
      </c>
      <c r="C28" s="331">
        <f ca="1">C30</f>
        <v>62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39" t="s">
        <v>2510</v>
      </c>
      <c r="H29" s="982"/>
      <c r="I29" s="982"/>
      <c r="J29" s="982"/>
      <c r="K29" s="983"/>
    </row>
    <row r="30" spans="1:33" s="335" customFormat="1" ht="13.5" customHeight="1">
      <c r="A30" s="974" t="s">
        <v>804</v>
      </c>
      <c r="B30" s="997" t="s">
        <v>2511</v>
      </c>
      <c r="C30" s="336">
        <f ca="1">ROUND((C21+C22+C23)*F28,0)</f>
        <v>62</v>
      </c>
      <c r="D30" s="328"/>
      <c r="E30" s="329"/>
      <c r="F30" s="334"/>
      <c r="G30" s="139"/>
      <c r="H30" s="982"/>
      <c r="I30" s="982"/>
      <c r="J30" s="982"/>
      <c r="K30" s="983"/>
    </row>
    <row r="31" spans="1:33" s="978" customFormat="1" ht="13.5" customHeight="1" thickBot="1">
      <c r="A31" s="2567"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-665</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zoomScale="90" zoomScaleNormal="90" workbookViewId="0">
      <selection activeCell="K50" sqref="A1:K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6" t="s">
        <v>2684</v>
      </c>
      <c r="C1" s="1623" t="s">
        <v>2528</v>
      </c>
      <c r="D1" s="1624" t="s">
        <v>3041</v>
      </c>
      <c r="E1" s="1633"/>
      <c r="F1" s="2591" t="s">
        <v>3666</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0">
        <f>IF(C2="——",ROUND(C50*D3/10000,0),ROUND(C50*D3/10000,0)-D2)</f>
        <v>82</v>
      </c>
      <c r="C2" s="2593" t="s">
        <v>70</v>
      </c>
      <c r="D2" s="1367" t="e">
        <f ca="1">SUMIF(INDIRECT("'"&amp;F2&amp;"'"&amp;"!A:A"),"承租人权益价值",INDIRECT("'"&amp;F2&amp;"'"&amp;"!c:c"))</f>
        <v>#REF!</v>
      </c>
      <c r="E2" s="2594" t="s">
        <v>2326</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8333</v>
      </c>
      <c r="C3" s="400" t="s">
        <v>2642</v>
      </c>
      <c r="D3" s="399">
        <f>IF(D1="",'数据-汇总表'!E3,SUMIF('数据-汇总表'!$C19:$C33,D1,'数据-汇总表'!$E19:$E33))</f>
        <v>98.91</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01" t="s">
        <v>2649</v>
      </c>
      <c r="Q4" s="3202"/>
      <c r="R4" s="3179" t="s">
        <v>2645</v>
      </c>
      <c r="S4" s="3180"/>
      <c r="T4" s="3179" t="s">
        <v>2646</v>
      </c>
      <c r="U4" s="3180"/>
      <c r="V4" s="3209" t="s">
        <v>2647</v>
      </c>
      <c r="W4" s="3209"/>
      <c r="X4" s="2677"/>
      <c r="Y4" s="3179" t="s">
        <v>2649</v>
      </c>
      <c r="Z4" s="3180"/>
      <c r="AA4" s="3174" t="s">
        <v>2645</v>
      </c>
      <c r="AB4" s="3174" t="s">
        <v>2646</v>
      </c>
      <c r="AC4" s="3194" t="s">
        <v>2647</v>
      </c>
    </row>
    <row r="5" spans="1:29" ht="15">
      <c r="A5" s="404"/>
      <c r="B5" s="405"/>
      <c r="C5" s="3185" t="s">
        <v>2540</v>
      </c>
      <c r="D5" s="3186"/>
      <c r="E5" s="3183" t="s">
        <v>3667</v>
      </c>
      <c r="F5" s="3184"/>
      <c r="G5" s="3189" t="s">
        <v>3668</v>
      </c>
      <c r="H5" s="3190"/>
      <c r="I5" s="3189" t="s">
        <v>3669</v>
      </c>
      <c r="J5" s="3190"/>
      <c r="K5" s="610"/>
      <c r="L5" s="1133"/>
      <c r="M5" s="1134"/>
      <c r="N5" s="1134"/>
      <c r="O5" s="1134"/>
      <c r="P5" s="3203"/>
      <c r="Q5" s="3204"/>
      <c r="R5" s="3181"/>
      <c r="S5" s="3182"/>
      <c r="T5" s="3181"/>
      <c r="U5" s="3182"/>
      <c r="V5" s="3210"/>
      <c r="W5" s="3210"/>
      <c r="X5" s="1816"/>
      <c r="Y5" s="3181"/>
      <c r="Z5" s="3182"/>
      <c r="AA5" s="3175"/>
      <c r="AB5" s="3175"/>
      <c r="AC5" s="3195"/>
    </row>
    <row r="6" spans="1:29" ht="36" customHeight="1" thickBot="1">
      <c r="A6" s="406"/>
      <c r="B6" s="407"/>
      <c r="C6" s="3187" t="s">
        <v>2544</v>
      </c>
      <c r="D6" s="3188"/>
      <c r="E6" s="3191" t="s">
        <v>3670</v>
      </c>
      <c r="F6" s="3192"/>
      <c r="G6" s="3191" t="s">
        <v>3671</v>
      </c>
      <c r="H6" s="3192"/>
      <c r="I6" s="3191" t="s">
        <v>3672</v>
      </c>
      <c r="J6" s="3192"/>
      <c r="K6" s="610" t="s">
        <v>2545</v>
      </c>
      <c r="L6" s="1133"/>
      <c r="M6" s="1134"/>
      <c r="N6" s="1134"/>
      <c r="O6" s="1134"/>
      <c r="P6" s="3205"/>
      <c r="Q6" s="3206"/>
      <c r="R6" s="3181"/>
      <c r="S6" s="3182"/>
      <c r="T6" s="3207"/>
      <c r="U6" s="3208"/>
      <c r="V6" s="3210"/>
      <c r="W6" s="3210"/>
      <c r="X6" s="1816"/>
      <c r="Y6" s="3207"/>
      <c r="Z6" s="3208"/>
      <c r="AA6" s="3176"/>
      <c r="AB6" s="3176"/>
      <c r="AC6" s="3196"/>
    </row>
    <row r="7" spans="1:29" s="116" customFormat="1" ht="27.75" thickBot="1">
      <c r="A7" s="408" t="s">
        <v>2546</v>
      </c>
      <c r="B7" s="409"/>
      <c r="C7" s="410">
        <f>'数据-取费表'!B2</f>
        <v>43033</v>
      </c>
      <c r="D7" s="411">
        <v>100</v>
      </c>
      <c r="E7" s="2980">
        <v>42985</v>
      </c>
      <c r="F7" s="413">
        <f>SUMIF(59:59,YEAR(E7)&amp;"-"&amp;MONTH(E7),60:60)</f>
        <v>96</v>
      </c>
      <c r="G7" s="2980">
        <v>42985</v>
      </c>
      <c r="H7" s="411">
        <f>SUMIF(59:59,YEAR(G7)&amp;"-"&amp;MONTH(G7),60:60)</f>
        <v>96</v>
      </c>
      <c r="I7" s="412">
        <v>43033</v>
      </c>
      <c r="J7" s="411">
        <f>SUMIF(59:59,YEAR(I7)&amp;"-"&amp;MONTH(I7),60:60)</f>
        <v>100</v>
      </c>
      <c r="K7" s="611"/>
      <c r="L7" s="2978" t="s">
        <v>3722</v>
      </c>
      <c r="M7" s="1136"/>
      <c r="N7" s="1136"/>
      <c r="O7" s="1136"/>
      <c r="P7" s="3211" t="s">
        <v>2547</v>
      </c>
      <c r="Q7" s="3212"/>
      <c r="R7" s="770" t="s">
        <v>17</v>
      </c>
      <c r="S7" s="771">
        <f t="shared" ref="S7:S15" si="0">F7</f>
        <v>96</v>
      </c>
      <c r="T7" s="770" t="s">
        <v>17</v>
      </c>
      <c r="U7" s="771">
        <f t="shared" ref="U7:U15" si="1">H7</f>
        <v>96</v>
      </c>
      <c r="V7" s="770" t="s">
        <v>17</v>
      </c>
      <c r="W7" s="771">
        <f t="shared" ref="W7:W15" si="2">J7</f>
        <v>100</v>
      </c>
      <c r="X7" s="772"/>
      <c r="Y7" s="3177" t="s">
        <v>2547</v>
      </c>
      <c r="Z7" s="3178"/>
      <c r="AA7" s="773">
        <f>D7/F7</f>
        <v>1.0416666666666667</v>
      </c>
      <c r="AB7" s="773">
        <f>D7/H7</f>
        <v>1.0416666666666667</v>
      </c>
      <c r="AC7" s="2678">
        <f>D7/J7</f>
        <v>1</v>
      </c>
    </row>
    <row r="8" spans="1:29" s="116" customFormat="1" ht="15.75" thickBot="1">
      <c r="A8" s="408" t="s">
        <v>2548</v>
      </c>
      <c r="B8" s="409"/>
      <c r="C8" s="414" t="s">
        <v>2650</v>
      </c>
      <c r="D8" s="411">
        <v>100</v>
      </c>
      <c r="E8" s="2949" t="s">
        <v>3673</v>
      </c>
      <c r="F8" s="413">
        <f>SUMIF(62:62,E8,63:63)-SUMIF(62:62,C8,63:63)+100</f>
        <v>100</v>
      </c>
      <c r="G8" s="2949" t="s">
        <v>3673</v>
      </c>
      <c r="H8" s="411">
        <f>SUMIF(62:62,G8,63:63)-SUMIF(62:62,C8,63:63)+100</f>
        <v>100</v>
      </c>
      <c r="I8" s="2949" t="s">
        <v>3673</v>
      </c>
      <c r="J8" s="411">
        <f>SUMIF(62:62,I8,63:63)-SUMIF(62:62,C8,63:63)+100</f>
        <v>100</v>
      </c>
      <c r="K8" s="611"/>
      <c r="L8" s="1135"/>
      <c r="M8" s="1136"/>
      <c r="N8" s="1136"/>
      <c r="O8" s="1136"/>
      <c r="P8" s="3211" t="s">
        <v>2550</v>
      </c>
      <c r="Q8" s="3178"/>
      <c r="R8" s="770" t="s">
        <v>17</v>
      </c>
      <c r="S8" s="771">
        <f t="shared" si="0"/>
        <v>100</v>
      </c>
      <c r="T8" s="770" t="s">
        <v>17</v>
      </c>
      <c r="U8" s="771">
        <f t="shared" si="1"/>
        <v>100</v>
      </c>
      <c r="V8" s="770" t="s">
        <v>17</v>
      </c>
      <c r="W8" s="771">
        <f t="shared" si="2"/>
        <v>100</v>
      </c>
      <c r="X8" s="772"/>
      <c r="Y8" s="3177" t="s">
        <v>2550</v>
      </c>
      <c r="Z8" s="3178"/>
      <c r="AA8" s="773">
        <f t="shared" ref="AA8:AA47" si="3">D8/F8</f>
        <v>1</v>
      </c>
      <c r="AB8" s="773">
        <f t="shared" ref="AB8:AB47" si="4">D8/H8</f>
        <v>1</v>
      </c>
      <c r="AC8" s="2678">
        <f t="shared" ref="AC8:AC47" si="5">D8/J8</f>
        <v>1</v>
      </c>
    </row>
    <row r="9" spans="1:29" s="116" customFormat="1">
      <c r="A9" s="415" t="s">
        <v>2551</v>
      </c>
      <c r="B9" s="70" t="s">
        <v>2552</v>
      </c>
      <c r="C9" s="2950" t="s">
        <v>3674</v>
      </c>
      <c r="D9" s="134">
        <v>100</v>
      </c>
      <c r="E9" s="2950" t="s">
        <v>3674</v>
      </c>
      <c r="F9" s="134">
        <f>SUMIF(64:64,E9,65:65)-SUMIF(64:64,C9,65:65)+100</f>
        <v>100</v>
      </c>
      <c r="G9" s="2950" t="s">
        <v>3674</v>
      </c>
      <c r="H9" s="134">
        <f>SUMIF(64:64,G9,65:65)-SUMIF(64:64,C9,65:65)+100</f>
        <v>100</v>
      </c>
      <c r="I9" s="2950" t="s">
        <v>3674</v>
      </c>
      <c r="J9" s="134">
        <f>SUMIF(64:64,I9,65:65)-SUMIF(64:64,C9,65:65)+100</f>
        <v>100</v>
      </c>
      <c r="K9" s="611"/>
      <c r="L9" s="1135"/>
      <c r="M9" s="1136"/>
      <c r="N9" s="1136"/>
      <c r="O9" s="1136"/>
      <c r="P9" s="3193"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2678">
        <f t="shared" si="5"/>
        <v>1</v>
      </c>
    </row>
    <row r="10" spans="1:29" s="427" customFormat="1" ht="27">
      <c r="A10" s="421"/>
      <c r="B10" s="422" t="s">
        <v>2555</v>
      </c>
      <c r="C10" s="423" t="s">
        <v>3675</v>
      </c>
      <c r="D10" s="135">
        <v>100</v>
      </c>
      <c r="E10" s="423" t="s">
        <v>3675</v>
      </c>
      <c r="F10" s="135">
        <f>SUMIF(66:66,E10,67:67)-SUMIF(66:66,C10,67:67)+100</f>
        <v>100</v>
      </c>
      <c r="G10" s="423" t="s">
        <v>3675</v>
      </c>
      <c r="H10" s="135">
        <f>SUMIF(66:66,G10,67:67)-SUMIF(66:66,C10,67:67)+100</f>
        <v>100</v>
      </c>
      <c r="I10" s="423" t="s">
        <v>3675</v>
      </c>
      <c r="J10" s="135">
        <f>SUMIF(66:66,I10,67:67)-SUMIF(66:66,C10,67:67)+100</f>
        <v>100</v>
      </c>
      <c r="K10" s="612">
        <v>2</v>
      </c>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2678">
        <f t="shared" si="5"/>
        <v>1</v>
      </c>
    </row>
    <row r="11" spans="1:29" ht="15.75" thickBot="1">
      <c r="A11" s="428"/>
      <c r="B11" s="422" t="s">
        <v>2556</v>
      </c>
      <c r="C11" s="429">
        <f>'数据-汇总表'!I3</f>
        <v>3.77</v>
      </c>
      <c r="D11" s="135">
        <v>100</v>
      </c>
      <c r="E11" s="429">
        <v>3.99</v>
      </c>
      <c r="F11" s="135">
        <f>LOOKUP(E11,69:69,70:70)-LOOKUP(C11,69:69,70:70)+100</f>
        <v>100</v>
      </c>
      <c r="G11" s="430">
        <v>4.4800000000000004</v>
      </c>
      <c r="H11" s="135">
        <f>LOOKUP(G11,69:69,70:70)-LOOKUP(C11,69:69,70:70)+100</f>
        <v>96</v>
      </c>
      <c r="I11" s="429">
        <v>3.96</v>
      </c>
      <c r="J11" s="135">
        <f>LOOKUP(I11,69:69,70:70)-LOOKUP(C11,69:69,70:70)+100</f>
        <v>100</v>
      </c>
      <c r="K11" s="612">
        <v>4</v>
      </c>
      <c r="L11" s="1141"/>
      <c r="M11" s="1134"/>
      <c r="N11" s="1134"/>
      <c r="O11" s="1134"/>
      <c r="P11" s="3193"/>
      <c r="Q11" s="1798" t="str">
        <f t="shared" si="6"/>
        <v>容积率</v>
      </c>
      <c r="R11" s="770" t="s">
        <v>17</v>
      </c>
      <c r="S11" s="771">
        <f t="shared" si="0"/>
        <v>100</v>
      </c>
      <c r="T11" s="770" t="s">
        <v>17</v>
      </c>
      <c r="U11" s="771">
        <f t="shared" si="1"/>
        <v>96</v>
      </c>
      <c r="V11" s="770" t="s">
        <v>17</v>
      </c>
      <c r="W11" s="771">
        <f t="shared" si="2"/>
        <v>100</v>
      </c>
      <c r="X11" s="772"/>
      <c r="Y11" s="3047"/>
      <c r="Z11" s="54" t="str">
        <f t="shared" si="7"/>
        <v>容积率</v>
      </c>
      <c r="AA11" s="773">
        <f t="shared" si="3"/>
        <v>1</v>
      </c>
      <c r="AB11" s="773">
        <f t="shared" si="4"/>
        <v>1.0416666666666667</v>
      </c>
      <c r="AC11" s="2678">
        <f t="shared" si="5"/>
        <v>1</v>
      </c>
    </row>
    <row r="12" spans="1:29" s="116" customFormat="1" ht="15" hidden="1">
      <c r="A12" s="431"/>
      <c r="B12" s="2607">
        <v>111</v>
      </c>
      <c r="C12" s="432"/>
      <c r="D12" s="433">
        <v>100</v>
      </c>
      <c r="E12" s="432"/>
      <c r="F12" s="135">
        <f>SUMIF(71:71,E12,72:72)-SUMIF(71:71,C12,72:72)+100</f>
        <v>100</v>
      </c>
      <c r="G12" s="2679"/>
      <c r="H12" s="135">
        <f>SUMIF(71:71,G12,72:72)-SUMIF(71:71,C12,72:72)+100</f>
        <v>100</v>
      </c>
      <c r="I12" s="432"/>
      <c r="J12" s="135">
        <f>SUMIF(71:71,I12,72:72)-SUMIF(71:71,C12,72:72)+100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2678">
        <f>D12/J12</f>
        <v>1</v>
      </c>
    </row>
    <row r="13" spans="1:29" ht="15" hidden="1">
      <c r="A13" s="428"/>
      <c r="B13" s="2607">
        <v>111</v>
      </c>
      <c r="C13" s="434"/>
      <c r="D13" s="435">
        <v>100</v>
      </c>
      <c r="E13" s="432"/>
      <c r="F13" s="135">
        <f>SUMIF(73:73,E13,74:74)-SUMIF(73:73,C13,74:74)+100</f>
        <v>100</v>
      </c>
      <c r="G13" s="2679"/>
      <c r="H13" s="435">
        <f>SUMIF(73:73,G13,74:74)-SUMIF(73:73,C13,74:74)+100</f>
        <v>100</v>
      </c>
      <c r="I13" s="432"/>
      <c r="J13" s="435">
        <f>SUMIF(73:73,I13,74:74)-SUMIF(73:73,C13,74:74)+100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2678">
        <f t="shared" si="5"/>
        <v>1</v>
      </c>
    </row>
    <row r="14" spans="1:29" ht="15.75" hidden="1"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47"/>
      <c r="Z14" s="54">
        <f t="shared" si="7"/>
        <v>111</v>
      </c>
      <c r="AA14" s="773">
        <f t="shared" si="3"/>
        <v>1</v>
      </c>
      <c r="AB14" s="773">
        <f t="shared" si="4"/>
        <v>1</v>
      </c>
      <c r="AC14" s="2678">
        <f t="shared" si="5"/>
        <v>1</v>
      </c>
    </row>
    <row r="15" spans="1:29" ht="15">
      <c r="A15" s="440" t="s">
        <v>2557</v>
      </c>
      <c r="B15" s="629" t="s">
        <v>2685</v>
      </c>
      <c r="C15" s="2680">
        <f>估价对象房地状况!C5</f>
        <v>0</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3" t="s">
        <v>2558</v>
      </c>
      <c r="Q15" s="1813" t="str">
        <f t="shared" si="6"/>
        <v>办公集聚程度</v>
      </c>
      <c r="R15" s="774" t="s">
        <v>17</v>
      </c>
      <c r="S15" s="775">
        <f t="shared" si="0"/>
        <v>100</v>
      </c>
      <c r="T15" s="774" t="s">
        <v>17</v>
      </c>
      <c r="U15" s="775">
        <f t="shared" si="1"/>
        <v>100</v>
      </c>
      <c r="V15" s="774" t="s">
        <v>17</v>
      </c>
      <c r="W15" s="775">
        <f t="shared" si="2"/>
        <v>100</v>
      </c>
      <c r="X15" s="1816"/>
      <c r="Y15" s="3215" t="s">
        <v>2558</v>
      </c>
      <c r="Z15" s="1817" t="str">
        <f t="shared" si="7"/>
        <v>办公集聚程度</v>
      </c>
      <c r="AA15" s="1814">
        <f t="shared" si="3"/>
        <v>1</v>
      </c>
      <c r="AB15" s="1814">
        <f t="shared" si="4"/>
        <v>1</v>
      </c>
      <c r="AC15" s="2681">
        <f t="shared" si="5"/>
        <v>1</v>
      </c>
    </row>
    <row r="16" spans="1:29" ht="15">
      <c r="A16" s="428"/>
      <c r="B16" s="630"/>
      <c r="C16" s="2618" t="s">
        <v>3676</v>
      </c>
      <c r="D16" s="448"/>
      <c r="E16" s="2618" t="s">
        <v>3676</v>
      </c>
      <c r="F16" s="448"/>
      <c r="G16" s="2618" t="s">
        <v>3676</v>
      </c>
      <c r="H16" s="450"/>
      <c r="I16" s="2618" t="s">
        <v>3676</v>
      </c>
      <c r="J16" s="448"/>
      <c r="K16" s="615"/>
      <c r="L16" s="1143"/>
      <c r="M16" s="1134"/>
      <c r="N16" s="1134"/>
      <c r="O16" s="1134"/>
      <c r="P16" s="3214"/>
      <c r="Q16" s="1813"/>
      <c r="R16" s="774"/>
      <c r="S16" s="775"/>
      <c r="T16" s="774"/>
      <c r="U16" s="775"/>
      <c r="V16" s="774"/>
      <c r="W16" s="775"/>
      <c r="X16" s="1816"/>
      <c r="Y16" s="3216"/>
      <c r="Z16" s="1817"/>
      <c r="AA16" s="1814">
        <v>1</v>
      </c>
      <c r="AB16" s="1814">
        <v>1</v>
      </c>
      <c r="AC16" s="2681">
        <v>1</v>
      </c>
    </row>
    <row r="17" spans="1:29" ht="15">
      <c r="A17" s="428"/>
      <c r="B17" s="631" t="s">
        <v>2097</v>
      </c>
      <c r="C17" s="2682">
        <f>估价对象房地状况!C6</f>
        <v>0</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14"/>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2681">
        <f t="shared" si="5"/>
        <v>1</v>
      </c>
    </row>
    <row r="18" spans="1:29" ht="15">
      <c r="A18" s="428"/>
      <c r="B18" s="632"/>
      <c r="C18" s="2683" t="s">
        <v>3676</v>
      </c>
      <c r="D18" s="450"/>
      <c r="E18" s="2683" t="s">
        <v>3676</v>
      </c>
      <c r="F18" s="450"/>
      <c r="G18" s="2683" t="s">
        <v>3676</v>
      </c>
      <c r="H18" s="448"/>
      <c r="I18" s="2683" t="s">
        <v>3676</v>
      </c>
      <c r="J18" s="448"/>
      <c r="K18" s="615"/>
      <c r="L18" s="1143"/>
      <c r="M18" s="1134"/>
      <c r="N18" s="1134"/>
      <c r="O18" s="1134"/>
      <c r="P18" s="3214"/>
      <c r="Q18" s="1813"/>
      <c r="R18" s="774"/>
      <c r="S18" s="775"/>
      <c r="T18" s="774"/>
      <c r="U18" s="775"/>
      <c r="V18" s="774"/>
      <c r="W18" s="775"/>
      <c r="X18" s="1816"/>
      <c r="Y18" s="3216"/>
      <c r="Z18" s="1817"/>
      <c r="AA18" s="1814">
        <v>1</v>
      </c>
      <c r="AB18" s="1814">
        <v>1</v>
      </c>
      <c r="AC18" s="2681">
        <v>1</v>
      </c>
    </row>
    <row r="19" spans="1:29" ht="15">
      <c r="A19" s="428"/>
      <c r="B19" s="631" t="s">
        <v>2686</v>
      </c>
      <c r="C19" s="268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4"/>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2681">
        <f t="shared" si="5"/>
        <v>1</v>
      </c>
    </row>
    <row r="20" spans="1:29" ht="15">
      <c r="A20" s="428"/>
      <c r="B20" s="632"/>
      <c r="C20" s="2618" t="s">
        <v>3676</v>
      </c>
      <c r="D20" s="448"/>
      <c r="E20" s="2618" t="s">
        <v>3676</v>
      </c>
      <c r="F20" s="448"/>
      <c r="G20" s="2618" t="s">
        <v>3676</v>
      </c>
      <c r="H20" s="448"/>
      <c r="I20" s="2618" t="s">
        <v>3676</v>
      </c>
      <c r="J20" s="448"/>
      <c r="K20" s="615"/>
      <c r="L20" s="1143"/>
      <c r="M20" s="1134"/>
      <c r="N20" s="1134"/>
      <c r="O20" s="1134"/>
      <c r="P20" s="3214"/>
      <c r="Q20" s="1813"/>
      <c r="R20" s="774"/>
      <c r="S20" s="775"/>
      <c r="T20" s="774"/>
      <c r="U20" s="775"/>
      <c r="V20" s="774"/>
      <c r="W20" s="775"/>
      <c r="X20" s="1816"/>
      <c r="Y20" s="3216"/>
      <c r="Z20" s="1817"/>
      <c r="AA20" s="1814">
        <v>1</v>
      </c>
      <c r="AB20" s="1814">
        <v>1</v>
      </c>
      <c r="AC20" s="2681">
        <v>1</v>
      </c>
    </row>
    <row r="21" spans="1:29" ht="15">
      <c r="A21" s="428"/>
      <c r="B21" s="633" t="s">
        <v>2687</v>
      </c>
      <c r="C21" s="268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2681">
        <f t="shared" ref="AC21" si="10">D21/J21</f>
        <v>1</v>
      </c>
    </row>
    <row r="22" spans="1:29" ht="15">
      <c r="A22" s="428"/>
      <c r="B22" s="633"/>
      <c r="C22" s="2683" t="s">
        <v>3677</v>
      </c>
      <c r="D22" s="448"/>
      <c r="E22" s="2683" t="s">
        <v>3677</v>
      </c>
      <c r="F22" s="448"/>
      <c r="G22" s="2683" t="s">
        <v>3677</v>
      </c>
      <c r="H22" s="448"/>
      <c r="I22" s="2683" t="s">
        <v>3677</v>
      </c>
      <c r="J22" s="448"/>
      <c r="K22" s="1385"/>
      <c r="L22" s="1143"/>
      <c r="M22" s="1134"/>
      <c r="N22" s="1134"/>
      <c r="O22" s="1134"/>
      <c r="P22" s="3214"/>
      <c r="Q22" s="1813"/>
      <c r="R22" s="774"/>
      <c r="S22" s="775"/>
      <c r="T22" s="774"/>
      <c r="U22" s="775"/>
      <c r="V22" s="774"/>
      <c r="W22" s="775"/>
      <c r="X22" s="1816"/>
      <c r="Y22" s="3216"/>
      <c r="Z22" s="1817"/>
      <c r="AA22" s="1814">
        <v>1</v>
      </c>
      <c r="AB22" s="1814">
        <v>1</v>
      </c>
      <c r="AC22" s="2681">
        <v>1</v>
      </c>
    </row>
    <row r="23" spans="1:29" ht="15">
      <c r="A23" s="428"/>
      <c r="B23" s="631" t="s">
        <v>2688</v>
      </c>
      <c r="C23" s="268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4"/>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2681">
        <f t="shared" si="5"/>
        <v>1</v>
      </c>
    </row>
    <row r="24" spans="1:29" ht="15">
      <c r="A24" s="428"/>
      <c r="B24" s="633"/>
      <c r="C24" s="2951" t="s">
        <v>3678</v>
      </c>
      <c r="D24" s="448"/>
      <c r="E24" s="2951" t="s">
        <v>3678</v>
      </c>
      <c r="F24" s="448"/>
      <c r="G24" s="2951" t="s">
        <v>3678</v>
      </c>
      <c r="H24" s="448"/>
      <c r="I24" s="2951" t="s">
        <v>3678</v>
      </c>
      <c r="J24" s="448"/>
      <c r="K24" s="615"/>
      <c r="L24" s="1143"/>
      <c r="M24" s="1134"/>
      <c r="N24" s="1134"/>
      <c r="O24" s="1134"/>
      <c r="P24" s="3214"/>
      <c r="Q24" s="1813"/>
      <c r="R24" s="774"/>
      <c r="S24" s="775"/>
      <c r="T24" s="774"/>
      <c r="U24" s="775"/>
      <c r="V24" s="774"/>
      <c r="W24" s="775"/>
      <c r="X24" s="1816"/>
      <c r="Y24" s="3216"/>
      <c r="Z24" s="1817"/>
      <c r="AA24" s="1814">
        <v>1</v>
      </c>
      <c r="AB24" s="1814">
        <v>1</v>
      </c>
      <c r="AC24" s="2681">
        <v>1</v>
      </c>
    </row>
    <row r="25" spans="1:29" ht="27">
      <c r="A25" s="404"/>
      <c r="B25" s="631" t="s">
        <v>2689</v>
      </c>
      <c r="C25" s="2952" t="s">
        <v>3679</v>
      </c>
      <c r="D25" s="435">
        <v>100</v>
      </c>
      <c r="E25" s="2954" t="s">
        <v>3682</v>
      </c>
      <c r="F25" s="435">
        <f>SUMIF(87:87,E26,88:88)-SUMIF(87:87,C26,88:88)+100</f>
        <v>100</v>
      </c>
      <c r="G25" s="2952" t="s">
        <v>3682</v>
      </c>
      <c r="H25" s="435">
        <f>SUMIF(87:87,G26,88:88)-SUMIF(87:87,C26,88:88)+100</f>
        <v>100</v>
      </c>
      <c r="I25" s="2954" t="s">
        <v>3681</v>
      </c>
      <c r="J25" s="435">
        <f>SUMIF(87:87,I26,88:88)-SUMIF(87:87,C26,88:88)+100</f>
        <v>100</v>
      </c>
      <c r="K25" s="614"/>
      <c r="L25" s="1143"/>
      <c r="M25" s="1134"/>
      <c r="N25" s="1134"/>
      <c r="O25" s="1134"/>
      <c r="P25" s="3214"/>
      <c r="Q25" s="1813" t="str">
        <f>B25</f>
        <v>毗邻道路的类型与等级</v>
      </c>
      <c r="R25" s="774" t="s">
        <v>17</v>
      </c>
      <c r="S25" s="775">
        <f>F25</f>
        <v>100</v>
      </c>
      <c r="T25" s="774" t="s">
        <v>17</v>
      </c>
      <c r="U25" s="775">
        <f>H25</f>
        <v>100</v>
      </c>
      <c r="V25" s="774" t="s">
        <v>17</v>
      </c>
      <c r="W25" s="775">
        <f>J25</f>
        <v>100</v>
      </c>
      <c r="X25" s="1816"/>
      <c r="Y25" s="3216"/>
      <c r="Z25" s="1817" t="str">
        <f>Q25</f>
        <v>毗邻道路的类型与等级</v>
      </c>
      <c r="AA25" s="1814">
        <f t="shared" si="3"/>
        <v>1</v>
      </c>
      <c r="AB25" s="1814">
        <f t="shared" si="4"/>
        <v>1</v>
      </c>
      <c r="AC25" s="2681">
        <f t="shared" si="5"/>
        <v>1</v>
      </c>
    </row>
    <row r="26" spans="1:29" ht="15">
      <c r="A26" s="404"/>
      <c r="B26" s="632"/>
      <c r="C26" s="2953" t="s">
        <v>3680</v>
      </c>
      <c r="D26" s="435"/>
      <c r="E26" s="2953" t="s">
        <v>3680</v>
      </c>
      <c r="F26" s="435"/>
      <c r="G26" s="2953" t="s">
        <v>3680</v>
      </c>
      <c r="H26" s="435"/>
      <c r="I26" s="2953" t="s">
        <v>3680</v>
      </c>
      <c r="J26" s="435"/>
      <c r="K26" s="615"/>
      <c r="L26" s="1143"/>
      <c r="M26" s="1134"/>
      <c r="N26" s="1134"/>
      <c r="O26" s="1134"/>
      <c r="P26" s="3214"/>
      <c r="Q26" s="1813"/>
      <c r="R26" s="774"/>
      <c r="S26" s="775"/>
      <c r="T26" s="774"/>
      <c r="U26" s="775"/>
      <c r="V26" s="774"/>
      <c r="W26" s="775"/>
      <c r="X26" s="1816"/>
      <c r="Y26" s="3216"/>
      <c r="Z26" s="1817"/>
      <c r="AA26" s="1814">
        <v>1</v>
      </c>
      <c r="AB26" s="1814">
        <v>1</v>
      </c>
      <c r="AC26" s="2681">
        <v>1</v>
      </c>
    </row>
    <row r="27" spans="1:29" ht="15.75" thickBot="1">
      <c r="A27" s="428"/>
      <c r="B27" s="632" t="s">
        <v>2657</v>
      </c>
      <c r="C27" s="2953" t="s">
        <v>3702</v>
      </c>
      <c r="D27" s="435">
        <v>100</v>
      </c>
      <c r="E27" s="2953" t="s">
        <v>3702</v>
      </c>
      <c r="F27" s="435">
        <f>SUMIF(89:89,E27,90:90)-SUMIF(89:89,C27,90:90)+100</f>
        <v>100</v>
      </c>
      <c r="G27" s="2953" t="s">
        <v>3702</v>
      </c>
      <c r="H27" s="435">
        <f>SUMIF(89:89,G27,90:90)-SUMIF(89:89,C27,90:90)+100</f>
        <v>100</v>
      </c>
      <c r="I27" s="2953" t="s">
        <v>3702</v>
      </c>
      <c r="J27" s="435">
        <f>SUMIF(89:89,I27,90:90)-SUMIF(89:89,C27,90:90)+100</f>
        <v>100</v>
      </c>
      <c r="K27" s="612"/>
      <c r="L27" s="1143"/>
      <c r="M27" s="1134"/>
      <c r="N27" s="1134"/>
      <c r="O27" s="1134"/>
      <c r="P27" s="3214"/>
      <c r="Q27" s="1813" t="str">
        <f t="shared" ref="Q27:Q47" si="11">B27</f>
        <v>楼层</v>
      </c>
      <c r="R27" s="774" t="s">
        <v>17</v>
      </c>
      <c r="S27" s="775">
        <f>F27</f>
        <v>100</v>
      </c>
      <c r="T27" s="774" t="s">
        <v>17</v>
      </c>
      <c r="U27" s="775">
        <f>H27</f>
        <v>100</v>
      </c>
      <c r="V27" s="774" t="s">
        <v>17</v>
      </c>
      <c r="W27" s="775">
        <f>J27</f>
        <v>100</v>
      </c>
      <c r="X27" s="1816"/>
      <c r="Y27" s="3216"/>
      <c r="Z27" s="1817" t="str">
        <f>Q27</f>
        <v>楼层</v>
      </c>
      <c r="AA27" s="1814">
        <f t="shared" si="3"/>
        <v>1</v>
      </c>
      <c r="AB27" s="1814">
        <f t="shared" si="4"/>
        <v>1</v>
      </c>
      <c r="AC27" s="2681">
        <f t="shared" si="5"/>
        <v>1</v>
      </c>
    </row>
    <row r="28" spans="1:29" s="116" customFormat="1" ht="15" hidden="1">
      <c r="A28" s="431"/>
      <c r="B28" s="631" t="s">
        <v>2690</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14"/>
      <c r="Q28" s="1798" t="str">
        <f t="shared" si="11"/>
        <v>朝向</v>
      </c>
      <c r="R28" s="770" t="s">
        <v>17</v>
      </c>
      <c r="S28" s="771">
        <f>F28</f>
        <v>100</v>
      </c>
      <c r="T28" s="770" t="s">
        <v>17</v>
      </c>
      <c r="U28" s="771">
        <f>H28</f>
        <v>100</v>
      </c>
      <c r="V28" s="770" t="s">
        <v>17</v>
      </c>
      <c r="W28" s="771">
        <f>J28</f>
        <v>100</v>
      </c>
      <c r="X28" s="772"/>
      <c r="Y28" s="3216"/>
      <c r="Z28" s="54" t="str">
        <f>Q28</f>
        <v>朝向</v>
      </c>
      <c r="AA28" s="1814">
        <f>D28/F28</f>
        <v>1</v>
      </c>
      <c r="AB28" s="1814">
        <f>D28/H28</f>
        <v>1</v>
      </c>
      <c r="AC28" s="2681">
        <f>D28/J28</f>
        <v>1</v>
      </c>
    </row>
    <row r="29" spans="1:29" ht="15" hidden="1">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14"/>
      <c r="Q29" s="1813">
        <f t="shared" si="11"/>
        <v>111</v>
      </c>
      <c r="R29" s="774" t="s">
        <v>17</v>
      </c>
      <c r="S29" s="775">
        <f t="shared" ref="S29:S47" si="12">F29</f>
        <v>100</v>
      </c>
      <c r="T29" s="774" t="s">
        <v>17</v>
      </c>
      <c r="U29" s="775">
        <f t="shared" ref="U29:U47" si="13">H29</f>
        <v>100</v>
      </c>
      <c r="V29" s="774" t="s">
        <v>17</v>
      </c>
      <c r="W29" s="775">
        <f t="shared" ref="W29:W47" si="14">J29</f>
        <v>100</v>
      </c>
      <c r="X29" s="1816"/>
      <c r="Y29" s="3216"/>
      <c r="Z29" s="1817">
        <f t="shared" ref="Z29:Z47" si="15">Q29</f>
        <v>111</v>
      </c>
      <c r="AA29" s="1814">
        <f t="shared" si="3"/>
        <v>1</v>
      </c>
      <c r="AB29" s="1814">
        <f t="shared" si="4"/>
        <v>1</v>
      </c>
      <c r="AC29" s="2681">
        <f t="shared" si="5"/>
        <v>1</v>
      </c>
    </row>
    <row r="30" spans="1:29" ht="15" hidden="1">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14"/>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2681">
        <f t="shared" si="5"/>
        <v>1</v>
      </c>
    </row>
    <row r="31" spans="1:29" ht="15" hidden="1">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14"/>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2681">
        <f t="shared" si="5"/>
        <v>1</v>
      </c>
    </row>
    <row r="32" spans="1:29" ht="15.75" hidden="1"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14"/>
      <c r="Q32" s="1813">
        <f t="shared" si="11"/>
        <v>111</v>
      </c>
      <c r="R32" s="774" t="s">
        <v>17</v>
      </c>
      <c r="S32" s="775">
        <f t="shared" si="12"/>
        <v>100</v>
      </c>
      <c r="T32" s="774" t="s">
        <v>17</v>
      </c>
      <c r="U32" s="775">
        <f t="shared" si="13"/>
        <v>100</v>
      </c>
      <c r="V32" s="774" t="s">
        <v>17</v>
      </c>
      <c r="W32" s="775">
        <f t="shared" si="14"/>
        <v>100</v>
      </c>
      <c r="X32" s="1816"/>
      <c r="Y32" s="3216"/>
      <c r="Z32" s="1817">
        <f t="shared" si="15"/>
        <v>111</v>
      </c>
      <c r="AA32" s="1814">
        <f t="shared" si="3"/>
        <v>1</v>
      </c>
      <c r="AB32" s="1814">
        <f t="shared" si="4"/>
        <v>1</v>
      </c>
      <c r="AC32" s="2681">
        <f t="shared" si="5"/>
        <v>1</v>
      </c>
    </row>
    <row r="33" spans="1:29" ht="15">
      <c r="A33" s="440" t="s">
        <v>2561</v>
      </c>
      <c r="B33" s="70" t="s">
        <v>2691</v>
      </c>
      <c r="C33" s="2955" t="s">
        <v>3683</v>
      </c>
      <c r="D33" s="467">
        <v>100</v>
      </c>
      <c r="E33" s="2955" t="s">
        <v>3683</v>
      </c>
      <c r="F33" s="461">
        <f>SUMIF(101:101,E33,102:102)-SUMIF(101:101,C33,102:102)+100</f>
        <v>100</v>
      </c>
      <c r="G33" s="2955" t="s">
        <v>3683</v>
      </c>
      <c r="H33" s="435">
        <f>SUMIF(101:101,G33,102:102)-SUMIF(101:101,C33,102:102)+100</f>
        <v>100</v>
      </c>
      <c r="I33" s="2955" t="s">
        <v>3683</v>
      </c>
      <c r="J33" s="467">
        <f>SUMIF(101:101,I33,102:102)-SUMIF(101:101,C33,102:102)+100</f>
        <v>100</v>
      </c>
      <c r="K33" s="612"/>
      <c r="L33" s="1143"/>
      <c r="M33" s="1134"/>
      <c r="N33" s="1134"/>
      <c r="O33" s="1134"/>
      <c r="P33" s="3217" t="s">
        <v>2563</v>
      </c>
      <c r="Q33" s="1813" t="str">
        <f t="shared" si="11"/>
        <v>建筑类型</v>
      </c>
      <c r="R33" s="774" t="s">
        <v>17</v>
      </c>
      <c r="S33" s="775">
        <f t="shared" si="12"/>
        <v>100</v>
      </c>
      <c r="T33" s="774" t="s">
        <v>17</v>
      </c>
      <c r="U33" s="775">
        <f t="shared" si="13"/>
        <v>100</v>
      </c>
      <c r="V33" s="774" t="s">
        <v>17</v>
      </c>
      <c r="W33" s="775">
        <f t="shared" si="14"/>
        <v>100</v>
      </c>
      <c r="X33" s="1816"/>
      <c r="Y33" s="3220" t="s">
        <v>2563</v>
      </c>
      <c r="Z33" s="1817" t="str">
        <f t="shared" si="15"/>
        <v>建筑类型</v>
      </c>
      <c r="AA33" s="1814">
        <f t="shared" si="3"/>
        <v>1</v>
      </c>
      <c r="AB33" s="1814">
        <f t="shared" si="4"/>
        <v>1</v>
      </c>
      <c r="AC33" s="2681">
        <f t="shared" si="5"/>
        <v>1</v>
      </c>
    </row>
    <row r="34" spans="1:29" s="471" customFormat="1" ht="15">
      <c r="A34" s="468"/>
      <c r="B34" s="422" t="s">
        <v>2564</v>
      </c>
      <c r="C34" s="430">
        <v>82625.429999999993</v>
      </c>
      <c r="D34" s="135">
        <v>100</v>
      </c>
      <c r="E34" s="430">
        <v>102062</v>
      </c>
      <c r="F34" s="425">
        <f>LOOKUP(E34,104:104,105:105)-LOOKUP(C34,104:104,105:105)+100</f>
        <v>100.5</v>
      </c>
      <c r="G34" s="429">
        <v>352995</v>
      </c>
      <c r="H34" s="135">
        <f>LOOKUP(G34,104:104,105:105)-LOOKUP(C34,104:104,105:105)+100</f>
        <v>101.5</v>
      </c>
      <c r="I34" s="429">
        <v>240000</v>
      </c>
      <c r="J34" s="135">
        <f>LOOKUP(I34,104:104,105:105)-LOOKUP(C34,104:104,105:105)+100</f>
        <v>101</v>
      </c>
      <c r="K34" s="613"/>
      <c r="L34" s="1141"/>
      <c r="M34" s="1144"/>
      <c r="N34" s="1144"/>
      <c r="O34" s="1144"/>
      <c r="P34" s="3218"/>
      <c r="Q34" s="776" t="str">
        <f t="shared" si="11"/>
        <v>项目建筑规模</v>
      </c>
      <c r="R34" s="777" t="s">
        <v>17</v>
      </c>
      <c r="S34" s="778">
        <f t="shared" si="12"/>
        <v>100.5</v>
      </c>
      <c r="T34" s="777" t="s">
        <v>17</v>
      </c>
      <c r="U34" s="778">
        <f t="shared" si="13"/>
        <v>101.5</v>
      </c>
      <c r="V34" s="777" t="s">
        <v>17</v>
      </c>
      <c r="W34" s="778">
        <f t="shared" si="14"/>
        <v>101</v>
      </c>
      <c r="X34" s="779"/>
      <c r="Y34" s="3220"/>
      <c r="Z34" s="780" t="str">
        <f t="shared" si="15"/>
        <v>项目建筑规模</v>
      </c>
      <c r="AA34" s="1814">
        <f t="shared" si="3"/>
        <v>0.99502487562189057</v>
      </c>
      <c r="AB34" s="1814">
        <f t="shared" si="4"/>
        <v>0.98522167487684731</v>
      </c>
      <c r="AC34" s="2681">
        <f t="shared" si="5"/>
        <v>0.99009900990099009</v>
      </c>
    </row>
    <row r="35" spans="1:29" ht="15">
      <c r="A35" s="472"/>
      <c r="B35" s="422" t="s">
        <v>2565</v>
      </c>
      <c r="C35" s="2956" t="s">
        <v>3685</v>
      </c>
      <c r="D35" s="435">
        <v>100</v>
      </c>
      <c r="E35" s="2956" t="s">
        <v>3685</v>
      </c>
      <c r="F35" s="461">
        <f>SUMIF(106:106,E35,107:107)-SUMIF(106:106,C35,107:107)+100</f>
        <v>100</v>
      </c>
      <c r="G35" s="2956" t="s">
        <v>3685</v>
      </c>
      <c r="H35" s="435">
        <f>SUMIF(106:106,G35,107:107)-SUMIF(106:106,C35,107:107)+100</f>
        <v>100</v>
      </c>
      <c r="I35" s="2956" t="s">
        <v>3685</v>
      </c>
      <c r="J35" s="435">
        <f>SUMIF(106:106,I35,107:107)-SUMIF(106:106,C35,107:107)+100</f>
        <v>100</v>
      </c>
      <c r="K35" s="612"/>
      <c r="L35" s="1143"/>
      <c r="M35" s="1134"/>
      <c r="N35" s="1134"/>
      <c r="O35" s="1134"/>
      <c r="P35" s="3218"/>
      <c r="Q35" s="1813" t="str">
        <f t="shared" si="11"/>
        <v>建筑结构</v>
      </c>
      <c r="R35" s="774" t="s">
        <v>17</v>
      </c>
      <c r="S35" s="775">
        <f t="shared" si="12"/>
        <v>100</v>
      </c>
      <c r="T35" s="774" t="s">
        <v>17</v>
      </c>
      <c r="U35" s="775">
        <f t="shared" si="13"/>
        <v>100</v>
      </c>
      <c r="V35" s="774" t="s">
        <v>17</v>
      </c>
      <c r="W35" s="775">
        <f t="shared" si="14"/>
        <v>100</v>
      </c>
      <c r="X35" s="1816"/>
      <c r="Y35" s="3220"/>
      <c r="Z35" s="1817" t="str">
        <f t="shared" si="15"/>
        <v>建筑结构</v>
      </c>
      <c r="AA35" s="1814">
        <f t="shared" si="3"/>
        <v>1</v>
      </c>
      <c r="AB35" s="1814">
        <f t="shared" si="4"/>
        <v>1</v>
      </c>
      <c r="AC35" s="2681">
        <f t="shared" si="5"/>
        <v>1</v>
      </c>
    </row>
    <row r="36" spans="1:29" ht="15">
      <c r="A36" s="472"/>
      <c r="B36" s="422" t="s">
        <v>2659</v>
      </c>
      <c r="C36" s="2956" t="s">
        <v>3686</v>
      </c>
      <c r="D36" s="435">
        <v>100</v>
      </c>
      <c r="E36" s="2956" t="s">
        <v>3686</v>
      </c>
      <c r="F36" s="461">
        <f>SUMIF(108:108,E36,109:109)-SUMIF(108:108,C36,109:109)+100</f>
        <v>100</v>
      </c>
      <c r="G36" s="2956" t="s">
        <v>3686</v>
      </c>
      <c r="H36" s="435">
        <f>SUMIF(108:108,G36,109:109)-SUMIF(108:108,C36,109:109)+100</f>
        <v>100</v>
      </c>
      <c r="I36" s="2956" t="s">
        <v>3686</v>
      </c>
      <c r="J36" s="435">
        <f>SUMIF(108:108,I36,109:109)-SUMIF(108:108,C36,109:109)+100</f>
        <v>100</v>
      </c>
      <c r="K36" s="612"/>
      <c r="L36" s="1143"/>
      <c r="M36" s="1134"/>
      <c r="N36" s="1134"/>
      <c r="O36" s="1134"/>
      <c r="P36" s="3218"/>
      <c r="Q36" s="1813" t="str">
        <f t="shared" si="11"/>
        <v>公共部分装修</v>
      </c>
      <c r="R36" s="774" t="s">
        <v>17</v>
      </c>
      <c r="S36" s="775">
        <f t="shared" si="12"/>
        <v>100</v>
      </c>
      <c r="T36" s="774" t="s">
        <v>17</v>
      </c>
      <c r="U36" s="775">
        <f t="shared" si="13"/>
        <v>100</v>
      </c>
      <c r="V36" s="774" t="s">
        <v>17</v>
      </c>
      <c r="W36" s="775">
        <f t="shared" si="14"/>
        <v>100</v>
      </c>
      <c r="X36" s="1816"/>
      <c r="Y36" s="3220"/>
      <c r="Z36" s="1817" t="str">
        <f t="shared" si="15"/>
        <v>公共部分装修</v>
      </c>
      <c r="AA36" s="1814">
        <f t="shared" si="3"/>
        <v>1</v>
      </c>
      <c r="AB36" s="1814">
        <f t="shared" si="4"/>
        <v>1</v>
      </c>
      <c r="AC36" s="2681">
        <f t="shared" si="5"/>
        <v>1</v>
      </c>
    </row>
    <row r="37" spans="1:29" ht="15">
      <c r="A37" s="472"/>
      <c r="B37" s="422" t="s">
        <v>2660</v>
      </c>
      <c r="C37" s="474">
        <v>0.98</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18"/>
      <c r="Q37" s="1813" t="str">
        <f t="shared" si="11"/>
        <v>成新度</v>
      </c>
      <c r="R37" s="774" t="s">
        <v>17</v>
      </c>
      <c r="S37" s="775">
        <f t="shared" si="12"/>
        <v>100</v>
      </c>
      <c r="T37" s="774" t="s">
        <v>17</v>
      </c>
      <c r="U37" s="775">
        <f t="shared" si="13"/>
        <v>100</v>
      </c>
      <c r="V37" s="774" t="s">
        <v>17</v>
      </c>
      <c r="W37" s="775">
        <f t="shared" si="14"/>
        <v>100</v>
      </c>
      <c r="X37" s="1816"/>
      <c r="Y37" s="3220"/>
      <c r="Z37" s="1817" t="str">
        <f t="shared" si="15"/>
        <v>成新度</v>
      </c>
      <c r="AA37" s="1814">
        <f t="shared" si="3"/>
        <v>1</v>
      </c>
      <c r="AB37" s="1814">
        <f t="shared" si="4"/>
        <v>1</v>
      </c>
      <c r="AC37" s="2681">
        <f t="shared" si="5"/>
        <v>1</v>
      </c>
    </row>
    <row r="38" spans="1:29" s="116" customFormat="1" ht="15">
      <c r="A38" s="473"/>
      <c r="B38" s="422" t="s">
        <v>2692</v>
      </c>
      <c r="C38" s="2956" t="s">
        <v>3687</v>
      </c>
      <c r="D38" s="135">
        <v>100</v>
      </c>
      <c r="E38" s="2956" t="s">
        <v>3687</v>
      </c>
      <c r="F38" s="461">
        <f>SUMIF(113:113,E38,114:114)-SUMIF(113:113,C38,114:114)+100</f>
        <v>100</v>
      </c>
      <c r="G38" s="2956" t="s">
        <v>3687</v>
      </c>
      <c r="H38" s="435">
        <f>SUMIF(113:113,G38,114:114)-SUMIF(113:113,C38,114:114)+100</f>
        <v>100</v>
      </c>
      <c r="I38" s="2956" t="s">
        <v>3687</v>
      </c>
      <c r="J38" s="435">
        <f>SUMIF(113:113,I38,114:114)-SUMIF(113:113,C38,114:114)+100</f>
        <v>100</v>
      </c>
      <c r="K38" s="612"/>
      <c r="L38" s="1135"/>
      <c r="M38" s="1136"/>
      <c r="N38" s="1136"/>
      <c r="O38" s="1136"/>
      <c r="P38" s="3218"/>
      <c r="Q38" s="1798" t="str">
        <f t="shared" si="11"/>
        <v>写字楼等级</v>
      </c>
      <c r="R38" s="770" t="s">
        <v>17</v>
      </c>
      <c r="S38" s="771">
        <f t="shared" si="12"/>
        <v>100</v>
      </c>
      <c r="T38" s="770" t="s">
        <v>17</v>
      </c>
      <c r="U38" s="771">
        <f t="shared" si="13"/>
        <v>100</v>
      </c>
      <c r="V38" s="770" t="s">
        <v>17</v>
      </c>
      <c r="W38" s="771">
        <f t="shared" si="14"/>
        <v>100</v>
      </c>
      <c r="X38" s="772"/>
      <c r="Y38" s="3220"/>
      <c r="Z38" s="54" t="str">
        <f t="shared" si="15"/>
        <v>写字楼等级</v>
      </c>
      <c r="AA38" s="773">
        <f t="shared" si="3"/>
        <v>1</v>
      </c>
      <c r="AB38" s="773">
        <f t="shared" si="4"/>
        <v>1</v>
      </c>
      <c r="AC38" s="2678">
        <f t="shared" si="5"/>
        <v>1</v>
      </c>
    </row>
    <row r="39" spans="1:29" ht="15">
      <c r="A39" s="472"/>
      <c r="B39" s="422" t="s">
        <v>2693</v>
      </c>
      <c r="C39" s="2956" t="s">
        <v>3688</v>
      </c>
      <c r="D39" s="435">
        <v>100</v>
      </c>
      <c r="E39" s="2956" t="s">
        <v>3688</v>
      </c>
      <c r="F39" s="461">
        <f>SUMIF(115:115,E39,116:116)-SUMIF(115:115,C39,116:116)+100</f>
        <v>100</v>
      </c>
      <c r="G39" s="2956" t="s">
        <v>3688</v>
      </c>
      <c r="H39" s="435">
        <f>SUMIF(115:115,G39,116:116)-SUMIF(115:115,C39,116:116)+100</f>
        <v>100</v>
      </c>
      <c r="I39" s="2956" t="s">
        <v>3688</v>
      </c>
      <c r="J39" s="435">
        <f>SUMIF(115:115,I39,116:116)-SUMIF(115:115,C39,116:116)+100</f>
        <v>100</v>
      </c>
      <c r="K39" s="612"/>
      <c r="L39" s="1143"/>
      <c r="M39" s="1134"/>
      <c r="N39" s="1134"/>
      <c r="O39" s="1134"/>
      <c r="P39" s="3218" t="s">
        <v>2563</v>
      </c>
      <c r="Q39" s="1813" t="str">
        <f t="shared" si="11"/>
        <v>物业管理</v>
      </c>
      <c r="R39" s="774" t="s">
        <v>17</v>
      </c>
      <c r="S39" s="775">
        <f t="shared" si="12"/>
        <v>100</v>
      </c>
      <c r="T39" s="774" t="s">
        <v>17</v>
      </c>
      <c r="U39" s="775">
        <f t="shared" si="13"/>
        <v>100</v>
      </c>
      <c r="V39" s="774" t="s">
        <v>17</v>
      </c>
      <c r="W39" s="775">
        <f t="shared" si="14"/>
        <v>100</v>
      </c>
      <c r="X39" s="1816"/>
      <c r="Y39" s="3220" t="s">
        <v>2563</v>
      </c>
      <c r="Z39" s="1817" t="str">
        <f t="shared" si="15"/>
        <v>物业管理</v>
      </c>
      <c r="AA39" s="1814">
        <f t="shared" si="3"/>
        <v>1</v>
      </c>
      <c r="AB39" s="1814">
        <f t="shared" si="4"/>
        <v>1</v>
      </c>
      <c r="AC39" s="2681">
        <f t="shared" si="5"/>
        <v>1</v>
      </c>
    </row>
    <row r="40" spans="1:29" ht="15">
      <c r="A40" s="472"/>
      <c r="B40" s="422" t="s">
        <v>2661</v>
      </c>
      <c r="C40" s="2956" t="s">
        <v>3689</v>
      </c>
      <c r="D40" s="435">
        <v>100</v>
      </c>
      <c r="E40" s="2956" t="s">
        <v>3689</v>
      </c>
      <c r="F40" s="461">
        <f>SUMIF(117:117,E40,118:118)-SUMIF(117:117,C40,118:118)+100</f>
        <v>100</v>
      </c>
      <c r="G40" s="2956" t="s">
        <v>3689</v>
      </c>
      <c r="H40" s="435">
        <f>SUMIF(117:117,G40,118:118)-SUMIF(117:117,C40,118:118)+100</f>
        <v>100</v>
      </c>
      <c r="I40" s="2956" t="s">
        <v>3689</v>
      </c>
      <c r="J40" s="435">
        <f>SUMIF(117:117,I40,118:118)-SUMIF(117:117,C40,118:118)+100</f>
        <v>100</v>
      </c>
      <c r="K40" s="612"/>
      <c r="L40" s="1143"/>
      <c r="M40" s="1134"/>
      <c r="N40" s="1134"/>
      <c r="O40" s="1134"/>
      <c r="P40" s="3218"/>
      <c r="Q40" s="1813" t="str">
        <f t="shared" si="11"/>
        <v>市政基础设施</v>
      </c>
      <c r="R40" s="774" t="s">
        <v>17</v>
      </c>
      <c r="S40" s="775">
        <f t="shared" si="12"/>
        <v>100</v>
      </c>
      <c r="T40" s="774" t="s">
        <v>17</v>
      </c>
      <c r="U40" s="775">
        <f t="shared" si="13"/>
        <v>100</v>
      </c>
      <c r="V40" s="774" t="s">
        <v>17</v>
      </c>
      <c r="W40" s="775">
        <f t="shared" si="14"/>
        <v>100</v>
      </c>
      <c r="X40" s="1816"/>
      <c r="Y40" s="3220"/>
      <c r="Z40" s="1817" t="str">
        <f t="shared" si="15"/>
        <v>市政基础设施</v>
      </c>
      <c r="AA40" s="1814">
        <f t="shared" si="3"/>
        <v>1</v>
      </c>
      <c r="AB40" s="1814">
        <f t="shared" si="4"/>
        <v>1</v>
      </c>
      <c r="AC40" s="2681">
        <f t="shared" si="5"/>
        <v>1</v>
      </c>
    </row>
    <row r="41" spans="1:29" ht="15">
      <c r="A41" s="472"/>
      <c r="B41" s="422" t="s">
        <v>2663</v>
      </c>
      <c r="C41" s="2957" t="s">
        <v>3690</v>
      </c>
      <c r="D41" s="435">
        <v>100</v>
      </c>
      <c r="E41" s="2957" t="s">
        <v>3690</v>
      </c>
      <c r="F41" s="461">
        <f>SUMIF(119:119,E41,120:120)-SUMIF(119:119,C41,120:120)+100</f>
        <v>100</v>
      </c>
      <c r="G41" s="2957" t="s">
        <v>3690</v>
      </c>
      <c r="H41" s="435">
        <f>SUMIF(119:119,G41,120:120)-SUMIF(119:119,C41,120:120)+100</f>
        <v>100</v>
      </c>
      <c r="I41" s="2957" t="s">
        <v>3690</v>
      </c>
      <c r="J41" s="435">
        <f>SUMIF(119:119,I41,120:120)-SUMIF(119:119,C41,120:120)+100</f>
        <v>100</v>
      </c>
      <c r="K41" s="612"/>
      <c r="L41" s="1143"/>
      <c r="M41" s="1134"/>
      <c r="N41" s="1134"/>
      <c r="O41" s="1134"/>
      <c r="P41" s="3218"/>
      <c r="Q41" s="1813" t="str">
        <f t="shared" si="11"/>
        <v>层高</v>
      </c>
      <c r="R41" s="774" t="s">
        <v>17</v>
      </c>
      <c r="S41" s="775">
        <f t="shared" si="12"/>
        <v>100</v>
      </c>
      <c r="T41" s="774" t="s">
        <v>17</v>
      </c>
      <c r="U41" s="775">
        <f t="shared" si="13"/>
        <v>100</v>
      </c>
      <c r="V41" s="774" t="s">
        <v>17</v>
      </c>
      <c r="W41" s="775">
        <f t="shared" si="14"/>
        <v>100</v>
      </c>
      <c r="X41" s="1816"/>
      <c r="Y41" s="3220"/>
      <c r="Z41" s="1817" t="str">
        <f t="shared" si="15"/>
        <v>层高</v>
      </c>
      <c r="AA41" s="1814">
        <f t="shared" si="3"/>
        <v>1</v>
      </c>
      <c r="AB41" s="1814">
        <f t="shared" si="4"/>
        <v>1</v>
      </c>
      <c r="AC41" s="2681">
        <f t="shared" si="5"/>
        <v>1</v>
      </c>
    </row>
    <row r="42" spans="1:29" s="471" customFormat="1" ht="15">
      <c r="A42" s="468"/>
      <c r="B42" s="2979" t="s">
        <v>3726</v>
      </c>
      <c r="C42" s="434">
        <f>'数据-取费表'!K6</f>
        <v>98.91</v>
      </c>
      <c r="D42" s="435">
        <v>100</v>
      </c>
      <c r="E42" s="434" t="s">
        <v>3723</v>
      </c>
      <c r="F42" s="461">
        <f>SUMIF(121:121,E42,122:122)-SUMIF(121:121,C42,122:122)+100</f>
        <v>100</v>
      </c>
      <c r="G42" s="434" t="s">
        <v>3723</v>
      </c>
      <c r="H42" s="435">
        <f>SUMIF(121:121,G42,122:122)-SUMIF(121:121,C42,122:122)+100</f>
        <v>100</v>
      </c>
      <c r="I42" s="434" t="s">
        <v>3723</v>
      </c>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4">
        <f t="shared" si="3"/>
        <v>1</v>
      </c>
      <c r="AB42" s="1814">
        <f t="shared" si="4"/>
        <v>1</v>
      </c>
      <c r="AC42" s="2681">
        <f t="shared" si="5"/>
        <v>1</v>
      </c>
    </row>
    <row r="43" spans="1:29" ht="15">
      <c r="A43" s="472"/>
      <c r="B43" s="422" t="s">
        <v>2666</v>
      </c>
      <c r="C43" s="2956" t="s">
        <v>3692</v>
      </c>
      <c r="D43" s="435">
        <v>100</v>
      </c>
      <c r="E43" s="2956" t="s">
        <v>3692</v>
      </c>
      <c r="F43" s="461">
        <f>SUMIF(123:123,E43,124:124)-SUMIF(123:123,C43,124:124)+100</f>
        <v>100</v>
      </c>
      <c r="G43" s="2956" t="s">
        <v>3692</v>
      </c>
      <c r="H43" s="435">
        <f>SUMIF(123:123,G43,124:124)-SUMIF(123:123,C43,124:124)+100</f>
        <v>100</v>
      </c>
      <c r="I43" s="2956" t="s">
        <v>3692</v>
      </c>
      <c r="J43" s="435">
        <f>SUMIF(123:123,I43,124:124)-SUMIF(123:123,C43,124:124)+100</f>
        <v>100</v>
      </c>
      <c r="K43" s="612"/>
      <c r="L43" s="1143"/>
      <c r="M43" s="1134"/>
      <c r="N43" s="1134"/>
      <c r="O43" s="1134"/>
      <c r="P43" s="3218"/>
      <c r="Q43" s="1813" t="str">
        <f t="shared" si="11"/>
        <v>内部装修</v>
      </c>
      <c r="R43" s="774" t="s">
        <v>17</v>
      </c>
      <c r="S43" s="775">
        <f t="shared" si="12"/>
        <v>100</v>
      </c>
      <c r="T43" s="774" t="s">
        <v>17</v>
      </c>
      <c r="U43" s="775">
        <f t="shared" si="13"/>
        <v>100</v>
      </c>
      <c r="V43" s="774" t="s">
        <v>17</v>
      </c>
      <c r="W43" s="775">
        <f t="shared" si="14"/>
        <v>100</v>
      </c>
      <c r="X43" s="1816"/>
      <c r="Y43" s="3220"/>
      <c r="Z43" s="1817" t="str">
        <f t="shared" si="15"/>
        <v>内部装修</v>
      </c>
      <c r="AA43" s="1814">
        <f t="shared" si="3"/>
        <v>1</v>
      </c>
      <c r="AB43" s="1814">
        <f t="shared" si="4"/>
        <v>1</v>
      </c>
      <c r="AC43" s="2681">
        <f t="shared" si="5"/>
        <v>1</v>
      </c>
    </row>
    <row r="44" spans="1:29" ht="15.75" thickBot="1">
      <c r="A44" s="472"/>
      <c r="B44" s="422" t="s">
        <v>2574</v>
      </c>
      <c r="C44" s="2956" t="s">
        <v>3678</v>
      </c>
      <c r="D44" s="435">
        <v>100</v>
      </c>
      <c r="E44" s="2956" t="s">
        <v>3678</v>
      </c>
      <c r="F44" s="461">
        <f>SUMIF(125:125,E44,126:126)-SUMIF(125:125,C44,126:126)+100</f>
        <v>100</v>
      </c>
      <c r="G44" s="2956" t="s">
        <v>3678</v>
      </c>
      <c r="H44" s="435">
        <f>SUMIF(125:125,G44,126:126)-SUMIF(125:125,C44,126:126)+100</f>
        <v>100</v>
      </c>
      <c r="I44" s="2956" t="s">
        <v>3678</v>
      </c>
      <c r="J44" s="435">
        <f>SUMIF(125:125,I44,126:126)-SUMIF(125:125,C44,126:126)+100</f>
        <v>100</v>
      </c>
      <c r="K44" s="612"/>
      <c r="L44" s="1143"/>
      <c r="M44" s="1134"/>
      <c r="N44" s="1134"/>
      <c r="O44" s="1134"/>
      <c r="P44" s="3218"/>
      <c r="Q44" s="1813" t="str">
        <f t="shared" si="11"/>
        <v>内部装修维护情况</v>
      </c>
      <c r="R44" s="774" t="s">
        <v>17</v>
      </c>
      <c r="S44" s="775">
        <f t="shared" si="12"/>
        <v>100</v>
      </c>
      <c r="T44" s="774" t="s">
        <v>17</v>
      </c>
      <c r="U44" s="775">
        <f t="shared" si="13"/>
        <v>100</v>
      </c>
      <c r="V44" s="774" t="s">
        <v>17</v>
      </c>
      <c r="W44" s="775">
        <f t="shared" si="14"/>
        <v>100</v>
      </c>
      <c r="X44" s="1816"/>
      <c r="Y44" s="3220"/>
      <c r="Z44" s="1817" t="str">
        <f t="shared" si="15"/>
        <v>内部装修维护情况</v>
      </c>
      <c r="AA44" s="1814">
        <f t="shared" si="3"/>
        <v>1</v>
      </c>
      <c r="AB44" s="1814">
        <f t="shared" si="4"/>
        <v>1</v>
      </c>
      <c r="AC44" s="2681">
        <f t="shared" si="5"/>
        <v>1</v>
      </c>
    </row>
    <row r="45" spans="1:29" s="116" customFormat="1" ht="15" hidden="1">
      <c r="A45" s="473"/>
      <c r="B45" s="1388">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18"/>
      <c r="Q45" s="1798">
        <f t="shared" si="11"/>
        <v>111</v>
      </c>
      <c r="R45" s="770" t="s">
        <v>17</v>
      </c>
      <c r="S45" s="771">
        <f t="shared" si="12"/>
        <v>100</v>
      </c>
      <c r="T45" s="770" t="s">
        <v>17</v>
      </c>
      <c r="U45" s="771">
        <f t="shared" si="13"/>
        <v>100</v>
      </c>
      <c r="V45" s="770" t="s">
        <v>17</v>
      </c>
      <c r="W45" s="771">
        <f t="shared" si="14"/>
        <v>100</v>
      </c>
      <c r="X45" s="772"/>
      <c r="Y45" s="3220"/>
      <c r="Z45" s="54">
        <f t="shared" si="15"/>
        <v>111</v>
      </c>
      <c r="AA45" s="773">
        <f t="shared" si="3"/>
        <v>1</v>
      </c>
      <c r="AB45" s="773">
        <f t="shared" si="4"/>
        <v>1</v>
      </c>
      <c r="AC45" s="2678">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2681">
        <f t="shared" si="5"/>
        <v>1</v>
      </c>
    </row>
    <row r="47" spans="1:29" ht="15.75" hidden="1"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3">
        <f t="shared" si="11"/>
        <v>111</v>
      </c>
      <c r="R47" s="774" t="s">
        <v>17</v>
      </c>
      <c r="S47" s="775">
        <f t="shared" si="12"/>
        <v>100</v>
      </c>
      <c r="T47" s="774" t="s">
        <v>17</v>
      </c>
      <c r="U47" s="775">
        <f t="shared" si="13"/>
        <v>100</v>
      </c>
      <c r="V47" s="774" t="s">
        <v>17</v>
      </c>
      <c r="W47" s="775">
        <f t="shared" si="14"/>
        <v>100</v>
      </c>
      <c r="X47" s="1816"/>
      <c r="Y47" s="3221"/>
      <c r="Z47" s="1817">
        <f t="shared" si="15"/>
        <v>111</v>
      </c>
      <c r="AA47" s="1814">
        <f t="shared" si="3"/>
        <v>1</v>
      </c>
      <c r="AB47" s="1814">
        <f t="shared" si="4"/>
        <v>1</v>
      </c>
      <c r="AC47" s="2681">
        <f t="shared" si="5"/>
        <v>1</v>
      </c>
    </row>
    <row r="48" spans="1:29" ht="15">
      <c r="A48" s="479" t="s">
        <v>2575</v>
      </c>
      <c r="B48" s="480"/>
      <c r="C48" s="1409" t="s">
        <v>1</v>
      </c>
      <c r="D48" s="1410"/>
      <c r="E48" s="1411">
        <v>7500</v>
      </c>
      <c r="F48" s="1412"/>
      <c r="G48" s="1413">
        <v>7400</v>
      </c>
      <c r="H48" s="1414"/>
      <c r="I48" s="1411">
        <f>ROUND(9600*0.98,0)</f>
        <v>9408</v>
      </c>
      <c r="J48" s="485"/>
      <c r="K48" s="783"/>
      <c r="L48" s="1146"/>
      <c r="M48" s="1134"/>
      <c r="N48" s="1134"/>
      <c r="O48" s="1134"/>
      <c r="P48" s="3193" t="str">
        <f>A48</f>
        <v>成交单价（元/平方米）</v>
      </c>
      <c r="Q48" s="3222"/>
      <c r="R48" s="3223">
        <f>E48</f>
        <v>7500</v>
      </c>
      <c r="S48" s="3223"/>
      <c r="T48" s="3223">
        <f>G48</f>
        <v>7400</v>
      </c>
      <c r="U48" s="3223"/>
      <c r="V48" s="3223">
        <f>I48</f>
        <v>9408</v>
      </c>
      <c r="W48" s="3223"/>
      <c r="X48" s="446"/>
      <c r="Y48" s="781"/>
      <c r="Z48" s="446"/>
      <c r="AA48" s="446"/>
      <c r="AB48" s="446"/>
      <c r="AC48" s="630"/>
    </row>
    <row r="49" spans="1:29" ht="15.75" thickBot="1">
      <c r="A49" s="486" t="s">
        <v>2667</v>
      </c>
      <c r="B49" s="487"/>
      <c r="C49" s="1415">
        <f>R50</f>
        <v>8333</v>
      </c>
      <c r="D49" s="1416"/>
      <c r="E49" s="1417">
        <f>R49</f>
        <v>7774</v>
      </c>
      <c r="F49" s="1417"/>
      <c r="G49" s="1415">
        <f>T49</f>
        <v>7911</v>
      </c>
      <c r="H49" s="1416"/>
      <c r="I49" s="1417">
        <f>V49</f>
        <v>9315</v>
      </c>
      <c r="J49" s="489"/>
      <c r="K49" s="784"/>
      <c r="L49" s="1146"/>
      <c r="M49" s="1134"/>
      <c r="N49" s="1134"/>
      <c r="O49" s="1134"/>
      <c r="P49" s="3193" t="str">
        <f>A49</f>
        <v>比较价值（元/平方米）</v>
      </c>
      <c r="Q49" s="3222"/>
      <c r="R49" s="3223">
        <f>IF(F1="售价",ROUND(PRODUCT(R48,AA7:AA47),0),ROUND(PRODUCT(R48,AA7:AA47),1))</f>
        <v>7774</v>
      </c>
      <c r="S49" s="3223"/>
      <c r="T49" s="3223">
        <f>IF(F1="售价",ROUND(PRODUCT(T48,AB7:AB47),0),ROUND(PRODUCT(T48,AB7:AB47),1))</f>
        <v>7911</v>
      </c>
      <c r="U49" s="3223"/>
      <c r="V49" s="3223">
        <f>IF(F1="售价",ROUND(PRODUCT(V48,AC7:AC47),0),ROUND(PRODUCT(V48,AC7:AC47),1))</f>
        <v>9315</v>
      </c>
      <c r="W49" s="3223"/>
      <c r="X49" s="446"/>
      <c r="Y49" s="446"/>
      <c r="Z49" s="446"/>
      <c r="AA49" s="446"/>
      <c r="AB49" s="446"/>
      <c r="AC49" s="630"/>
    </row>
    <row r="50" spans="1:29" ht="15.75" thickBot="1">
      <c r="A50" s="492" t="s">
        <v>2668</v>
      </c>
      <c r="B50" s="493"/>
      <c r="C50" s="1419">
        <f>R50</f>
        <v>8333</v>
      </c>
      <c r="D50" s="1419"/>
      <c r="E50" s="1419"/>
      <c r="F50" s="1419"/>
      <c r="G50" s="1419"/>
      <c r="H50" s="1419"/>
      <c r="I50" s="1419"/>
      <c r="J50" s="494"/>
      <c r="K50" s="785"/>
      <c r="L50" s="1146"/>
      <c r="M50" s="1134"/>
      <c r="N50" s="1134"/>
      <c r="O50" s="1134"/>
      <c r="P50" s="3224" t="str">
        <f>A50</f>
        <v>估价对象XX用房的比较价值（楼面单价，元/平方米）</v>
      </c>
      <c r="Q50" s="3225"/>
      <c r="R50" s="3226">
        <f>IF(F1="售价",ROUND(AVERAGE(R49:V49),0),ROUND(AVERAGE(R49:V49),1))</f>
        <v>8333</v>
      </c>
      <c r="S50" s="3226"/>
      <c r="T50" s="3226"/>
      <c r="U50" s="3226"/>
      <c r="V50" s="3226"/>
      <c r="W50" s="3226"/>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3.6533333333333307E-2</v>
      </c>
      <c r="F53" s="500" t="str">
        <f>IF(OR(E53&gt;=0.3,E53&lt;=-0.3),"超过30%","")</f>
        <v/>
      </c>
      <c r="G53" s="499">
        <f>IF(G48&lt;G49,G49/G48-1,G48/G49-1)</f>
        <v>6.905405405405407E-2</v>
      </c>
      <c r="H53" s="500" t="str">
        <f>IF(OR(G53&gt;=0.3,G53&lt;=-0.3),"超过30%","")</f>
        <v/>
      </c>
      <c r="I53" s="499">
        <f>IF(I48&lt;I49,I49/I48-1,I48/I49-1)</f>
        <v>9.9838969404186795E-3</v>
      </c>
      <c r="J53" s="500" t="str">
        <f>IF(OR(I53&gt;=0.3,I53&lt;=-0.3),"超过30%","")</f>
        <v/>
      </c>
      <c r="K53" s="1108"/>
      <c r="L53" s="1109"/>
      <c r="M53" s="1147"/>
      <c r="N53" s="1147"/>
      <c r="O53" s="1147"/>
    </row>
    <row r="54" spans="1:29" ht="13.5" customHeight="1">
      <c r="A54" s="1147"/>
      <c r="B54" s="1147"/>
      <c r="C54" s="497" t="s">
        <v>2670</v>
      </c>
      <c r="D54" s="501"/>
      <c r="E54" s="499">
        <f>IF(E49&lt;G49,G49/E49-1,E49/G49-1)</f>
        <v>1.7622845382042618E-2</v>
      </c>
      <c r="F54" s="500" t="str">
        <f>IF(OR(E54&gt;=0.2,E54&lt;=-0.2),"超过20%","")</f>
        <v/>
      </c>
      <c r="G54" s="499">
        <f>IF(G49&lt;I49,I49/G49-1,G49/I49-1)</f>
        <v>0.1774744027303754</v>
      </c>
      <c r="H54" s="500" t="str">
        <f>IF(OR(G54&gt;=0.2,G54&lt;=-0.2),"超过20%","")</f>
        <v/>
      </c>
      <c r="I54" s="499">
        <f>IF(I49&lt;E49,E49/I49-1,I49/E49-1)</f>
        <v>0.19822485207100593</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1.3513513513513598E-2</v>
      </c>
      <c r="F55" s="500" t="str">
        <f>IF(OR(E55&gt;=0.3,E55&lt;=-0.3),"超过30%","")</f>
        <v/>
      </c>
      <c r="G55" s="499">
        <f>IF(G48&lt;I48,I48/G48-1,G48/I48-1)</f>
        <v>0.27135135135135124</v>
      </c>
      <c r="H55" s="500" t="str">
        <f>IF(OR(G55&gt;=0.3,G55&lt;=-0.3),"超过30%","")</f>
        <v/>
      </c>
      <c r="I55" s="499">
        <f>IF(I48&lt;E48,E48/I48-1,I48/E48-1)</f>
        <v>0.25439999999999996</v>
      </c>
      <c r="J55" s="500" t="str">
        <f>IF(OR(I55&gt;=0.3,I55&lt;=-0.3),"超过30%","")</f>
        <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8"/>
      <c r="Q58" s="504"/>
    </row>
    <row r="59" spans="1:29" s="508" customFormat="1" ht="15">
      <c r="A59" s="505" t="s">
        <v>2546</v>
      </c>
      <c r="B59" s="506"/>
      <c r="C59" s="1577" t="str">
        <f>YEAR(C7)&amp;"-"&amp;MONTH(C7)</f>
        <v>2017-10</v>
      </c>
      <c r="D59" s="1578">
        <f>EDATE(C59,-1)</f>
        <v>42979</v>
      </c>
      <c r="E59" s="1578">
        <f>EDATE(D59,-1)</f>
        <v>42948</v>
      </c>
      <c r="F59" s="1578">
        <f t="shared" ref="F59:O59" si="16">EDATE(E59,-1)</f>
        <v>42917</v>
      </c>
      <c r="G59" s="1578">
        <f t="shared" si="16"/>
        <v>42887</v>
      </c>
      <c r="H59" s="1578">
        <f t="shared" si="16"/>
        <v>42856</v>
      </c>
      <c r="I59" s="1578">
        <f t="shared" si="16"/>
        <v>42826</v>
      </c>
      <c r="J59" s="1578">
        <f t="shared" si="16"/>
        <v>42795</v>
      </c>
      <c r="K59" s="1578">
        <f t="shared" si="16"/>
        <v>42767</v>
      </c>
      <c r="L59" s="1578">
        <f t="shared" si="16"/>
        <v>42736</v>
      </c>
      <c r="M59" s="1578">
        <f t="shared" si="16"/>
        <v>42705</v>
      </c>
      <c r="N59" s="1578">
        <f t="shared" si="16"/>
        <v>42675</v>
      </c>
      <c r="O59" s="1578">
        <f t="shared" si="16"/>
        <v>42644</v>
      </c>
      <c r="P59" s="1574"/>
    </row>
    <row r="60" spans="1:29" s="116" customFormat="1" ht="15">
      <c r="A60" s="509"/>
      <c r="B60" s="510"/>
      <c r="C60" s="1576">
        <v>100</v>
      </c>
      <c r="D60" s="512">
        <v>96</v>
      </c>
      <c r="E60" s="512">
        <v>92</v>
      </c>
      <c r="F60" s="512">
        <v>88</v>
      </c>
      <c r="G60" s="512">
        <v>84</v>
      </c>
      <c r="H60" s="512"/>
      <c r="I60" s="512"/>
      <c r="J60" s="512"/>
      <c r="K60" s="512"/>
      <c r="L60" s="512"/>
      <c r="M60" s="513"/>
      <c r="N60" s="512"/>
      <c r="O60" s="513"/>
      <c r="P60" s="2689"/>
    </row>
    <row r="61" spans="1:29" s="116" customFormat="1" ht="15.75" thickBot="1">
      <c r="A61" s="515" t="s">
        <v>2583</v>
      </c>
      <c r="B61" s="516"/>
      <c r="C61" s="517"/>
      <c r="D61" s="518"/>
      <c r="E61" s="518"/>
      <c r="F61" s="518"/>
      <c r="G61" s="518"/>
      <c r="H61" s="518"/>
      <c r="I61" s="518"/>
      <c r="J61" s="518"/>
      <c r="K61" s="518"/>
      <c r="L61" s="518"/>
      <c r="M61" s="519"/>
      <c r="N61" s="518"/>
      <c r="O61" s="519"/>
      <c r="P61" s="2689"/>
      <c r="Q61" s="504"/>
    </row>
    <row r="62" spans="1:29" s="116" customFormat="1" ht="15">
      <c r="A62" s="521" t="s">
        <v>2548</v>
      </c>
      <c r="B62" s="510"/>
      <c r="C62" s="522" t="s">
        <v>2650</v>
      </c>
      <c r="D62" s="523"/>
      <c r="E62" s="523"/>
      <c r="F62" s="523"/>
      <c r="G62" s="523"/>
      <c r="H62" s="523"/>
      <c r="I62" s="523"/>
      <c r="J62" s="523"/>
      <c r="K62" s="523"/>
      <c r="L62" s="524"/>
      <c r="M62" s="525"/>
      <c r="N62" s="1154"/>
      <c r="O62" s="1154"/>
      <c r="P62" s="2690"/>
      <c r="Q62" s="504"/>
    </row>
    <row r="63" spans="1:29" s="116"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2586</v>
      </c>
      <c r="B64" s="528" t="s">
        <v>2552</v>
      </c>
      <c r="C64" s="529" t="str">
        <f>C9</f>
        <v>办公</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9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91"/>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v>0</v>
      </c>
      <c r="D69" s="549">
        <v>1</v>
      </c>
      <c r="E69" s="549">
        <v>2</v>
      </c>
      <c r="F69" s="549">
        <v>3</v>
      </c>
      <c r="G69" s="549">
        <v>4</v>
      </c>
      <c r="H69" s="549">
        <v>5</v>
      </c>
      <c r="I69" s="549">
        <v>6</v>
      </c>
      <c r="J69" s="549"/>
      <c r="K69" s="550"/>
      <c r="L69" s="551"/>
      <c r="M69" s="552"/>
      <c r="N69" s="1155"/>
      <c r="O69" s="1155"/>
      <c r="P69" s="2691"/>
      <c r="Q69" s="504"/>
    </row>
    <row r="70" spans="1:17" ht="15.75" thickBot="1">
      <c r="A70" s="534"/>
      <c r="B70" s="535"/>
      <c r="C70" s="544">
        <v>100</v>
      </c>
      <c r="D70" s="544">
        <f t="shared" ref="D70:M70" si="18">C70-$K11</f>
        <v>96</v>
      </c>
      <c r="E70" s="544">
        <f t="shared" si="18"/>
        <v>92</v>
      </c>
      <c r="F70" s="544">
        <f t="shared" si="18"/>
        <v>88</v>
      </c>
      <c r="G70" s="544">
        <f t="shared" si="18"/>
        <v>84</v>
      </c>
      <c r="H70" s="544">
        <f t="shared" si="18"/>
        <v>80</v>
      </c>
      <c r="I70" s="544">
        <f t="shared" si="18"/>
        <v>76</v>
      </c>
      <c r="J70" s="544">
        <f t="shared" si="18"/>
        <v>72</v>
      </c>
      <c r="K70" s="544">
        <f t="shared" si="18"/>
        <v>68</v>
      </c>
      <c r="L70" s="544">
        <f t="shared" si="18"/>
        <v>64</v>
      </c>
      <c r="M70" s="545">
        <f t="shared" si="18"/>
        <v>60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2557</v>
      </c>
      <c r="B77" s="528" t="s">
        <v>2694</v>
      </c>
      <c r="C77" s="573" t="s">
        <v>2595</v>
      </c>
      <c r="D77" s="573" t="s">
        <v>2596</v>
      </c>
      <c r="E77" s="573" t="s">
        <v>2597</v>
      </c>
      <c r="F77" s="573" t="s">
        <v>2598</v>
      </c>
      <c r="G77" s="573" t="s">
        <v>2599</v>
      </c>
      <c r="H77" s="529"/>
      <c r="I77" s="529"/>
      <c r="J77" s="529"/>
      <c r="K77" s="574"/>
      <c r="L77" s="575"/>
      <c r="M77" s="576"/>
      <c r="N77" s="1155"/>
      <c r="O77" s="1155"/>
      <c r="P77" s="269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9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9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9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2687</v>
      </c>
      <c r="C83" s="660" t="s">
        <v>2673</v>
      </c>
      <c r="D83" s="660" t="s">
        <v>2674</v>
      </c>
      <c r="E83" s="660" t="s">
        <v>2675</v>
      </c>
      <c r="F83" s="660" t="s">
        <v>2676</v>
      </c>
      <c r="G83" s="660" t="s">
        <v>2677</v>
      </c>
      <c r="H83" s="539"/>
      <c r="I83" s="539"/>
      <c r="J83" s="539"/>
      <c r="K83" s="539"/>
      <c r="L83" s="539"/>
      <c r="M83" s="1384"/>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2695</v>
      </c>
      <c r="C85" s="578" t="s">
        <v>2595</v>
      </c>
      <c r="D85" s="578" t="s">
        <v>2596</v>
      </c>
      <c r="E85" s="578" t="s">
        <v>2597</v>
      </c>
      <c r="F85" s="578" t="s">
        <v>2598</v>
      </c>
      <c r="G85" s="578" t="s">
        <v>2599</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6" customFormat="1" ht="27.75" thickTop="1">
      <c r="A87" s="579"/>
      <c r="B87" s="538" t="s">
        <v>2696</v>
      </c>
      <c r="C87" s="2958" t="s">
        <v>3693</v>
      </c>
      <c r="D87" s="2958" t="s">
        <v>3694</v>
      </c>
      <c r="E87" s="2958" t="s">
        <v>3695</v>
      </c>
      <c r="F87" s="2958" t="s">
        <v>3696</v>
      </c>
      <c r="G87" s="554"/>
      <c r="H87" s="554"/>
      <c r="I87" s="554"/>
      <c r="J87" s="554"/>
      <c r="K87" s="554"/>
      <c r="L87" s="580"/>
      <c r="M87" s="581"/>
      <c r="N87" s="1154"/>
      <c r="O87" s="1154"/>
      <c r="P87" s="2691"/>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6"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2561</v>
      </c>
      <c r="B101" s="528" t="s">
        <v>2610</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29.25" thickTop="1">
      <c r="A103" s="534"/>
      <c r="B103" s="538" t="s">
        <v>2611</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v>0</v>
      </c>
      <c r="D104" s="595">
        <v>100000</v>
      </c>
      <c r="E104" s="595">
        <v>200000</v>
      </c>
      <c r="F104" s="595">
        <v>300000</v>
      </c>
      <c r="G104" s="595">
        <v>400000</v>
      </c>
      <c r="H104" s="595"/>
      <c r="I104" s="595"/>
      <c r="J104" s="596"/>
      <c r="K104" s="596"/>
      <c r="L104" s="597"/>
      <c r="M104" s="598"/>
      <c r="N104" s="1157"/>
      <c r="O104" s="1157"/>
      <c r="P104" s="2692"/>
      <c r="Q104" s="559"/>
    </row>
    <row r="105" spans="1:17" s="471" customFormat="1" ht="15.75" thickBot="1">
      <c r="A105" s="553"/>
      <c r="B105" s="543"/>
      <c r="C105" s="560">
        <v>100</v>
      </c>
      <c r="D105" s="536">
        <v>100.5</v>
      </c>
      <c r="E105" s="536">
        <v>101</v>
      </c>
      <c r="F105" s="536">
        <v>101.5</v>
      </c>
      <c r="G105" s="536">
        <v>102</v>
      </c>
      <c r="H105" s="536"/>
      <c r="I105" s="536"/>
      <c r="J105" s="536"/>
      <c r="K105" s="536"/>
      <c r="L105" s="536"/>
      <c r="M105" s="537"/>
      <c r="N105" s="1156"/>
      <c r="O105" s="1156"/>
      <c r="P105" s="2692"/>
      <c r="Q105" s="559"/>
    </row>
    <row r="106" spans="1:17" ht="15" thickTop="1">
      <c r="A106" s="599"/>
      <c r="B106" s="538" t="s">
        <v>2612</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2614</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2615</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2616</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2698</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2618</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opLeftCell="J37" zoomScale="90" zoomScaleNormal="90" zoomScaleSheetLayoutView="90" workbookViewId="0">
      <selection activeCell="N70" sqref="N7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3041</v>
      </c>
      <c r="D1" s="1823" t="s">
        <v>70</v>
      </c>
      <c r="E1" s="1824" t="s">
        <v>1388</v>
      </c>
      <c r="F1" s="1285">
        <f ca="1">J53</f>
        <v>34.65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74</v>
      </c>
      <c r="C2" s="1848" t="s">
        <v>1518</v>
      </c>
      <c r="D2" s="1848"/>
      <c r="E2" s="1849"/>
      <c r="F2" s="1850"/>
      <c r="G2" s="1851"/>
      <c r="H2" s="1843"/>
      <c r="I2" s="1843"/>
      <c r="J2" s="1843"/>
      <c r="K2" s="1844"/>
      <c r="L2" s="1843"/>
      <c r="M2" s="1843"/>
    </row>
    <row r="3" spans="1:37" ht="18" customHeight="1" thickBot="1">
      <c r="A3" s="1852" t="s">
        <v>1519</v>
      </c>
      <c r="B3" s="1853">
        <f ca="1">IF(ISERROR(B2*10000/F43),0,ROUND(B2*10000/F43,0))</f>
        <v>7482</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5</v>
      </c>
      <c r="D5" s="1825" t="s">
        <v>1403</v>
      </c>
      <c r="E5" s="1295"/>
      <c r="F5" s="1296"/>
      <c r="G5" s="1854"/>
      <c r="H5" s="344">
        <v>1</v>
      </c>
      <c r="I5" s="345" t="s">
        <v>1402</v>
      </c>
      <c r="J5" s="1294">
        <f ca="1">J6+J10+J12</f>
        <v>0</v>
      </c>
      <c r="K5" s="1825" t="s">
        <v>1403</v>
      </c>
      <c r="L5" s="1295"/>
      <c r="M5" s="1296"/>
    </row>
    <row r="6" spans="1:37" ht="18" customHeight="1">
      <c r="A6" s="1293" t="s">
        <v>1035</v>
      </c>
      <c r="B6" s="3229" t="s">
        <v>1404</v>
      </c>
      <c r="C6" s="1298">
        <f ca="1">ROUND(F6*F8*F7*(1-F9)/10000,0)</f>
        <v>5</v>
      </c>
      <c r="D6" s="164" t="s">
        <v>3029</v>
      </c>
      <c r="E6" s="347" t="s">
        <v>1406</v>
      </c>
      <c r="F6" s="348">
        <f ca="1">INDIRECT("'数据-取费表'!u"&amp;$G$1)</f>
        <v>1.5</v>
      </c>
      <c r="G6" s="1854"/>
      <c r="H6" s="1293" t="s">
        <v>1035</v>
      </c>
      <c r="I6" s="3229" t="s">
        <v>1404</v>
      </c>
      <c r="J6" s="346">
        <f ca="1">ROUND(M6*M8*M7*(1-M9)/10000,0)</f>
        <v>0</v>
      </c>
      <c r="K6" s="164" t="s">
        <v>3028</v>
      </c>
      <c r="L6" s="347" t="s">
        <v>1406</v>
      </c>
      <c r="M6" s="348">
        <f ca="1">INDIRECT("'数据-取费表'!z"&amp;$G$1)</f>
        <v>0</v>
      </c>
    </row>
    <row r="7" spans="1:37" ht="18" customHeight="1">
      <c r="A7" s="1297"/>
      <c r="B7" s="3230"/>
      <c r="C7" s="1299"/>
      <c r="D7" s="352"/>
      <c r="E7" s="1300" t="s">
        <v>1407</v>
      </c>
      <c r="F7" s="348">
        <f ca="1">IF(INDIRECT("'数据-取费表'!ah"&amp;$G$1)="",INDIRECT("'数据-取费表'!k"&amp;$G$1),INDIRECT("'数据-取费表'!ah"&amp;$G$1))</f>
        <v>98.91</v>
      </c>
      <c r="G7" s="1854"/>
      <c r="H7" s="349"/>
      <c r="I7" s="3230"/>
      <c r="J7" s="351"/>
      <c r="K7" s="352"/>
      <c r="L7" s="347" t="s">
        <v>1407</v>
      </c>
      <c r="M7" s="348">
        <f ca="1">F7</f>
        <v>98.91</v>
      </c>
    </row>
    <row r="8" spans="1:37" ht="18" customHeight="1">
      <c r="A8" s="349"/>
      <c r="B8" s="3230"/>
      <c r="C8" s="351"/>
      <c r="D8" s="352"/>
      <c r="E8" s="347" t="s">
        <v>1408</v>
      </c>
      <c r="F8" s="348">
        <f ca="1">INDIRECT("'数据-取费表'!ai"&amp;$G$1)</f>
        <v>365</v>
      </c>
      <c r="G8" s="1854"/>
      <c r="H8" s="349"/>
      <c r="I8" s="3230"/>
      <c r="J8" s="351"/>
      <c r="K8" s="352"/>
      <c r="L8" s="347" t="s">
        <v>1408</v>
      </c>
      <c r="M8" s="348">
        <f ca="1">INDIRECT("'数据-取费表'!ai"&amp;$G$1)</f>
        <v>365</v>
      </c>
    </row>
    <row r="9" spans="1:37" ht="18" customHeight="1">
      <c r="A9" s="349"/>
      <c r="B9" s="3231"/>
      <c r="C9" s="351"/>
      <c r="D9" s="352"/>
      <c r="E9" s="347" t="s">
        <v>1409</v>
      </c>
      <c r="F9" s="357">
        <f ca="1">INDIRECT("'数据-取费表'!w"&amp;$G$1)</f>
        <v>0.1</v>
      </c>
      <c r="G9" s="1854"/>
      <c r="H9" s="349"/>
      <c r="I9" s="323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3030</v>
      </c>
      <c r="E10" s="358" t="s">
        <v>1412</v>
      </c>
      <c r="F10" s="1368" t="s">
        <v>3697</v>
      </c>
      <c r="G10" s="1854"/>
      <c r="H10" s="1293" t="s">
        <v>1039</v>
      </c>
      <c r="I10" s="1826" t="s">
        <v>1410</v>
      </c>
      <c r="J10" s="346">
        <f ca="1">ROUND(IF(M10="押一",M6*M8*M7/12*M11,IF(M10="押二",M6*M8*M7/12*2*M11,IF(M10="押三",M6*M8*M7/12*3*M11,J11*M11)))/10000,0)</f>
        <v>0</v>
      </c>
      <c r="K10" s="1827" t="s">
        <v>3031</v>
      </c>
      <c r="L10" s="358" t="s">
        <v>1412</v>
      </c>
      <c r="M10" s="1368" t="s">
        <v>1413</v>
      </c>
    </row>
    <row r="11" spans="1:37" ht="18" customHeight="1">
      <c r="A11" s="353"/>
      <c r="B11" s="1828" t="s">
        <v>1389</v>
      </c>
      <c r="C11" s="1181"/>
      <c r="D11" s="1829"/>
      <c r="E11" s="358" t="s">
        <v>1414</v>
      </c>
      <c r="F11" s="359">
        <f ca="1">'数据-取费表'!B39</f>
        <v>1.4999999999999999E-2</v>
      </c>
      <c r="G11" s="1854"/>
      <c r="H11" s="1301"/>
      <c r="I11" s="1828" t="s">
        <v>1389</v>
      </c>
      <c r="J11" s="1181"/>
      <c r="K11" s="748"/>
      <c r="L11" s="358" t="s">
        <v>1414</v>
      </c>
      <c r="M11" s="1059">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37</v>
      </c>
      <c r="D13" s="1333" t="s">
        <v>1417</v>
      </c>
      <c r="E13" s="1333" t="s">
        <v>1418</v>
      </c>
      <c r="F13" s="1334">
        <f ca="1">INDIRECT("'数据-取费表'!y"&amp;$G$1)</f>
        <v>0.98</v>
      </c>
      <c r="G13" s="1854"/>
      <c r="H13" s="1331">
        <v>2</v>
      </c>
      <c r="I13" s="1332" t="s">
        <v>1416</v>
      </c>
      <c r="J13" s="1292">
        <f ca="1">ROUND(J14*J15,0)</f>
        <v>0</v>
      </c>
      <c r="K13" s="1339" t="s">
        <v>1417</v>
      </c>
      <c r="L13" s="1855"/>
      <c r="M13" s="1856"/>
    </row>
    <row r="14" spans="1:37" ht="18" customHeight="1">
      <c r="A14" s="1204" t="s">
        <v>1034</v>
      </c>
      <c r="B14" s="347" t="s">
        <v>1419</v>
      </c>
      <c r="C14" s="363">
        <f ca="1">INDIRECT("'数据-取费表'!m"&amp;$G$1)+INDIRECT("'数据-取费表'!t"&amp;$G$1)</f>
        <v>28</v>
      </c>
      <c r="D14" s="1803" t="s">
        <v>1420</v>
      </c>
      <c r="E14" s="1797"/>
      <c r="F14" s="364"/>
      <c r="G14" s="1854"/>
      <c r="H14" s="1204" t="s">
        <v>1035</v>
      </c>
      <c r="I14" s="347" t="s">
        <v>1421</v>
      </c>
      <c r="J14" s="23">
        <f ca="1">C29</f>
        <v>38</v>
      </c>
      <c r="K14" s="14"/>
      <c r="L14" s="982"/>
      <c r="M14" s="983"/>
    </row>
    <row r="15" spans="1:37" s="1861" customFormat="1" ht="18" customHeight="1" thickBot="1">
      <c r="A15" s="1204" t="s">
        <v>1036</v>
      </c>
      <c r="B15" s="347" t="s">
        <v>1422</v>
      </c>
      <c r="C15" s="23">
        <f ca="1">ROUND(C14*F15,0)</f>
        <v>1</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1</v>
      </c>
      <c r="K16" s="1339" t="s">
        <v>1427</v>
      </c>
      <c r="L16" s="1340"/>
      <c r="M16" s="1296"/>
    </row>
    <row r="17" spans="1:37" s="1861" customFormat="1" ht="18" customHeight="1">
      <c r="A17" s="1204" t="s">
        <v>1391</v>
      </c>
      <c r="B17" s="347" t="s">
        <v>1428</v>
      </c>
      <c r="C17" s="23">
        <f ca="1">ROUND(F17*(F43+INDIRECT("'数据-取费表'!S"&amp;$G$1))/10000,0)</f>
        <v>2</v>
      </c>
      <c r="D17" s="347" t="s">
        <v>1429</v>
      </c>
      <c r="E17" s="347" t="s">
        <v>1430</v>
      </c>
      <c r="F17" s="25">
        <f>'数据-取费表'!B35</f>
        <v>200</v>
      </c>
      <c r="G17" s="1857"/>
      <c r="H17" s="1204" t="s">
        <v>1035</v>
      </c>
      <c r="I17" s="347" t="s">
        <v>1431</v>
      </c>
      <c r="J17" s="23">
        <f ca="1">ROUND(IF(项目基本情况!B11="自然人",J5*M17,J18+J19+J20),1)</f>
        <v>0.4</v>
      </c>
      <c r="K17" s="1803" t="s">
        <v>1432</v>
      </c>
      <c r="L17" s="1801" t="s">
        <v>1433</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7" t="s">
        <v>1434</v>
      </c>
      <c r="C18" s="2977">
        <f ca="1">ROUND(C14*F18,0)</f>
        <v>0</v>
      </c>
      <c r="D18" s="347" t="s">
        <v>1423</v>
      </c>
      <c r="E18" s="347" t="s">
        <v>1424</v>
      </c>
      <c r="F18" s="367">
        <f>'数据-取费表'!B36</f>
        <v>1.4999999999999999E-2</v>
      </c>
      <c r="G18" s="1857"/>
      <c r="H18" s="1204" t="s">
        <v>1034</v>
      </c>
      <c r="I18" s="347" t="s">
        <v>1435</v>
      </c>
      <c r="J18" s="23">
        <f ca="1">ROUND(J5*M18/(1+'数据-取费表'!C42),2)</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1437</v>
      </c>
      <c r="C19" s="23">
        <f ca="1">SUM(C14:C18)</f>
        <v>31</v>
      </c>
      <c r="D19" s="139" t="s">
        <v>1438</v>
      </c>
      <c r="E19" s="1821"/>
      <c r="F19" s="25"/>
      <c r="G19" s="1854"/>
      <c r="H19" s="1204" t="s">
        <v>1036</v>
      </c>
      <c r="I19" s="347" t="s">
        <v>1439</v>
      </c>
      <c r="J19" s="23">
        <f ca="1">IF(K19="按租金收入计税",ROUND(J5*M19,2),ROUND(C29*M19*0.7,2))</f>
        <v>0.32</v>
      </c>
      <c r="K19" s="1831" t="s">
        <v>1440</v>
      </c>
      <c r="L19" s="347" t="s">
        <v>1424</v>
      </c>
      <c r="M19" s="367">
        <f>IF(K19="按租金收入计税",'数据-取费表'!B51,'数据-取费表'!B50)</f>
        <v>1.2E-2</v>
      </c>
    </row>
    <row r="20" spans="1:37" s="1861" customFormat="1" ht="18" customHeight="1">
      <c r="A20" s="1204" t="s">
        <v>1039</v>
      </c>
      <c r="B20" s="347" t="s">
        <v>1441</v>
      </c>
      <c r="C20" s="2977">
        <f ca="1">ROUND(C19*F20,0)</f>
        <v>0</v>
      </c>
      <c r="D20" s="369" t="s">
        <v>1442</v>
      </c>
      <c r="E20" s="347" t="s">
        <v>1424</v>
      </c>
      <c r="F20" s="367">
        <f>'数据-取费表'!B37</f>
        <v>1.4999999999999999E-2</v>
      </c>
      <c r="G20" s="1857"/>
      <c r="H20" s="1204" t="s">
        <v>1390</v>
      </c>
      <c r="I20" s="164" t="s">
        <v>1443</v>
      </c>
      <c r="J20" s="24">
        <f ca="1">ROUND(M20*M21/10000,2)</f>
        <v>0.05</v>
      </c>
      <c r="K20" s="370" t="s">
        <v>1444</v>
      </c>
      <c r="L20" s="347" t="s">
        <v>1445</v>
      </c>
      <c r="M20" s="371">
        <f>'数据-取费表'!B52</f>
        <v>16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1446</v>
      </c>
      <c r="C21" s="23" t="s">
        <v>18</v>
      </c>
      <c r="D21" s="369" t="s">
        <v>1447</v>
      </c>
      <c r="E21" s="347" t="s">
        <v>1448</v>
      </c>
      <c r="F21" s="367">
        <f>'数据-取费表'!B38</f>
        <v>0.03</v>
      </c>
      <c r="G21" s="1857"/>
      <c r="H21" s="372"/>
      <c r="I21" s="356"/>
      <c r="J21" s="28"/>
      <c r="K21" s="373"/>
      <c r="L21" s="347" t="s">
        <v>1449</v>
      </c>
      <c r="M21" s="348">
        <f ca="1">INDIRECT("'数据-取费表'!r"&amp;$G$1)</f>
        <v>33.96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7" t="s">
        <v>1450</v>
      </c>
      <c r="C22" s="23"/>
      <c r="D22" s="139" t="str">
        <f>IF(F23&lt;=1,"单利计息。","复利计息。")&amp;"建造成本、管理费用、销售费用产生的利息。"</f>
        <v>复利计息。建造成本、管理费用、销售费用产生的利息。</v>
      </c>
      <c r="E22" s="1821"/>
      <c r="F22" s="25"/>
      <c r="G22" s="1854"/>
      <c r="H22" s="1204" t="s">
        <v>1039</v>
      </c>
      <c r="I22" s="347" t="s">
        <v>1451</v>
      </c>
      <c r="J22" s="23">
        <f ca="1">ROUND(J14*M22,1)</f>
        <v>0.8</v>
      </c>
      <c r="K22" s="1801" t="s">
        <v>1452</v>
      </c>
      <c r="L22" s="347" t="s">
        <v>1424</v>
      </c>
      <c r="M22" s="374">
        <f ca="1">INDIRECT("'数据-取费表'!Ak"&amp;$G$1)</f>
        <v>0.02</v>
      </c>
    </row>
    <row r="23" spans="1:37" s="1861" customFormat="1" ht="18" customHeight="1">
      <c r="A23" s="1204" t="s">
        <v>1034</v>
      </c>
      <c r="B23" s="347" t="s">
        <v>1453</v>
      </c>
      <c r="C23" s="23">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1454</v>
      </c>
      <c r="F23" s="371">
        <f>'数据-取费表'!B20</f>
        <v>2</v>
      </c>
      <c r="G23" s="1857"/>
      <c r="H23" s="1204" t="s">
        <v>1075</v>
      </c>
      <c r="I23" s="347" t="s">
        <v>1455</v>
      </c>
      <c r="J23" s="23">
        <f ca="1">ROUND(J13*M23,1)</f>
        <v>0</v>
      </c>
      <c r="K23" s="1801" t="s">
        <v>1456</v>
      </c>
      <c r="L23" s="347" t="s">
        <v>1457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7" t="s">
        <v>1459</v>
      </c>
      <c r="C24" s="23">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1462</v>
      </c>
      <c r="B25" s="347" t="s">
        <v>1463</v>
      </c>
      <c r="C25" s="23"/>
      <c r="D25" s="139" t="s">
        <v>1464</v>
      </c>
      <c r="E25" s="1821"/>
      <c r="F25" s="25"/>
      <c r="G25" s="1854"/>
      <c r="H25" s="1331" t="s">
        <v>1031</v>
      </c>
      <c r="I25" s="1346" t="s">
        <v>1465</v>
      </c>
      <c r="J25" s="355">
        <f ca="1">J5-J16</f>
        <v>-1</v>
      </c>
      <c r="K25" s="1347" t="s">
        <v>1466</v>
      </c>
      <c r="L25" s="1348"/>
      <c r="M25" s="1349"/>
    </row>
    <row r="26" spans="1:37">
      <c r="A26" s="1204" t="s">
        <v>1034</v>
      </c>
      <c r="B26" s="347" t="s">
        <v>1467</v>
      </c>
      <c r="C26" s="23">
        <f ca="1">ROUND((C19+C20)*F26,0)</f>
        <v>3</v>
      </c>
      <c r="D26" s="369" t="s">
        <v>1468</v>
      </c>
      <c r="E26" s="358" t="s">
        <v>1469</v>
      </c>
      <c r="F26" s="357">
        <f ca="1">INDIRECT("'数据-取费表'!q"&amp;$G$1)</f>
        <v>0.1</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4" t="s">
        <v>1036</v>
      </c>
      <c r="B27" s="347" t="s">
        <v>1473</v>
      </c>
      <c r="C27" s="23">
        <f ca="1">ROUND(F21*F26,4)</f>
        <v>3.0000000000000001E-3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4" t="s">
        <v>1037</v>
      </c>
      <c r="B28" s="347" t="s">
        <v>1477</v>
      </c>
      <c r="C28" s="23">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38</v>
      </c>
      <c r="D29" s="1344"/>
      <c r="E29" s="1342"/>
      <c r="F29" s="1345"/>
      <c r="G29" s="1857"/>
      <c r="H29" s="380" t="s">
        <v>1033</v>
      </c>
      <c r="I29" s="381" t="s">
        <v>1481</v>
      </c>
      <c r="J29" s="382">
        <f ca="1">ROUND(J26/(1+F40)^F41,0)</f>
        <v>0</v>
      </c>
      <c r="K29" s="383" t="s">
        <v>1482</v>
      </c>
      <c r="L29" s="384"/>
      <c r="M29" s="385">
        <f ca="1">INDIRECT("'数据-取费表'!k"&amp;$G$1)</f>
        <v>98.91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2</v>
      </c>
      <c r="D30" s="1339" t="s">
        <v>1427</v>
      </c>
      <c r="E30" s="1340"/>
      <c r="F30" s="1296"/>
      <c r="G30" s="1854"/>
      <c r="H30" s="745"/>
      <c r="I30" s="746"/>
      <c r="J30" s="747"/>
      <c r="K30" s="748"/>
      <c r="L30" s="749"/>
      <c r="M30" s="750"/>
    </row>
    <row r="31" spans="1:37" ht="18" customHeight="1">
      <c r="A31" s="1204" t="s">
        <v>1035</v>
      </c>
      <c r="B31" s="347" t="s">
        <v>1431</v>
      </c>
      <c r="C31" s="23">
        <f ca="1">ROUND(IF(项目基本情况!B11="自然人",C5*F31,C32+C33+C34),1)</f>
        <v>0.6</v>
      </c>
      <c r="D31" s="1803" t="s">
        <v>1432</v>
      </c>
      <c r="E31" s="1801" t="s">
        <v>1483</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1435</v>
      </c>
      <c r="C32" s="23">
        <f ca="1">IF(项目基本情况!B11="自然人","——",ROUND(C5*F32/(1+'数据-取费表'!C42),2))</f>
        <v>0.27</v>
      </c>
      <c r="D32" s="1801" t="s">
        <v>1436</v>
      </c>
      <c r="E32" s="347" t="s">
        <v>1424</v>
      </c>
      <c r="F32" s="377">
        <f>'数据-取费表'!B41</f>
        <v>5.6000000000000001E-2</v>
      </c>
      <c r="G32" s="1854"/>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0.32</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4">
        <f ca="1">IF(项目基本情况!B11="自然人","——",ROUND(F34*F35/10000,2))</f>
        <v>0.05</v>
      </c>
      <c r="D34" s="370" t="s">
        <v>1444</v>
      </c>
      <c r="E34" s="347" t="s">
        <v>1445</v>
      </c>
      <c r="F34" s="371">
        <f>'数据-取费表'!B52</f>
        <v>16</v>
      </c>
      <c r="G34" s="1854"/>
      <c r="H34" s="745"/>
      <c r="I34" s="1863"/>
      <c r="J34" s="1864"/>
      <c r="K34" s="1866"/>
      <c r="L34" s="1867"/>
      <c r="M34" s="1867"/>
    </row>
    <row r="35" spans="1:18" ht="18" customHeight="1">
      <c r="A35" s="1355"/>
      <c r="B35" s="1353"/>
      <c r="C35" s="28"/>
      <c r="D35" s="373"/>
      <c r="E35" s="347" t="s">
        <v>1449</v>
      </c>
      <c r="F35" s="348">
        <f ca="1">INDIRECT("'数据-取费表'!r"&amp;$G$1)</f>
        <v>33.96</v>
      </c>
      <c r="G35" s="1854"/>
      <c r="H35" s="745"/>
      <c r="I35" s="1863"/>
      <c r="J35" s="1864"/>
      <c r="K35" s="1865"/>
      <c r="L35" s="1862"/>
      <c r="M35" s="1862"/>
    </row>
    <row r="36" spans="1:18" ht="18" customHeight="1">
      <c r="A36" s="1354" t="s">
        <v>1039</v>
      </c>
      <c r="B36" s="347" t="s">
        <v>1451</v>
      </c>
      <c r="C36" s="23">
        <f ca="1">ROUND(C29*F36,1)</f>
        <v>0.8</v>
      </c>
      <c r="D36" s="1801" t="s">
        <v>1484</v>
      </c>
      <c r="E36" s="347" t="s">
        <v>1424</v>
      </c>
      <c r="F36" s="374">
        <f ca="1">INDIRECT("'数据-取费表'!Ak"&amp;$G$1)</f>
        <v>0.02</v>
      </c>
      <c r="G36" s="1854"/>
      <c r="H36" s="1862"/>
      <c r="I36" s="1863"/>
      <c r="J36" s="1864"/>
      <c r="K36" s="751"/>
      <c r="L36" s="1862"/>
      <c r="M36" s="1862"/>
    </row>
    <row r="37" spans="1:18" ht="18" customHeight="1">
      <c r="A37" s="1204" t="s">
        <v>1075</v>
      </c>
      <c r="B37" s="347" t="s">
        <v>1455</v>
      </c>
      <c r="C37" s="23">
        <f ca="1">ROUND(C13*F37,1)</f>
        <v>0.1</v>
      </c>
      <c r="D37" s="1801" t="s">
        <v>1456</v>
      </c>
      <c r="E37" s="347" t="s">
        <v>1457</v>
      </c>
      <c r="F37" s="376">
        <f ca="1">INDIRECT("'数据-取费表'!Al"&amp;$G$1)</f>
        <v>2E-3</v>
      </c>
      <c r="G37" s="1854"/>
      <c r="H37" s="1862"/>
      <c r="I37" s="1863"/>
      <c r="J37" s="1864"/>
      <c r="K37" s="751"/>
      <c r="L37" s="1862"/>
      <c r="M37" s="1862"/>
    </row>
    <row r="38" spans="1:18" ht="18" customHeight="1" thickBot="1">
      <c r="A38" s="1341" t="s">
        <v>1394</v>
      </c>
      <c r="B38" s="1342" t="s">
        <v>1441</v>
      </c>
      <c r="C38" s="1343">
        <f ca="1">ROUND(C5*F38,1)</f>
        <v>0.2</v>
      </c>
      <c r="D38" s="1344" t="s">
        <v>1461</v>
      </c>
      <c r="E38" s="1342" t="s">
        <v>1457</v>
      </c>
      <c r="F38" s="1338">
        <f ca="1">INDIRECT("'数据-取费表'!Am"&amp;$G$1)</f>
        <v>0.03</v>
      </c>
      <c r="G38" s="1854"/>
      <c r="H38" s="1862"/>
      <c r="I38" s="1863"/>
      <c r="J38" s="1864"/>
      <c r="K38" s="1868"/>
      <c r="L38" s="1862"/>
      <c r="M38" s="1862"/>
    </row>
    <row r="39" spans="1:18" ht="24.6" customHeight="1" thickTop="1">
      <c r="A39" s="1331" t="s">
        <v>1031</v>
      </c>
      <c r="B39" s="1346" t="s">
        <v>1485</v>
      </c>
      <c r="C39" s="355">
        <f ca="1">C5-C30</f>
        <v>3</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73</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34.65</v>
      </c>
      <c r="G41" s="1854"/>
      <c r="H41" s="732"/>
      <c r="I41" s="1863"/>
      <c r="J41" s="1864"/>
      <c r="K41" s="751"/>
      <c r="L41" s="732"/>
      <c r="M41" s="732"/>
    </row>
    <row r="42" spans="1:18" ht="18" customHeight="1">
      <c r="A42" s="353"/>
      <c r="B42" s="354"/>
      <c r="C42" s="355"/>
      <c r="D42" s="373"/>
      <c r="E42" s="347" t="s">
        <v>1479</v>
      </c>
      <c r="F42" s="357">
        <f ca="1">INDIRECT("'数据-取费表'!v"&amp;$G$1)</f>
        <v>0.03</v>
      </c>
      <c r="G42" s="1854"/>
      <c r="H42" s="732"/>
      <c r="I42" s="1863"/>
      <c r="J42" s="1864"/>
      <c r="K42" s="751"/>
      <c r="L42" s="732"/>
      <c r="M42" s="732"/>
    </row>
    <row r="43" spans="1:18" ht="18" customHeight="1" thickBot="1">
      <c r="A43" s="380" t="s">
        <v>1033</v>
      </c>
      <c r="B43" s="381" t="s">
        <v>1489</v>
      </c>
      <c r="C43" s="382">
        <f ca="1">ROUND(C40*10000/F43,0)</f>
        <v>7380</v>
      </c>
      <c r="D43" s="383" t="s">
        <v>1490</v>
      </c>
      <c r="E43" s="384" t="s">
        <v>1491</v>
      </c>
      <c r="F43" s="385">
        <f ca="1">INDIRECT("'数据-取费表'!k"&amp;$G$1)</f>
        <v>98.91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-89</v>
      </c>
      <c r="D46" s="1875" t="str">
        <f>C2</f>
        <v>万元</v>
      </c>
      <c r="E46" s="1869"/>
      <c r="F46" s="1869"/>
      <c r="I46" s="1876" t="s">
        <v>1523</v>
      </c>
      <c r="J46" s="1877"/>
      <c r="K46" s="1878"/>
      <c r="L46" s="1879">
        <f ca="1">IF(M47="住宅",0,IF(L48&gt;J51,L60,J60))</f>
        <v>1</v>
      </c>
      <c r="O46" s="1880" t="s">
        <v>1524</v>
      </c>
      <c r="P46" s="1881" t="s">
        <v>1525</v>
      </c>
      <c r="Q46" s="1882" t="s">
        <v>1526</v>
      </c>
      <c r="R46" s="1882" t="s">
        <v>1527</v>
      </c>
    </row>
    <row r="47" spans="1:18" s="1845" customFormat="1" ht="13.5" thickBot="1">
      <c r="A47" s="1168" t="s">
        <v>1397</v>
      </c>
      <c r="B47" s="1200" t="s">
        <v>1398</v>
      </c>
      <c r="C47" s="1369" t="s">
        <v>1399</v>
      </c>
      <c r="D47" s="1200" t="s">
        <v>1400</v>
      </c>
      <c r="E47" s="1281" t="s">
        <v>1401</v>
      </c>
      <c r="F47" s="1282"/>
      <c r="G47" s="792"/>
      <c r="I47" s="1883" t="s">
        <v>1528</v>
      </c>
      <c r="J47" s="1884" t="s">
        <v>3684</v>
      </c>
      <c r="K47" s="1885" t="s">
        <v>1529</v>
      </c>
      <c r="L47" s="1886">
        <f ca="1">INDIRECT("'数据-取费表'!d"&amp;$G$1)</f>
        <v>40</v>
      </c>
      <c r="M47" s="1841" t="str">
        <f>IF(ISNUMBER(FIND("住宅",C1)),"住宅","非住宅")</f>
        <v>非住宅</v>
      </c>
      <c r="O47" s="1887" t="s">
        <v>1040</v>
      </c>
      <c r="P47" s="1888" t="s">
        <v>1530</v>
      </c>
      <c r="Q47" s="1889">
        <f ca="1">C40+J29</f>
        <v>73</v>
      </c>
      <c r="R47" s="1889" t="s">
        <v>1531</v>
      </c>
    </row>
    <row r="48" spans="1:18" s="1845" customFormat="1" ht="28.5" thickBot="1">
      <c r="A48" s="1362" t="s">
        <v>1135</v>
      </c>
      <c r="B48" s="345" t="s">
        <v>1402</v>
      </c>
      <c r="C48" s="1820">
        <f ca="1">C49+C53+C55</f>
        <v>0</v>
      </c>
      <c r="D48" s="1364"/>
      <c r="E48" s="1365"/>
      <c r="F48" s="1184"/>
      <c r="G48" s="792"/>
      <c r="H48" s="793"/>
      <c r="I48" s="1890" t="s">
        <v>1532</v>
      </c>
      <c r="J48" s="1891" t="s">
        <v>3698</v>
      </c>
      <c r="K48" s="1892" t="s">
        <v>1533</v>
      </c>
      <c r="L48" s="1893">
        <f ca="1">INDIRECT("'数据-取费表'!f"&amp;$G$1)</f>
        <v>34.65</v>
      </c>
      <c r="O48" s="1887" t="s">
        <v>1041</v>
      </c>
      <c r="P48" s="1888" t="s">
        <v>1534</v>
      </c>
      <c r="Q48" s="1889">
        <f ca="1">J60</f>
        <v>1</v>
      </c>
      <c r="R48" s="1889" t="s">
        <v>1535</v>
      </c>
    </row>
    <row r="49" spans="1:18" s="1845" customFormat="1" ht="13.5" thickBot="1">
      <c r="A49" s="1197" t="s">
        <v>1136</v>
      </c>
      <c r="B49" s="1832" t="s">
        <v>1492</v>
      </c>
      <c r="C49" s="1366">
        <f ca="1">ROUND(F49*F51*F50*(1-F52)/10000,0)</f>
        <v>0</v>
      </c>
      <c r="D49" s="1278" t="s">
        <v>3032</v>
      </c>
      <c r="E49" s="1833" t="s">
        <v>1493</v>
      </c>
      <c r="F49" s="1283"/>
      <c r="G49" s="1894"/>
      <c r="H49" s="793"/>
      <c r="I49" s="1890" t="s">
        <v>1536</v>
      </c>
      <c r="J49" s="1895">
        <v>2016</v>
      </c>
      <c r="K49" s="1892" t="s">
        <v>1537</v>
      </c>
      <c r="L49" s="1896"/>
      <c r="O49" s="1897" t="s">
        <v>1042</v>
      </c>
      <c r="P49" s="1888" t="s">
        <v>1538</v>
      </c>
      <c r="Q49" s="1889">
        <f ca="1">C29</f>
        <v>38</v>
      </c>
      <c r="R49" s="1889" t="s">
        <v>1531</v>
      </c>
    </row>
    <row r="50" spans="1:18" s="1845" customFormat="1" ht="13.5" thickBot="1">
      <c r="A50" s="1198"/>
      <c r="B50" s="1201"/>
      <c r="C50" s="1370"/>
      <c r="D50" s="1175"/>
      <c r="E50" s="1279" t="s">
        <v>1407</v>
      </c>
      <c r="F50" s="1280">
        <f ca="1">F7</f>
        <v>98.91</v>
      </c>
      <c r="H50" s="793"/>
      <c r="I50" s="1890" t="s">
        <v>1539</v>
      </c>
      <c r="J50" s="1898">
        <f>SUMPRODUCT((I63:I65=J47)*(J62:L62=J48)*(J63:L65))</f>
        <v>60</v>
      </c>
      <c r="K50" s="1892" t="s">
        <v>1540</v>
      </c>
      <c r="L50" s="1896"/>
      <c r="M50" s="1899"/>
      <c r="O50" s="1897" t="s">
        <v>1043</v>
      </c>
      <c r="P50" s="1888" t="s">
        <v>1541</v>
      </c>
      <c r="Q50" s="1900">
        <f ca="1">J58</f>
        <v>0.40600000000000003</v>
      </c>
      <c r="R50" s="1889"/>
    </row>
    <row r="51" spans="1:18" s="1845" customFormat="1" ht="13.5" thickBot="1">
      <c r="A51" s="1199"/>
      <c r="B51" s="1201"/>
      <c r="C51" s="1202"/>
      <c r="D51" s="1175"/>
      <c r="E51" s="1203" t="s">
        <v>1408</v>
      </c>
      <c r="F51" s="348">
        <f ca="1">F8</f>
        <v>365</v>
      </c>
      <c r="I51" s="1901" t="s">
        <v>1542</v>
      </c>
      <c r="J51" s="1902">
        <f>IF(J49="",J50,J49+J50-YEAR('数据-取费表'!B2))</f>
        <v>59</v>
      </c>
      <c r="K51" s="1903" t="s">
        <v>1543</v>
      </c>
      <c r="L51" s="1904">
        <f ca="1">ROUND(-PV(INDIRECT("'数据-取费表'!h"&amp;$G$1),L48,(C39-C13*C76),0),0)</f>
        <v>-3</v>
      </c>
      <c r="M51" s="1905"/>
      <c r="O51" s="1897" t="s">
        <v>1044</v>
      </c>
      <c r="P51" s="1888" t="s">
        <v>1544</v>
      </c>
      <c r="Q51" s="1900">
        <f>J52</f>
        <v>0.09</v>
      </c>
      <c r="R51" s="1889"/>
    </row>
    <row r="52" spans="1:18" s="1845" customFormat="1" ht="13.5" thickBot="1">
      <c r="A52" s="1199"/>
      <c r="B52" s="1201"/>
      <c r="C52" s="1202"/>
      <c r="D52" s="1175"/>
      <c r="E52" s="1203" t="s">
        <v>1409</v>
      </c>
      <c r="F52" s="1277"/>
      <c r="I52" s="1906" t="s">
        <v>1545</v>
      </c>
      <c r="J52" s="1907">
        <v>0.09</v>
      </c>
      <c r="K52" s="1906" t="s">
        <v>1546</v>
      </c>
      <c r="L52" s="1907"/>
      <c r="O52" s="1897" t="s">
        <v>1045</v>
      </c>
      <c r="P52" s="1888" t="s">
        <v>1547</v>
      </c>
      <c r="Q52" s="1889">
        <f ca="1">J53</f>
        <v>34.65</v>
      </c>
      <c r="R52" s="1889" t="s">
        <v>1548</v>
      </c>
    </row>
    <row r="53" spans="1:18" s="1845" customFormat="1" ht="24.75" thickBot="1">
      <c r="A53" s="1407" t="s">
        <v>1137</v>
      </c>
      <c r="B53" s="1834" t="s">
        <v>1410</v>
      </c>
      <c r="C53" s="361">
        <f ca="1">ROUND(IF(F53="押一",F49*F51*F50/12*F11,IF(F53="押二",F49*F51*F50/12*2*F11,IF(F53="押三",F49*F51*F50/12*3*F11,C54*F11)))/10000,0)</f>
        <v>0</v>
      </c>
      <c r="D53" s="1827" t="s">
        <v>3030</v>
      </c>
      <c r="E53" s="358" t="s">
        <v>1412</v>
      </c>
      <c r="F53" s="1368"/>
      <c r="I53" s="1908" t="s">
        <v>1549</v>
      </c>
      <c r="J53" s="1909">
        <f ca="1">IF(M47="住宅",J51,IF(D1="——",MIN(J51,L48),IF(D1="在建（套用方法）",MIN(J51,L48-'数据-取费表'!B24),IF(D1="土地（套用方法）",MIN(J51,L48-'数据-取费表'!B20)))))</f>
        <v>34.65</v>
      </c>
      <c r="K53" s="3227" t="s">
        <v>1550</v>
      </c>
      <c r="L53" s="3228"/>
      <c r="O53" s="1887" t="s">
        <v>1046</v>
      </c>
      <c r="P53" s="1888" t="s">
        <v>1551</v>
      </c>
      <c r="Q53" s="1889">
        <f ca="1">Q47+Q48</f>
        <v>74</v>
      </c>
      <c r="R53" s="1889" t="s">
        <v>1047</v>
      </c>
    </row>
    <row r="54" spans="1:18" s="1845" customFormat="1" ht="13.5" thickBot="1">
      <c r="A54" s="1408"/>
      <c r="B54" s="1828" t="s">
        <v>1389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0.40600000000000003</v>
      </c>
      <c r="K55" s="1915" t="s">
        <v>1554</v>
      </c>
      <c r="L55" s="1916" t="s">
        <v>1555</v>
      </c>
      <c r="O55" s="1880" t="s">
        <v>1524</v>
      </c>
      <c r="P55" s="1881" t="s">
        <v>1525</v>
      </c>
      <c r="Q55" s="1882" t="s">
        <v>1526</v>
      </c>
      <c r="R55" s="1882" t="s">
        <v>1527</v>
      </c>
    </row>
    <row r="56" spans="1:18" s="1845" customFormat="1" ht="25.5" thickTop="1" thickBot="1">
      <c r="A56" s="1179">
        <v>2</v>
      </c>
      <c r="B56" s="1180" t="s">
        <v>1416</v>
      </c>
      <c r="C56" s="276">
        <f ca="1">C13</f>
        <v>37</v>
      </c>
      <c r="D56" s="1917"/>
      <c r="E56" s="1918"/>
      <c r="F56" s="1910"/>
      <c r="I56" s="1919" t="s">
        <v>1556</v>
      </c>
      <c r="J56" s="1920" t="s">
        <v>3699</v>
      </c>
      <c r="K56" s="1890" t="s">
        <v>1557</v>
      </c>
      <c r="L56" s="1893" t="str">
        <f ca="1">IF(L48&lt;J51,"——",L48-J53)</f>
        <v>——</v>
      </c>
      <c r="O56" s="1887" t="s">
        <v>1040</v>
      </c>
      <c r="P56" s="1888" t="s">
        <v>1530</v>
      </c>
      <c r="Q56" s="1889">
        <f ca="1">C40+J29</f>
        <v>73</v>
      </c>
      <c r="R56" s="1889" t="s">
        <v>1531</v>
      </c>
    </row>
    <row r="57" spans="1:18" s="1845" customFormat="1" ht="24.75" thickBot="1">
      <c r="A57" s="1921"/>
      <c r="B57" s="1172" t="s">
        <v>1480</v>
      </c>
      <c r="C57" s="282">
        <f ca="1">C29</f>
        <v>38</v>
      </c>
      <c r="D57" s="1922"/>
      <c r="E57" s="1923"/>
      <c r="F57" s="1924"/>
      <c r="I57" s="1925" t="s">
        <v>1558</v>
      </c>
      <c r="J57" s="1926">
        <f ca="1">IF(OR(M47="住宅",J51&lt;L48,J56="是"),"——",J51-L48)</f>
        <v>24.35</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80" t="s">
        <v>1426</v>
      </c>
      <c r="C58" s="361">
        <f ca="1">ROUND(C59+C64+C65+C66,0)</f>
        <v>1</v>
      </c>
      <c r="D58" s="1182" t="s">
        <v>1427</v>
      </c>
      <c r="E58" s="1183"/>
      <c r="F58" s="1184"/>
      <c r="I58" s="1925" t="s">
        <v>1562</v>
      </c>
      <c r="J58" s="1927">
        <f ca="1">IF(J55&lt;0.4,0.4,J55)</f>
        <v>0.40600000000000003</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3">
        <f ca="1">ROUND(IF(项目基本情况!B11="自然人",C48*F59,C60+C61+C62),1)</f>
        <v>0.4</v>
      </c>
      <c r="D59" s="1185" t="s">
        <v>1432</v>
      </c>
      <c r="E59" s="1186" t="s">
        <v>1433</v>
      </c>
      <c r="F59" s="368">
        <f ca="1">IF(项目基本情况!B11="企业","",IF(INDIRECT("'数据-取费表'!c"&amp;$G$1)="住宅",5%,IF(F49*F50*F51/12/(1+'数据-取费表'!C42)&gt;20000,12%,7%)))</f>
        <v>7.0000000000000007E-2</v>
      </c>
      <c r="I59" s="1925" t="s">
        <v>1565</v>
      </c>
      <c r="J59" s="1926">
        <f ca="1">IF(OR(M47="住宅",J51&lt;L48,J56="是"),"——",ROUND(C29*J58,0))</f>
        <v>15</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3">
        <f ca="1">IF(项目基本情况!B11="自然人","——",ROUND(C48*F60/(1+'数据-取费表'!C42),2))</f>
        <v>0</v>
      </c>
      <c r="D60" s="1186" t="s">
        <v>1436</v>
      </c>
      <c r="E60" s="1172" t="s">
        <v>1424</v>
      </c>
      <c r="F60" s="377">
        <f t="shared" ref="F60:F66" si="0">F32</f>
        <v>5.6000000000000001E-2</v>
      </c>
      <c r="I60" s="1928" t="s">
        <v>1567</v>
      </c>
      <c r="J60" s="1929">
        <f ca="1">IF(OR(M47="住宅",J51&lt;L48,J56="是"),"0",ROUND(J59/(1+J52)^J53,0))</f>
        <v>1</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3">
        <f ca="1">IF(项目基本情况!B11="自然人","——",IF(D61="按租金收入计税",ROUND(C48*F61,2),IF(D61="按房产原值计税",ROUND(C57*F61*0.7,2),INDIRECT("'数据-取费表'!Aj"&amp;$G$1))))</f>
        <v>0.32</v>
      </c>
      <c r="D61" s="1831" t="s">
        <v>1440</v>
      </c>
      <c r="E61" s="1172"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4" t="s">
        <v>1497</v>
      </c>
      <c r="B62" s="1171" t="s">
        <v>1498</v>
      </c>
      <c r="C62" s="24">
        <f ca="1">IF(项目基本情况!B11="自然人","——",ROUND(F62*F63/10000,2))</f>
        <v>0.05</v>
      </c>
      <c r="D62" s="1187" t="s">
        <v>1499</v>
      </c>
      <c r="E62" s="1172" t="s">
        <v>1500</v>
      </c>
      <c r="F62" s="371">
        <f t="shared" si="0"/>
        <v>16</v>
      </c>
      <c r="I62" s="1932" t="s">
        <v>1572</v>
      </c>
      <c r="J62" s="1933" t="s">
        <v>1573</v>
      </c>
      <c r="K62" s="1933" t="s">
        <v>1574</v>
      </c>
      <c r="L62" s="1933" t="s">
        <v>1575</v>
      </c>
      <c r="M62" s="1934" t="s">
        <v>1576</v>
      </c>
      <c r="O62" s="1887" t="s">
        <v>1046</v>
      </c>
      <c r="P62" s="1888" t="s">
        <v>1577</v>
      </c>
      <c r="Q62" s="1889">
        <f ca="1">Q56+Q57</f>
        <v>73</v>
      </c>
      <c r="R62" s="1889" t="s">
        <v>1047</v>
      </c>
    </row>
    <row r="63" spans="1:18" s="1845" customFormat="1" ht="13.5" thickBot="1">
      <c r="A63" s="372"/>
      <c r="B63" s="1178"/>
      <c r="C63" s="28"/>
      <c r="D63" s="1188"/>
      <c r="E63" s="1172" t="s">
        <v>1501</v>
      </c>
      <c r="F63" s="348">
        <f t="shared" ca="1" si="0"/>
        <v>33.96</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3">
        <f ca="1">ROUND(C57*F64,1)</f>
        <v>0.8</v>
      </c>
      <c r="D64" s="1186" t="s">
        <v>1504</v>
      </c>
      <c r="E64" s="1172" t="s">
        <v>1496</v>
      </c>
      <c r="F64" s="374">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3">
        <f ca="1">ROUND(C56*F65,1)</f>
        <v>0.1</v>
      </c>
      <c r="D65" s="1186" t="s">
        <v>1456</v>
      </c>
      <c r="E65" s="1172" t="s">
        <v>1457</v>
      </c>
      <c r="F65" s="376">
        <f t="shared" ca="1" si="0"/>
        <v>2E-3</v>
      </c>
      <c r="I65" s="1932" t="s">
        <v>1581</v>
      </c>
      <c r="J65" s="1933">
        <v>40</v>
      </c>
      <c r="K65" s="1933">
        <v>30</v>
      </c>
      <c r="L65" s="1933">
        <v>50</v>
      </c>
      <c r="M65" s="1935">
        <v>0.02</v>
      </c>
      <c r="O65" s="1887" t="s">
        <v>1040</v>
      </c>
      <c r="P65" s="1888" t="s">
        <v>1582</v>
      </c>
      <c r="Q65" s="1889">
        <f ca="1">C40+J29</f>
        <v>73</v>
      </c>
      <c r="R65" s="1889" t="s">
        <v>1531</v>
      </c>
    </row>
    <row r="66" spans="1:18" s="1845" customFormat="1" ht="16.5" thickBot="1">
      <c r="A66" s="1204" t="s">
        <v>1506</v>
      </c>
      <c r="B66" s="1172" t="s">
        <v>1441</v>
      </c>
      <c r="C66" s="23">
        <f ca="1">ROUND(C48*F66,1)</f>
        <v>0</v>
      </c>
      <c r="D66" s="1186" t="s">
        <v>1507</v>
      </c>
      <c r="E66" s="1172" t="s">
        <v>1424</v>
      </c>
      <c r="F66" s="357">
        <f t="shared" ca="1" si="0"/>
        <v>0.03</v>
      </c>
      <c r="O66" s="1887" t="s">
        <v>1041</v>
      </c>
      <c r="P66" s="1888" t="s">
        <v>1560</v>
      </c>
      <c r="Q66" s="1889">
        <f ca="1">L60</f>
        <v>0</v>
      </c>
      <c r="R66" s="1889" t="s">
        <v>1583</v>
      </c>
    </row>
    <row r="67" spans="1:18" s="1845" customFormat="1" ht="16.5" thickBot="1">
      <c r="A67" s="1179" t="s">
        <v>1031</v>
      </c>
      <c r="B67" s="1189" t="s">
        <v>1465</v>
      </c>
      <c r="C67" s="361">
        <f ca="1">C48-C58</f>
        <v>-1</v>
      </c>
      <c r="D67" s="1185" t="s">
        <v>1466</v>
      </c>
      <c r="E67" s="1190"/>
      <c r="F67" s="1191"/>
      <c r="O67" s="1897" t="s">
        <v>1042</v>
      </c>
      <c r="P67" s="1888" t="s">
        <v>1564</v>
      </c>
      <c r="Q67" s="1936">
        <f ca="1">L51</f>
        <v>-3</v>
      </c>
      <c r="R67" s="1889" t="s">
        <v>1584</v>
      </c>
    </row>
    <row r="68" spans="1:18" s="1845" customFormat="1" ht="16.5" thickBot="1">
      <c r="A68" s="1169" t="s">
        <v>1032</v>
      </c>
      <c r="B68" s="1170" t="s">
        <v>1487</v>
      </c>
      <c r="C68" s="346">
        <f ca="1">ROUND(C67*(1-((1+F70)/(1+F68))^F69)/(F68-F70),0)</f>
        <v>-16</v>
      </c>
      <c r="D68" s="1187" t="s">
        <v>1471</v>
      </c>
      <c r="E68" s="1172" t="s">
        <v>1472</v>
      </c>
      <c r="F68" s="357">
        <f ca="1">F40</f>
        <v>0.05</v>
      </c>
      <c r="O68" s="1897" t="s">
        <v>1043</v>
      </c>
      <c r="P68" s="1937" t="s">
        <v>1585</v>
      </c>
      <c r="Q68" s="1889">
        <f ca="1">ROUND(Q69-Q70*Q71,0)</f>
        <v>0</v>
      </c>
      <c r="R68" s="1889" t="s">
        <v>1051</v>
      </c>
    </row>
    <row r="69" spans="1:18" s="1845" customFormat="1" ht="13.5" thickBot="1">
      <c r="A69" s="1173"/>
      <c r="B69" s="1174"/>
      <c r="C69" s="351"/>
      <c r="D69" s="1192" t="s">
        <v>1475</v>
      </c>
      <c r="E69" s="1172" t="s">
        <v>1476</v>
      </c>
      <c r="F69" s="379">
        <f ca="1">F41</f>
        <v>34.65</v>
      </c>
      <c r="O69" s="1897" t="s">
        <v>1048</v>
      </c>
      <c r="P69" s="1937" t="s">
        <v>1586</v>
      </c>
      <c r="Q69" s="1889">
        <f ca="1">C39</f>
        <v>3</v>
      </c>
      <c r="R69" s="1889" t="s">
        <v>1531</v>
      </c>
    </row>
    <row r="70" spans="1:18" s="1845" customFormat="1" ht="13.5" thickBot="1">
      <c r="A70" s="1176"/>
      <c r="B70" s="1177"/>
      <c r="C70" s="355"/>
      <c r="D70" s="1188"/>
      <c r="E70" s="1172" t="s">
        <v>1479</v>
      </c>
      <c r="F70" s="1277"/>
      <c r="O70" s="1897" t="s">
        <v>1049</v>
      </c>
      <c r="P70" s="1937" t="s">
        <v>1587</v>
      </c>
      <c r="Q70" s="1889">
        <f ca="1">C13</f>
        <v>37</v>
      </c>
      <c r="R70" s="1889" t="s">
        <v>1531</v>
      </c>
    </row>
    <row r="71" spans="1:18" s="1845" customFormat="1" ht="13.5" thickBot="1">
      <c r="A71" s="1193" t="s">
        <v>1033</v>
      </c>
      <c r="B71" s="1194" t="s">
        <v>1489</v>
      </c>
      <c r="C71" s="382">
        <f ca="1">ROUND(C68*10000/F71,0)</f>
        <v>-1618</v>
      </c>
      <c r="D71" s="1195" t="s">
        <v>1490</v>
      </c>
      <c r="E71" s="1196" t="s">
        <v>1491</v>
      </c>
      <c r="F71" s="385">
        <f ca="1">F43</f>
        <v>98.91</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3</v>
      </c>
      <c r="D75" s="1845"/>
      <c r="E75" s="1845"/>
      <c r="F75" s="1845"/>
      <c r="K75" s="1871"/>
      <c r="L75" s="1845"/>
      <c r="O75" s="1887" t="s">
        <v>1046</v>
      </c>
      <c r="P75" s="1888" t="s">
        <v>1551</v>
      </c>
      <c r="Q75" s="1889">
        <f ca="1">Q65+Q66</f>
        <v>73</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v>
      </c>
    </row>
    <row r="80" spans="1:18">
      <c r="B80" s="386" t="s">
        <v>1513</v>
      </c>
      <c r="C80" s="318">
        <f ca="1">ROUND(C75/C39,3)</f>
        <v>1</v>
      </c>
    </row>
    <row r="81" spans="2:3">
      <c r="B81" s="314" t="s">
        <v>1514</v>
      </c>
      <c r="C81" s="282"/>
    </row>
    <row r="82" spans="2:3">
      <c r="B82" s="317" t="s">
        <v>1515</v>
      </c>
      <c r="C82" s="319">
        <f ca="1">1-C83</f>
        <v>0.49299999999999999</v>
      </c>
    </row>
    <row r="83" spans="2:3">
      <c r="B83" s="317" t="s">
        <v>1516</v>
      </c>
      <c r="C83" s="318">
        <f ca="1">ROUND(C13/C40,3)</f>
        <v>0.50700000000000001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E47" zoomScale="90" zoomScaleNormal="90" zoomScaleSheetLayoutView="90" workbookViewId="0">
      <selection activeCell="I46" sqref="I46:L6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3041</v>
      </c>
      <c r="D1" s="1823" t="s">
        <v>70</v>
      </c>
      <c r="E1" s="1824" t="s">
        <v>1388</v>
      </c>
      <c r="F1" s="1285">
        <f ca="1">J53</f>
        <v>34.65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f ca="1">ROUND(D2/10000,0)</f>
        <v>79</v>
      </c>
      <c r="C2" s="1848" t="s">
        <v>1593</v>
      </c>
      <c r="D2" s="1941">
        <f ca="1">C40+J29+L46</f>
        <v>791509</v>
      </c>
      <c r="E2" s="1849" t="s">
        <v>1594</v>
      </c>
      <c r="F2" s="1850"/>
      <c r="G2" s="1851"/>
      <c r="H2" s="1843"/>
      <c r="I2" s="1843"/>
      <c r="J2" s="1843"/>
      <c r="K2" s="1844"/>
      <c r="L2" s="1843"/>
      <c r="M2" s="1843"/>
    </row>
    <row r="3" spans="1:37" ht="18" customHeight="1" thickBot="1">
      <c r="A3" s="1852" t="s">
        <v>1595</v>
      </c>
      <c r="B3" s="1853">
        <f ca="1">IF(ISERROR(D2/F43),0,ROUND(D2/F43,0))</f>
        <v>8002</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48806</v>
      </c>
      <c r="D5" s="1825" t="s">
        <v>1603</v>
      </c>
      <c r="E5" s="1295"/>
      <c r="F5" s="1296"/>
      <c r="G5" s="1854"/>
      <c r="H5" s="344">
        <v>1</v>
      </c>
      <c r="I5" s="345" t="s">
        <v>1602</v>
      </c>
      <c r="J5" s="1294">
        <f ca="1">J6+J10+J12</f>
        <v>0</v>
      </c>
      <c r="K5" s="1825" t="s">
        <v>1603</v>
      </c>
      <c r="L5" s="1295"/>
      <c r="M5" s="1296"/>
    </row>
    <row r="6" spans="1:37" ht="18" customHeight="1">
      <c r="A6" s="1293" t="s">
        <v>1035</v>
      </c>
      <c r="B6" s="3229" t="s">
        <v>1404</v>
      </c>
      <c r="C6" s="1298">
        <f ca="1">ROUND(F6*F8*F7*(1-F9),0)</f>
        <v>48738</v>
      </c>
      <c r="D6" s="164" t="s">
        <v>3024</v>
      </c>
      <c r="E6" s="347" t="s">
        <v>1406</v>
      </c>
      <c r="F6" s="348">
        <f ca="1">INDIRECT("'数据-取费表'!u"&amp;$G$1)</f>
        <v>1.5</v>
      </c>
      <c r="G6" s="1854"/>
      <c r="H6" s="1293" t="s">
        <v>1035</v>
      </c>
      <c r="I6" s="3229" t="s">
        <v>1404</v>
      </c>
      <c r="J6" s="346">
        <f ca="1">ROUND(M6*M8*M7*(1-M9),0)</f>
        <v>0</v>
      </c>
      <c r="K6" s="1837" t="s">
        <v>3027</v>
      </c>
      <c r="L6" s="347" t="s">
        <v>1406</v>
      </c>
      <c r="M6" s="348">
        <f ca="1">INDIRECT("'数据-取费表'!z"&amp;$G$1)</f>
        <v>0</v>
      </c>
    </row>
    <row r="7" spans="1:37" ht="18" customHeight="1">
      <c r="A7" s="1297"/>
      <c r="B7" s="3230"/>
      <c r="C7" s="1299"/>
      <c r="D7" s="352"/>
      <c r="E7" s="1300" t="s">
        <v>1407</v>
      </c>
      <c r="F7" s="348">
        <f ca="1">IF(INDIRECT("'数据-取费表'!ah"&amp;$G$1)="",INDIRECT("'数据-取费表'!k"&amp;$G$1),INDIRECT("'数据-取费表'!ah"&amp;$G$1))</f>
        <v>98.91</v>
      </c>
      <c r="G7" s="1854"/>
      <c r="H7" s="349"/>
      <c r="I7" s="3230"/>
      <c r="J7" s="351"/>
      <c r="K7" s="352"/>
      <c r="L7" s="347" t="s">
        <v>1407</v>
      </c>
      <c r="M7" s="348">
        <f ca="1">F7</f>
        <v>98.91</v>
      </c>
    </row>
    <row r="8" spans="1:37" ht="18" customHeight="1">
      <c r="A8" s="349"/>
      <c r="B8" s="3230"/>
      <c r="C8" s="351"/>
      <c r="D8" s="352"/>
      <c r="E8" s="347" t="s">
        <v>1408</v>
      </c>
      <c r="F8" s="348">
        <f ca="1">INDIRECT("'数据-取费表'!ai"&amp;$G$1)</f>
        <v>365</v>
      </c>
      <c r="G8" s="1854"/>
      <c r="H8" s="349"/>
      <c r="I8" s="3230"/>
      <c r="J8" s="351"/>
      <c r="K8" s="352"/>
      <c r="L8" s="347" t="s">
        <v>1408</v>
      </c>
      <c r="M8" s="348">
        <f ca="1">INDIRECT("'数据-取费表'!ai"&amp;$G$1)</f>
        <v>365</v>
      </c>
    </row>
    <row r="9" spans="1:37" ht="18" customHeight="1">
      <c r="A9" s="349"/>
      <c r="B9" s="3231"/>
      <c r="C9" s="351"/>
      <c r="D9" s="352"/>
      <c r="E9" s="347" t="s">
        <v>1409</v>
      </c>
      <c r="F9" s="357">
        <f ca="1">INDIRECT("'数据-取费表'!w"&amp;$G$1)</f>
        <v>0.1</v>
      </c>
      <c r="G9" s="1854"/>
      <c r="H9" s="349"/>
      <c r="I9" s="323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68</v>
      </c>
      <c r="D10" s="1827" t="s">
        <v>3025</v>
      </c>
      <c r="E10" s="358" t="s">
        <v>1412</v>
      </c>
      <c r="F10" s="1368" t="s">
        <v>3697</v>
      </c>
      <c r="G10" s="1854"/>
      <c r="H10" s="1293" t="s">
        <v>1039</v>
      </c>
      <c r="I10" s="1826" t="s">
        <v>1410</v>
      </c>
      <c r="J10" s="346">
        <f ca="1">ROUND(IF(M10="押一",M6*M8*M7/12*M11,IF(M10="押二",M6*M8*M7/12*2*M11,IF(M10="押三",M6*M8*M7/12*3*M11,J11*M11))),0)</f>
        <v>0</v>
      </c>
      <c r="K10" s="1838" t="s">
        <v>3026</v>
      </c>
      <c r="L10" s="358" t="s">
        <v>1412</v>
      </c>
      <c r="M10" s="1368"/>
    </row>
    <row r="11" spans="1:37" ht="18" customHeight="1">
      <c r="A11" s="353"/>
      <c r="B11" s="1828" t="s">
        <v>1604</v>
      </c>
      <c r="C11" s="1181"/>
      <c r="D11" s="352"/>
      <c r="E11" s="358" t="s">
        <v>1414</v>
      </c>
      <c r="F11" s="359">
        <f ca="1">'数据-取费表'!B39</f>
        <v>1.4999999999999999E-2</v>
      </c>
      <c r="G11" s="1854"/>
      <c r="H11" s="1301"/>
      <c r="I11" s="1828" t="s">
        <v>1605</v>
      </c>
      <c r="J11" s="1181"/>
      <c r="K11" s="748"/>
      <c r="L11" s="358" t="s">
        <v>1414</v>
      </c>
      <c r="M11" s="1059">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386844</v>
      </c>
      <c r="D13" s="1333" t="s">
        <v>1417</v>
      </c>
      <c r="E13" s="1333" t="s">
        <v>1418</v>
      </c>
      <c r="F13" s="1334">
        <f ca="1">INDIRECT("'数据-取费表'!y"&amp;$G$1)</f>
        <v>0.98</v>
      </c>
      <c r="G13" s="1854"/>
      <c r="H13" s="1331">
        <v>2</v>
      </c>
      <c r="I13" s="1332" t="s">
        <v>1416</v>
      </c>
      <c r="J13" s="1292">
        <f ca="1">ROUND(J14*J15,0)</f>
        <v>0</v>
      </c>
      <c r="K13" s="1339" t="s">
        <v>1417</v>
      </c>
      <c r="L13" s="1855"/>
      <c r="M13" s="1856"/>
    </row>
    <row r="14" spans="1:37" ht="18" customHeight="1">
      <c r="A14" s="1204" t="s">
        <v>1034</v>
      </c>
      <c r="B14" s="347" t="s">
        <v>1419</v>
      </c>
      <c r="C14" s="363">
        <f ca="1">ROUND(INDIRECT("'数据-取费表'!l"&amp;$G$1)*F43+'数据-取费表'!L14*INDIRECT("'数据-取费表'!S"&amp;$G$1),0)</f>
        <v>276948</v>
      </c>
      <c r="D14" s="1803" t="s">
        <v>1420</v>
      </c>
      <c r="E14" s="1797"/>
      <c r="F14" s="364"/>
      <c r="G14" s="1854"/>
      <c r="H14" s="1204" t="s">
        <v>1035</v>
      </c>
      <c r="I14" s="347" t="s">
        <v>1421</v>
      </c>
      <c r="J14" s="23">
        <f ca="1">C29</f>
        <v>394739</v>
      </c>
      <c r="K14" s="14"/>
      <c r="L14" s="982"/>
      <c r="M14" s="983"/>
    </row>
    <row r="15" spans="1:37" s="1861" customFormat="1" ht="18" customHeight="1" thickBot="1">
      <c r="A15" s="1204" t="s">
        <v>1036</v>
      </c>
      <c r="B15" s="347" t="s">
        <v>1422</v>
      </c>
      <c r="C15" s="23">
        <f ca="1">ROUND(C14*F15,0)</f>
        <v>8308</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7" t="s">
        <v>1425</v>
      </c>
      <c r="C16" s="23">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11754</v>
      </c>
      <c r="K16" s="1339" t="s">
        <v>1427</v>
      </c>
      <c r="L16" s="1340"/>
      <c r="M16" s="1296"/>
    </row>
    <row r="17" spans="1:37" s="1861" customFormat="1" ht="18" customHeight="1">
      <c r="A17" s="1204" t="s">
        <v>1391</v>
      </c>
      <c r="B17" s="347" t="s">
        <v>1428</v>
      </c>
      <c r="C17" s="23">
        <f ca="1">ROUND(F17*(F43+INDIRECT("'数据-取费表'!S"&amp;$G$1)),0)</f>
        <v>19782</v>
      </c>
      <c r="D17" s="347" t="s">
        <v>1429</v>
      </c>
      <c r="E17" s="347" t="s">
        <v>1430</v>
      </c>
      <c r="F17" s="25">
        <f>'数据-取费表'!B35</f>
        <v>200</v>
      </c>
      <c r="G17" s="1857"/>
      <c r="H17" s="1204" t="s">
        <v>1035</v>
      </c>
      <c r="I17" s="347" t="s">
        <v>1431</v>
      </c>
      <c r="J17" s="23">
        <f ca="1">ROUND(IF(项目基本情况!B11="自然人",J5*M17,J18+J19+J20),0)</f>
        <v>3859</v>
      </c>
      <c r="K17" s="1803" t="s">
        <v>1432</v>
      </c>
      <c r="L17" s="1801" t="s">
        <v>1433</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7" t="s">
        <v>1434</v>
      </c>
      <c r="C18" s="23">
        <f ca="1">ROUND(C14*F18,0)</f>
        <v>4154</v>
      </c>
      <c r="D18" s="347" t="s">
        <v>1423</v>
      </c>
      <c r="E18" s="347" t="s">
        <v>1424</v>
      </c>
      <c r="F18" s="367">
        <f>'数据-取费表'!B36</f>
        <v>1.4999999999999999E-2</v>
      </c>
      <c r="G18" s="1857"/>
      <c r="H18" s="1204" t="s">
        <v>1034</v>
      </c>
      <c r="I18" s="347" t="s">
        <v>1435</v>
      </c>
      <c r="J18" s="23">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1437</v>
      </c>
      <c r="C19" s="23">
        <f ca="1">SUM(C14:C18)</f>
        <v>309192</v>
      </c>
      <c r="D19" s="139" t="s">
        <v>1438</v>
      </c>
      <c r="E19" s="1821"/>
      <c r="F19" s="25"/>
      <c r="G19" s="1854"/>
      <c r="H19" s="1204" t="s">
        <v>1036</v>
      </c>
      <c r="I19" s="347" t="s">
        <v>1439</v>
      </c>
      <c r="J19" s="23">
        <f ca="1">IF(K19="按租金收入计税",ROUND(J5*M19,0),ROUND(C29*M19*0.7,0))</f>
        <v>3316</v>
      </c>
      <c r="K19" s="1831" t="s">
        <v>1440</v>
      </c>
      <c r="L19" s="347" t="s">
        <v>1424</v>
      </c>
      <c r="M19" s="367">
        <f>IF(K19="按租金收入计税",'数据-取费表'!B51,'数据-取费表'!B50)</f>
        <v>1.2E-2</v>
      </c>
    </row>
    <row r="20" spans="1:37" s="1861" customFormat="1" ht="18" customHeight="1">
      <c r="A20" s="1204" t="s">
        <v>1039</v>
      </c>
      <c r="B20" s="347" t="s">
        <v>1441</v>
      </c>
      <c r="C20" s="23">
        <f ca="1">ROUND(C19*F20,0)</f>
        <v>4638</v>
      </c>
      <c r="D20" s="369" t="s">
        <v>1442</v>
      </c>
      <c r="E20" s="347" t="s">
        <v>1424</v>
      </c>
      <c r="F20" s="367">
        <f>'数据-取费表'!B37</f>
        <v>1.4999999999999999E-2</v>
      </c>
      <c r="G20" s="1857"/>
      <c r="H20" s="1204" t="s">
        <v>1390</v>
      </c>
      <c r="I20" s="164" t="s">
        <v>1443</v>
      </c>
      <c r="J20" s="24">
        <f ca="1">ROUND(M20*M21,0)</f>
        <v>543</v>
      </c>
      <c r="K20" s="370" t="s">
        <v>1444</v>
      </c>
      <c r="L20" s="347" t="s">
        <v>1445</v>
      </c>
      <c r="M20" s="371">
        <f>'数据-取费表'!B52</f>
        <v>16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1446</v>
      </c>
      <c r="C21" s="23" t="s">
        <v>1</v>
      </c>
      <c r="D21" s="369" t="s">
        <v>1447</v>
      </c>
      <c r="E21" s="347" t="s">
        <v>1448</v>
      </c>
      <c r="F21" s="367">
        <f>'数据-取费表'!B38</f>
        <v>0.03</v>
      </c>
      <c r="G21" s="1857"/>
      <c r="H21" s="372"/>
      <c r="I21" s="356"/>
      <c r="J21" s="28"/>
      <c r="K21" s="373"/>
      <c r="L21" s="347" t="s">
        <v>1449</v>
      </c>
      <c r="M21" s="348">
        <f ca="1">INDIRECT("'数据-取费表'!r"&amp;$G$1)</f>
        <v>33.96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7" t="s">
        <v>1450</v>
      </c>
      <c r="C22" s="23"/>
      <c r="D22" s="139" t="str">
        <f>IF(F23&lt;=1,"单利计息。","复利计息。")&amp;"建造成本、管理费用、销售费用产生的利息。"</f>
        <v>复利计息。建造成本、管理费用、销售费用产生的利息。</v>
      </c>
      <c r="E22" s="1821"/>
      <c r="F22" s="25"/>
      <c r="G22" s="1854"/>
      <c r="H22" s="1204" t="s">
        <v>1039</v>
      </c>
      <c r="I22" s="347" t="s">
        <v>1451</v>
      </c>
      <c r="J22" s="23">
        <f ca="1">ROUND(J14*M22,0)</f>
        <v>7895</v>
      </c>
      <c r="K22" s="1801" t="s">
        <v>1452</v>
      </c>
      <c r="L22" s="347" t="s">
        <v>1424</v>
      </c>
      <c r="M22" s="374">
        <f ca="1">INDIRECT("'数据-取费表'!Ak"&amp;$G$1)</f>
        <v>0.02</v>
      </c>
    </row>
    <row r="23" spans="1:37" s="1861" customFormat="1" ht="18" customHeight="1">
      <c r="A23" s="1204" t="s">
        <v>1034</v>
      </c>
      <c r="B23" s="347" t="s">
        <v>1453</v>
      </c>
      <c r="C23" s="23">
        <f ca="1">IF('数据-取费表'!B22&lt;=1,ROUND(C19*F24*F23/2,0)+ROUND(C20*F24*F23/2,0),ROUND(C19*(POWER((1+F24),F23/2)-1),0)+ROUND(C20*(POWER((1+F24),F23/2)-1),0))</f>
        <v>14907</v>
      </c>
      <c r="D23" s="375" t="str">
        <f>IF(F23&lt;=1,"(建造成本+管理费用)×利率×(建设周期÷2)","(建造成本+管理费用)×((1+利率)^(建设周期÷2)-1)")</f>
        <v>(建造成本+管理费用)×((1+利率)^(建设周期÷2)-1)</v>
      </c>
      <c r="E23" s="347" t="s">
        <v>1454</v>
      </c>
      <c r="F23" s="371">
        <f>'数据-取费表'!B20</f>
        <v>2</v>
      </c>
      <c r="G23" s="1857"/>
      <c r="H23" s="1204" t="s">
        <v>1075</v>
      </c>
      <c r="I23" s="347" t="s">
        <v>1455</v>
      </c>
      <c r="J23" s="23">
        <f ca="1">ROUND(J13*M23,0)</f>
        <v>0</v>
      </c>
      <c r="K23" s="1801" t="s">
        <v>1456</v>
      </c>
      <c r="L23" s="347" t="s">
        <v>1457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7" t="s">
        <v>1459</v>
      </c>
      <c r="C24" s="23">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1462</v>
      </c>
      <c r="B25" s="347" t="s">
        <v>1463</v>
      </c>
      <c r="C25" s="23"/>
      <c r="D25" s="139" t="s">
        <v>1464</v>
      </c>
      <c r="E25" s="1821"/>
      <c r="F25" s="25"/>
      <c r="G25" s="1854"/>
      <c r="H25" s="1331" t="s">
        <v>1031</v>
      </c>
      <c r="I25" s="1346" t="s">
        <v>1465</v>
      </c>
      <c r="J25" s="355">
        <f ca="1">J5-J16</f>
        <v>-11754</v>
      </c>
      <c r="K25" s="1347" t="s">
        <v>1466</v>
      </c>
      <c r="L25" s="1348"/>
      <c r="M25" s="1349"/>
    </row>
    <row r="26" spans="1:37" ht="18" customHeight="1">
      <c r="A26" s="1204" t="s">
        <v>1034</v>
      </c>
      <c r="B26" s="347" t="s">
        <v>1467</v>
      </c>
      <c r="C26" s="23">
        <f ca="1">ROUND((C19+C20)*F26,0)</f>
        <v>31383</v>
      </c>
      <c r="D26" s="369" t="s">
        <v>1468</v>
      </c>
      <c r="E26" s="358" t="s">
        <v>1469</v>
      </c>
      <c r="F26" s="357">
        <f ca="1">INDIRECT("'数据-取费表'!q"&amp;$G$1)</f>
        <v>0.1</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4" t="s">
        <v>1036</v>
      </c>
      <c r="B27" s="347" t="s">
        <v>1473</v>
      </c>
      <c r="C27" s="23">
        <f ca="1">ROUND(F21*F26,4)</f>
        <v>3.0000000000000001E-3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4" t="s">
        <v>1037</v>
      </c>
      <c r="B28" s="347" t="s">
        <v>1477</v>
      </c>
      <c r="C28" s="23">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394739</v>
      </c>
      <c r="D29" s="1344"/>
      <c r="E29" s="1342"/>
      <c r="F29" s="1345"/>
      <c r="G29" s="1857"/>
      <c r="H29" s="380" t="s">
        <v>1033</v>
      </c>
      <c r="I29" s="381" t="s">
        <v>1481</v>
      </c>
      <c r="J29" s="382">
        <f ca="1">ROUND(J26/(1+F40)^F41,0)</f>
        <v>0</v>
      </c>
      <c r="K29" s="383" t="s">
        <v>1482</v>
      </c>
      <c r="L29" s="384"/>
      <c r="M29" s="385">
        <f ca="1">INDIRECT("'数据-取费表'!k"&amp;$G$1)</f>
        <v>98.91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16595</v>
      </c>
      <c r="D30" s="1339" t="s">
        <v>1427</v>
      </c>
      <c r="E30" s="1340"/>
      <c r="F30" s="1296"/>
      <c r="G30" s="1854"/>
      <c r="H30" s="745"/>
      <c r="I30" s="746"/>
      <c r="J30" s="747"/>
      <c r="K30" s="748"/>
      <c r="L30" s="749"/>
      <c r="M30" s="750"/>
    </row>
    <row r="31" spans="1:37" ht="18" customHeight="1">
      <c r="A31" s="1204" t="s">
        <v>1035</v>
      </c>
      <c r="B31" s="347" t="s">
        <v>1431</v>
      </c>
      <c r="C31" s="23">
        <f ca="1">ROUND(IF(项目基本情况!B11="自然人",C5*F31,C32+C33+C34),0)</f>
        <v>6462</v>
      </c>
      <c r="D31" s="1803" t="s">
        <v>1432</v>
      </c>
      <c r="E31" s="1801" t="s">
        <v>1483</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1435</v>
      </c>
      <c r="C32" s="23">
        <f ca="1">IF(项目基本情况!B11="自然人","——",ROUND(C5*F32/(1+'数据-取费表'!C42),0))</f>
        <v>2603</v>
      </c>
      <c r="D32" s="1801" t="s">
        <v>1436</v>
      </c>
      <c r="E32" s="347" t="s">
        <v>1424</v>
      </c>
      <c r="F32" s="377">
        <f>'数据-取费表'!B41</f>
        <v>5.6000000000000001E-2</v>
      </c>
      <c r="G32" s="1854"/>
      <c r="H32" s="745"/>
      <c r="I32" s="746"/>
      <c r="J32" s="747"/>
      <c r="K32" s="748"/>
      <c r="L32" s="749"/>
      <c r="M32" s="750"/>
    </row>
    <row r="33" spans="1:18" ht="18" customHeight="1">
      <c r="A33" s="1204" t="s">
        <v>1036</v>
      </c>
      <c r="B33" s="347" t="s">
        <v>1439</v>
      </c>
      <c r="C33" s="23">
        <f ca="1">IF(项目基本情况!B11="自然人","——",IF(D33="按租金收入计税",ROUND(C5*F33,0),IF(D33="按房产原值计税",ROUND(C29*F33*0.7,0),INDIRECT("'数据-取费表'!Aj"&amp;$G$1))))</f>
        <v>3316</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4">
        <f ca="1">IF(项目基本情况!B11="自然人","——",ROUND(F34*F35,))</f>
        <v>543</v>
      </c>
      <c r="D34" s="370" t="s">
        <v>1444</v>
      </c>
      <c r="E34" s="347" t="s">
        <v>1445</v>
      </c>
      <c r="F34" s="371">
        <f>'数据-取费表'!B52</f>
        <v>16</v>
      </c>
      <c r="G34" s="1854"/>
      <c r="H34" s="745"/>
      <c r="I34" s="1863"/>
      <c r="J34" s="1864"/>
      <c r="K34" s="1866"/>
      <c r="L34" s="1867"/>
      <c r="M34" s="1867"/>
    </row>
    <row r="35" spans="1:18" ht="18" customHeight="1">
      <c r="A35" s="1355"/>
      <c r="B35" s="1353"/>
      <c r="C35" s="28"/>
      <c r="D35" s="373"/>
      <c r="E35" s="347" t="s">
        <v>1449</v>
      </c>
      <c r="F35" s="348">
        <f ca="1">INDIRECT("'数据-取费表'!r"&amp;$G$1)</f>
        <v>33.96</v>
      </c>
      <c r="G35" s="1854"/>
      <c r="H35" s="745"/>
      <c r="I35" s="1863"/>
      <c r="J35" s="1864"/>
      <c r="K35" s="1865"/>
      <c r="L35" s="1862"/>
      <c r="M35" s="1862"/>
    </row>
    <row r="36" spans="1:18" ht="18" customHeight="1">
      <c r="A36" s="1354" t="s">
        <v>1039</v>
      </c>
      <c r="B36" s="347" t="s">
        <v>1451</v>
      </c>
      <c r="C36" s="23">
        <f ca="1">ROUND(C29*F36,0)</f>
        <v>7895</v>
      </c>
      <c r="D36" s="1801" t="s">
        <v>1484</v>
      </c>
      <c r="E36" s="347" t="s">
        <v>1424</v>
      </c>
      <c r="F36" s="374">
        <f ca="1">INDIRECT("'数据-取费表'!Ak"&amp;$G$1)</f>
        <v>0.02</v>
      </c>
      <c r="G36" s="1854"/>
      <c r="H36" s="1862"/>
      <c r="I36" s="1863"/>
      <c r="J36" s="1864"/>
      <c r="K36" s="751"/>
      <c r="L36" s="1862"/>
      <c r="M36" s="1862"/>
    </row>
    <row r="37" spans="1:18" ht="18" customHeight="1">
      <c r="A37" s="1204" t="s">
        <v>1075</v>
      </c>
      <c r="B37" s="347" t="s">
        <v>1455</v>
      </c>
      <c r="C37" s="23">
        <f ca="1">ROUND(C13*F37,0)</f>
        <v>774</v>
      </c>
      <c r="D37" s="1801" t="s">
        <v>1456</v>
      </c>
      <c r="E37" s="347" t="s">
        <v>1457</v>
      </c>
      <c r="F37" s="376">
        <f ca="1">INDIRECT("'数据-取费表'!Al"&amp;$G$1)</f>
        <v>2E-3</v>
      </c>
      <c r="G37" s="1854"/>
      <c r="H37" s="1862"/>
      <c r="I37" s="1863"/>
      <c r="J37" s="1864"/>
      <c r="K37" s="751"/>
      <c r="L37" s="1862"/>
      <c r="M37" s="1862"/>
    </row>
    <row r="38" spans="1:18" ht="18" customHeight="1" thickBot="1">
      <c r="A38" s="1341" t="s">
        <v>1394</v>
      </c>
      <c r="B38" s="1342" t="s">
        <v>1441</v>
      </c>
      <c r="C38" s="1343">
        <f ca="1">ROUND(C5*F38,1)</f>
        <v>1464.2</v>
      </c>
      <c r="D38" s="1344" t="s">
        <v>1461</v>
      </c>
      <c r="E38" s="1342" t="s">
        <v>1457</v>
      </c>
      <c r="F38" s="1338">
        <f ca="1">INDIRECT("'数据-取费表'!Am"&amp;$G$1)</f>
        <v>0.03</v>
      </c>
      <c r="G38" s="1854"/>
      <c r="H38" s="1862"/>
      <c r="I38" s="1863"/>
      <c r="J38" s="1864"/>
      <c r="K38" s="1868"/>
      <c r="L38" s="1862"/>
      <c r="M38" s="1862"/>
    </row>
    <row r="39" spans="1:18" ht="24.6" customHeight="1" thickTop="1">
      <c r="A39" s="1331" t="s">
        <v>1031</v>
      </c>
      <c r="B39" s="1346" t="s">
        <v>1485</v>
      </c>
      <c r="C39" s="355">
        <f ca="1">C5-C30</f>
        <v>32211</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783418</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34.65</v>
      </c>
      <c r="G41" s="1854"/>
      <c r="H41" s="732"/>
      <c r="I41" s="1863"/>
      <c r="J41" s="1864"/>
      <c r="K41" s="751"/>
      <c r="L41" s="732"/>
      <c r="M41" s="732"/>
    </row>
    <row r="42" spans="1:18" ht="18" customHeight="1">
      <c r="A42" s="353"/>
      <c r="B42" s="354"/>
      <c r="C42" s="355"/>
      <c r="D42" s="373"/>
      <c r="E42" s="347" t="s">
        <v>1479</v>
      </c>
      <c r="F42" s="357">
        <f ca="1">INDIRECT("'数据-取费表'!v"&amp;$G$1)</f>
        <v>0.03</v>
      </c>
      <c r="G42" s="1854"/>
      <c r="H42" s="732"/>
      <c r="I42" s="1863"/>
      <c r="J42" s="1864"/>
      <c r="K42" s="751"/>
      <c r="L42" s="732"/>
      <c r="M42" s="732"/>
    </row>
    <row r="43" spans="1:18" ht="18" customHeight="1" thickBot="1">
      <c r="A43" s="380" t="s">
        <v>1033</v>
      </c>
      <c r="B43" s="381" t="s">
        <v>1489</v>
      </c>
      <c r="C43" s="382">
        <f ca="1">ROUND(C40/F43,0)</f>
        <v>7921</v>
      </c>
      <c r="D43" s="383" t="s">
        <v>1490</v>
      </c>
      <c r="E43" s="384" t="s">
        <v>1491</v>
      </c>
      <c r="F43" s="385">
        <f ca="1">INDIRECT("'数据-取费表'!k"&amp;$G$1)</f>
        <v>98.91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-1088117</v>
      </c>
      <c r="D45" s="1943" t="s">
        <v>1606</v>
      </c>
      <c r="E45" s="1869"/>
      <c r="F45" s="1869"/>
      <c r="O45" s="1872" t="s">
        <v>1521</v>
      </c>
      <c r="P45" s="1842"/>
      <c r="Q45" s="1842"/>
      <c r="R45" s="1842"/>
    </row>
    <row r="46" spans="1:18" s="1845" customFormat="1" ht="13.5" thickBot="1">
      <c r="A46" s="1873" t="s">
        <v>1522</v>
      </c>
      <c r="C46" s="1874">
        <f ca="1">ROUND(C45/10000,0)</f>
        <v>-109</v>
      </c>
      <c r="D46" s="1875" t="str">
        <f>C2</f>
        <v>万元</v>
      </c>
      <c r="I46" s="1876" t="s">
        <v>1523</v>
      </c>
      <c r="J46" s="1877"/>
      <c r="K46" s="1878"/>
      <c r="L46" s="1879">
        <f ca="1">IF(M47="住宅",0,IF(L48&gt;J51,L60,J60))</f>
        <v>8091</v>
      </c>
      <c r="O46" s="1880" t="s">
        <v>1524</v>
      </c>
      <c r="P46" s="1881" t="s">
        <v>1525</v>
      </c>
      <c r="Q46" s="1882" t="s">
        <v>1526</v>
      </c>
      <c r="R46" s="1882" t="s">
        <v>1527</v>
      </c>
    </row>
    <row r="47" spans="1:18" s="1845" customFormat="1" ht="13.5" thickBot="1">
      <c r="A47" s="1168" t="s">
        <v>1397</v>
      </c>
      <c r="B47" s="1200" t="s">
        <v>1398</v>
      </c>
      <c r="C47" s="1200" t="s">
        <v>1399</v>
      </c>
      <c r="D47" s="1200" t="s">
        <v>1400</v>
      </c>
      <c r="E47" s="1281" t="s">
        <v>1401</v>
      </c>
      <c r="F47" s="1282"/>
      <c r="G47" s="792"/>
      <c r="I47" s="1883" t="s">
        <v>1528</v>
      </c>
      <c r="J47" s="1884" t="s">
        <v>3684</v>
      </c>
      <c r="K47" s="1885" t="s">
        <v>1529</v>
      </c>
      <c r="L47" s="1886">
        <f ca="1">INDIRECT("'数据-取费表'!d"&amp;$G$1)</f>
        <v>40</v>
      </c>
      <c r="M47" s="1841" t="str">
        <f>IF(ISNUMBER(FIND("住宅",C1)),"住宅","非住宅")</f>
        <v>非住宅</v>
      </c>
      <c r="O47" s="1887" t="s">
        <v>1040</v>
      </c>
      <c r="P47" s="1888" t="s">
        <v>1530</v>
      </c>
      <c r="Q47" s="1889">
        <f ca="1">C40+J29</f>
        <v>783418</v>
      </c>
      <c r="R47" s="1889" t="s">
        <v>1531</v>
      </c>
    </row>
    <row r="48" spans="1:18" s="1845" customFormat="1" ht="28.5" thickBot="1">
      <c r="A48" s="1362" t="s">
        <v>1135</v>
      </c>
      <c r="B48" s="345" t="s">
        <v>1402</v>
      </c>
      <c r="C48" s="1820">
        <f ca="1">C49+C53+C55</f>
        <v>0</v>
      </c>
      <c r="D48" s="1364"/>
      <c r="E48" s="1365"/>
      <c r="F48" s="1184"/>
      <c r="G48" s="792"/>
      <c r="H48" s="793"/>
      <c r="I48" s="1890" t="s">
        <v>1532</v>
      </c>
      <c r="J48" s="1891" t="s">
        <v>3698</v>
      </c>
      <c r="K48" s="1892" t="s">
        <v>1533</v>
      </c>
      <c r="L48" s="1893">
        <f ca="1">INDIRECT("'数据-取费表'!f"&amp;$G$1)</f>
        <v>34.65</v>
      </c>
      <c r="O48" s="1887" t="s">
        <v>1041</v>
      </c>
      <c r="P48" s="1888" t="s">
        <v>1534</v>
      </c>
      <c r="Q48" s="1889">
        <f ca="1">J60</f>
        <v>8091</v>
      </c>
      <c r="R48" s="1889" t="s">
        <v>1535</v>
      </c>
    </row>
    <row r="49" spans="1:18" s="1845" customFormat="1" ht="13.5" thickBot="1">
      <c r="A49" s="1197" t="s">
        <v>1136</v>
      </c>
      <c r="B49" s="1832" t="s">
        <v>1492</v>
      </c>
      <c r="C49" s="1366">
        <f ca="1">ROUND(F49*F51*F50*(1-F52),0)</f>
        <v>0</v>
      </c>
      <c r="D49" s="1278" t="s">
        <v>1405</v>
      </c>
      <c r="E49" s="1833" t="s">
        <v>1493</v>
      </c>
      <c r="F49" s="1283"/>
      <c r="G49" s="1894"/>
      <c r="H49" s="793"/>
      <c r="I49" s="1890" t="s">
        <v>1536</v>
      </c>
      <c r="J49" s="1895">
        <v>2016</v>
      </c>
      <c r="K49" s="1892" t="s">
        <v>1537</v>
      </c>
      <c r="L49" s="1896"/>
      <c r="O49" s="1897" t="s">
        <v>1042</v>
      </c>
      <c r="P49" s="1888" t="s">
        <v>1538</v>
      </c>
      <c r="Q49" s="1889">
        <f ca="1">C29</f>
        <v>394739</v>
      </c>
      <c r="R49" s="1889" t="s">
        <v>1531</v>
      </c>
    </row>
    <row r="50" spans="1:18" s="1845" customFormat="1" ht="13.5" thickBot="1">
      <c r="A50" s="1198"/>
      <c r="B50" s="1201"/>
      <c r="C50" s="1202"/>
      <c r="D50" s="1175"/>
      <c r="E50" s="1279" t="s">
        <v>1407</v>
      </c>
      <c r="F50" s="1280">
        <f ca="1">F7</f>
        <v>98.91</v>
      </c>
      <c r="H50" s="793"/>
      <c r="I50" s="1890" t="s">
        <v>1539</v>
      </c>
      <c r="J50" s="1898">
        <f>SUMPRODUCT((I63:I65=J47)*(J62:L62=J48)*(J63:L65))</f>
        <v>60</v>
      </c>
      <c r="K50" s="1892" t="s">
        <v>1540</v>
      </c>
      <c r="L50" s="1896"/>
      <c r="M50" s="1899"/>
      <c r="O50" s="1897" t="s">
        <v>1043</v>
      </c>
      <c r="P50" s="1888" t="s">
        <v>1541</v>
      </c>
      <c r="Q50" s="1900">
        <f ca="1">J58</f>
        <v>0.40600000000000003</v>
      </c>
      <c r="R50" s="1889"/>
    </row>
    <row r="51" spans="1:18" s="1845" customFormat="1" ht="13.5" thickBot="1">
      <c r="A51" s="1199"/>
      <c r="B51" s="1201"/>
      <c r="C51" s="1202"/>
      <c r="D51" s="1175"/>
      <c r="E51" s="1203" t="s">
        <v>1408</v>
      </c>
      <c r="F51" s="348">
        <f ca="1">F8</f>
        <v>365</v>
      </c>
      <c r="I51" s="1901" t="s">
        <v>1542</v>
      </c>
      <c r="J51" s="1902">
        <f>IF(J49="",J50,J49+J50-YEAR('数据-取费表'!B2))</f>
        <v>59</v>
      </c>
      <c r="K51" s="1903" t="s">
        <v>1543</v>
      </c>
      <c r="L51" s="1904">
        <f ca="1">ROUND(-PV(INDIRECT("'数据-取费表'!h"&amp;$G$1),L48,(C39-C13*C76),0),0)</f>
        <v>-11662</v>
      </c>
      <c r="M51" s="1905"/>
      <c r="O51" s="1897" t="s">
        <v>1044</v>
      </c>
      <c r="P51" s="1888" t="s">
        <v>1544</v>
      </c>
      <c r="Q51" s="1900">
        <f>J52</f>
        <v>0.09</v>
      </c>
      <c r="R51" s="1889"/>
    </row>
    <row r="52" spans="1:18" s="1845" customFormat="1" ht="13.5" thickBot="1">
      <c r="A52" s="1199"/>
      <c r="B52" s="1201"/>
      <c r="C52" s="1202"/>
      <c r="D52" s="1175"/>
      <c r="E52" s="1203" t="s">
        <v>1409</v>
      </c>
      <c r="F52" s="1277"/>
      <c r="I52" s="1906" t="s">
        <v>1545</v>
      </c>
      <c r="J52" s="1907">
        <v>0.09</v>
      </c>
      <c r="K52" s="1906" t="s">
        <v>1546</v>
      </c>
      <c r="L52" s="1907"/>
      <c r="O52" s="1897" t="s">
        <v>1045</v>
      </c>
      <c r="P52" s="1888" t="s">
        <v>1547</v>
      </c>
      <c r="Q52" s="1889">
        <f ca="1">J53</f>
        <v>34.65</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f ca="1">IF(M47="住宅",J51,IF(D1="——",MIN(J51,L48),IF(D1="在建（套用方法）",MIN(J51,L48-'数据-取费表'!B24),IF(D1="土地（套用方法）",MIN(J51,L48-'数据-取费表'!B20)))))</f>
        <v>34.65</v>
      </c>
      <c r="K53" s="3227" t="s">
        <v>1550</v>
      </c>
      <c r="L53" s="3228"/>
      <c r="O53" s="1887" t="s">
        <v>1046</v>
      </c>
      <c r="P53" s="1888" t="s">
        <v>1551</v>
      </c>
      <c r="Q53" s="1889">
        <f ca="1">Q47+Q48</f>
        <v>791509</v>
      </c>
      <c r="R53" s="1889" t="s">
        <v>1047</v>
      </c>
    </row>
    <row r="54" spans="1:18" s="1845" customFormat="1" ht="13.5" thickBot="1">
      <c r="A54" s="1197"/>
      <c r="B54" s="1944" t="s">
        <v>1605</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0.40600000000000003</v>
      </c>
      <c r="K55" s="1915" t="s">
        <v>1554</v>
      </c>
      <c r="L55" s="1916" t="s">
        <v>3725</v>
      </c>
      <c r="O55" s="1880" t="s">
        <v>1524</v>
      </c>
      <c r="P55" s="1881" t="s">
        <v>1525</v>
      </c>
      <c r="Q55" s="1882" t="s">
        <v>1526</v>
      </c>
      <c r="R55" s="1882" t="s">
        <v>1527</v>
      </c>
    </row>
    <row r="56" spans="1:18" s="1845" customFormat="1" ht="36" customHeight="1" thickTop="1" thickBot="1">
      <c r="A56" s="1179">
        <v>2</v>
      </c>
      <c r="B56" s="1180" t="s">
        <v>1416</v>
      </c>
      <c r="C56" s="276">
        <f ca="1">C13</f>
        <v>386844</v>
      </c>
      <c r="D56" s="1917"/>
      <c r="E56" s="1918"/>
      <c r="F56" s="1910"/>
      <c r="I56" s="1919" t="s">
        <v>1556</v>
      </c>
      <c r="J56" s="1920" t="s">
        <v>3699</v>
      </c>
      <c r="K56" s="1890" t="s">
        <v>1557</v>
      </c>
      <c r="L56" s="1893" t="str">
        <f ca="1">IF(L48&lt;J51,"——",L48-J51)</f>
        <v>——</v>
      </c>
      <c r="O56" s="1887" t="s">
        <v>1040</v>
      </c>
      <c r="P56" s="1888" t="s">
        <v>1530</v>
      </c>
      <c r="Q56" s="1889">
        <f ca="1">C40+J29</f>
        <v>783418</v>
      </c>
      <c r="R56" s="1889" t="s">
        <v>1531</v>
      </c>
    </row>
    <row r="57" spans="1:18" s="1845" customFormat="1" ht="24.75" thickBot="1">
      <c r="A57" s="1921"/>
      <c r="B57" s="1172" t="s">
        <v>1480</v>
      </c>
      <c r="C57" s="282">
        <f ca="1">C29</f>
        <v>394739</v>
      </c>
      <c r="D57" s="1922"/>
      <c r="E57" s="1923"/>
      <c r="F57" s="1924"/>
      <c r="I57" s="1925" t="s">
        <v>1558</v>
      </c>
      <c r="J57" s="1926">
        <f ca="1">IF(OR(M47="住宅",J51&lt;L48,J56="是"),"——",J51-L48)</f>
        <v>24.35</v>
      </c>
      <c r="K57" s="1890" t="s">
        <v>1607</v>
      </c>
      <c r="L57" s="1893" t="str">
        <f ca="1">IF(L48&lt;J51,"——",IF(L55="比较法",L49,IF(L55="基准地价",L50,L51)))</f>
        <v>——</v>
      </c>
      <c r="O57" s="1887" t="s">
        <v>1041</v>
      </c>
      <c r="P57" s="1888" t="s">
        <v>1608</v>
      </c>
      <c r="Q57" s="1889">
        <f ca="1">L60</f>
        <v>0</v>
      </c>
      <c r="R57" s="1889" t="s">
        <v>1609</v>
      </c>
    </row>
    <row r="58" spans="1:18" s="1845" customFormat="1" ht="24.75" thickBot="1">
      <c r="A58" s="360" t="s">
        <v>1030</v>
      </c>
      <c r="B58" s="1180" t="s">
        <v>1426</v>
      </c>
      <c r="C58" s="361">
        <f ca="1">ROUND(C59+C64+C65+C66,0)</f>
        <v>12528</v>
      </c>
      <c r="D58" s="1182" t="s">
        <v>1427</v>
      </c>
      <c r="E58" s="1183"/>
      <c r="F58" s="1184"/>
      <c r="I58" s="1925" t="s">
        <v>1562</v>
      </c>
      <c r="J58" s="1927">
        <f ca="1">IF(J55&lt;0.4,0.4,J55)</f>
        <v>0.40600000000000003</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3">
        <f ca="1">ROUND(IF(项目基本情况!B11="自然人",C48*F59,C60+C61+C62),0)</f>
        <v>3859</v>
      </c>
      <c r="D59" s="1185" t="s">
        <v>1432</v>
      </c>
      <c r="E59" s="1186" t="s">
        <v>1433</v>
      </c>
      <c r="F59" s="368">
        <f ca="1">IF(项目基本情况!B11="企业","",IF(INDIRECT("'数据-取费表'!c"&amp;$G$1)="住宅",5%,IF(F49*F50*F51/12/(1+'数据-取费表'!C42)&gt;20000,12%,7%)))</f>
        <v>7.0000000000000007E-2</v>
      </c>
      <c r="I59" s="1925" t="s">
        <v>1565</v>
      </c>
      <c r="J59" s="1926">
        <f ca="1">IF(OR(M47="住宅",J51&lt;L48,J56="是"),"——",ROUND(C29*J58,0))</f>
        <v>160264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3">
        <f ca="1">IF(项目基本情况!B11="自然人","——",ROUND(C48*F60/(1+'数据-取费表'!C42),0))</f>
        <v>0</v>
      </c>
      <c r="D60" s="1186" t="s">
        <v>1436</v>
      </c>
      <c r="E60" s="1172" t="s">
        <v>1424</v>
      </c>
      <c r="F60" s="377">
        <f t="shared" ref="F60:F66" si="0">F32</f>
        <v>5.6000000000000001E-2</v>
      </c>
      <c r="I60" s="1928" t="s">
        <v>1567</v>
      </c>
      <c r="J60" s="1929">
        <f ca="1">IF(OR(M47="住宅",J51&lt;L48,J56="是"),"0",ROUND(J59/(1+J52)^J53,0))</f>
        <v>8091</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3">
        <f ca="1">IF(项目基本情况!B11="自然人","——",IF(D61="按租金收入计税",ROUND(C48*F61,0),IF(D61="按房产原值计税",ROUND(C57*F61*0.7,0),INDIRECT("'数据-取费表'!Aj"&amp;$G$1))))</f>
        <v>3316</v>
      </c>
      <c r="D61" s="1831" t="s">
        <v>1440</v>
      </c>
      <c r="E61" s="1172"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4" t="s">
        <v>1497</v>
      </c>
      <c r="B62" s="1171" t="s">
        <v>1498</v>
      </c>
      <c r="C62" s="24">
        <f ca="1">IF(项目基本情况!B11="自然人","——",ROUND(F62*F63,0))</f>
        <v>543</v>
      </c>
      <c r="D62" s="1187" t="s">
        <v>1499</v>
      </c>
      <c r="E62" s="1172" t="s">
        <v>1500</v>
      </c>
      <c r="F62" s="371">
        <f t="shared" si="0"/>
        <v>16</v>
      </c>
      <c r="I62" s="1932" t="s">
        <v>1572</v>
      </c>
      <c r="J62" s="1933" t="s">
        <v>1573</v>
      </c>
      <c r="K62" s="1933" t="s">
        <v>1574</v>
      </c>
      <c r="L62" s="1933" t="s">
        <v>1575</v>
      </c>
      <c r="M62" s="1934" t="s">
        <v>1576</v>
      </c>
      <c r="O62" s="1887" t="s">
        <v>1046</v>
      </c>
      <c r="P62" s="1888" t="s">
        <v>1577</v>
      </c>
      <c r="Q62" s="1889">
        <f ca="1">Q56+Q57</f>
        <v>783418</v>
      </c>
      <c r="R62" s="1889" t="s">
        <v>1047</v>
      </c>
    </row>
    <row r="63" spans="1:18" s="1845" customFormat="1" ht="13.5" thickBot="1">
      <c r="A63" s="372"/>
      <c r="B63" s="1178"/>
      <c r="C63" s="28"/>
      <c r="D63" s="1188"/>
      <c r="E63" s="1172" t="s">
        <v>1501</v>
      </c>
      <c r="F63" s="348">
        <f t="shared" ca="1" si="0"/>
        <v>33.96</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3">
        <f ca="1">ROUND(C57*F64,0)</f>
        <v>7895</v>
      </c>
      <c r="D64" s="1186" t="s">
        <v>1504</v>
      </c>
      <c r="E64" s="1172" t="s">
        <v>1496</v>
      </c>
      <c r="F64" s="374">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3">
        <f ca="1">ROUND(C56*F65,0)</f>
        <v>774</v>
      </c>
      <c r="D65" s="1186" t="s">
        <v>1456</v>
      </c>
      <c r="E65" s="1172" t="s">
        <v>1457</v>
      </c>
      <c r="F65" s="376">
        <f t="shared" ca="1" si="0"/>
        <v>2E-3</v>
      </c>
      <c r="I65" s="1932" t="s">
        <v>1581</v>
      </c>
      <c r="J65" s="1933">
        <v>40</v>
      </c>
      <c r="K65" s="1933">
        <v>30</v>
      </c>
      <c r="L65" s="1933">
        <v>50</v>
      </c>
      <c r="M65" s="1935">
        <v>0.02</v>
      </c>
      <c r="O65" s="1887" t="s">
        <v>1040</v>
      </c>
      <c r="P65" s="1888" t="s">
        <v>1582</v>
      </c>
      <c r="Q65" s="1889">
        <f ca="1">C40+J29</f>
        <v>783418</v>
      </c>
      <c r="R65" s="1889" t="s">
        <v>1531</v>
      </c>
    </row>
    <row r="66" spans="1:18" s="1845" customFormat="1" ht="16.5" thickBot="1">
      <c r="A66" s="1204" t="s">
        <v>1506</v>
      </c>
      <c r="B66" s="1172" t="s">
        <v>1441</v>
      </c>
      <c r="C66" s="23">
        <f ca="1">ROUND(C48*F66,0)</f>
        <v>0</v>
      </c>
      <c r="D66" s="1186" t="s">
        <v>1507</v>
      </c>
      <c r="E66" s="1172" t="s">
        <v>1424</v>
      </c>
      <c r="F66" s="357">
        <f t="shared" ca="1" si="0"/>
        <v>0.03</v>
      </c>
      <c r="O66" s="1887" t="s">
        <v>1041</v>
      </c>
      <c r="P66" s="1888" t="s">
        <v>1560</v>
      </c>
      <c r="Q66" s="1889">
        <f ca="1">L60</f>
        <v>0</v>
      </c>
      <c r="R66" s="1889" t="s">
        <v>1583</v>
      </c>
    </row>
    <row r="67" spans="1:18" s="1845" customFormat="1" ht="16.5" thickBot="1">
      <c r="A67" s="1179" t="s">
        <v>1031</v>
      </c>
      <c r="B67" s="1189" t="s">
        <v>1465</v>
      </c>
      <c r="C67" s="361">
        <f ca="1">C48-C58</f>
        <v>-12528</v>
      </c>
      <c r="D67" s="1185" t="s">
        <v>1466</v>
      </c>
      <c r="E67" s="1190"/>
      <c r="F67" s="1191"/>
      <c r="O67" s="1897" t="s">
        <v>1042</v>
      </c>
      <c r="P67" s="1888" t="s">
        <v>1564</v>
      </c>
      <c r="Q67" s="1936">
        <f ca="1">L51</f>
        <v>-11662</v>
      </c>
      <c r="R67" s="1889" t="s">
        <v>1584</v>
      </c>
    </row>
    <row r="68" spans="1:18" s="1845" customFormat="1" ht="16.5" thickBot="1">
      <c r="A68" s="1169" t="s">
        <v>1032</v>
      </c>
      <c r="B68" s="1170" t="s">
        <v>1487</v>
      </c>
      <c r="C68" s="346">
        <f ca="1">ROUND(C67*(1-((1+F70)/(1+F68))^F69)/(F68-F70),0)</f>
        <v>-304699</v>
      </c>
      <c r="D68" s="1187" t="s">
        <v>1471</v>
      </c>
      <c r="E68" s="1172" t="s">
        <v>1472</v>
      </c>
      <c r="F68" s="357">
        <f ca="1">F40</f>
        <v>0.05</v>
      </c>
      <c r="O68" s="1897" t="s">
        <v>1043</v>
      </c>
      <c r="P68" s="1937" t="s">
        <v>1585</v>
      </c>
      <c r="Q68" s="1889">
        <f ca="1">ROUND(Q69-Q70*Q71,0)</f>
        <v>-671</v>
      </c>
      <c r="R68" s="1889" t="s">
        <v>1051</v>
      </c>
    </row>
    <row r="69" spans="1:18" s="1845" customFormat="1" ht="13.5" thickBot="1">
      <c r="A69" s="1173"/>
      <c r="B69" s="1174"/>
      <c r="C69" s="351"/>
      <c r="D69" s="1192" t="s">
        <v>1475</v>
      </c>
      <c r="E69" s="1172" t="s">
        <v>1476</v>
      </c>
      <c r="F69" s="379">
        <f ca="1">F41</f>
        <v>34.65</v>
      </c>
      <c r="O69" s="1897" t="s">
        <v>1048</v>
      </c>
      <c r="P69" s="1937" t="s">
        <v>1586</v>
      </c>
      <c r="Q69" s="1889">
        <f ca="1">C39</f>
        <v>32211</v>
      </c>
      <c r="R69" s="1889" t="s">
        <v>1531</v>
      </c>
    </row>
    <row r="70" spans="1:18" s="1845" customFormat="1" ht="13.5" thickBot="1">
      <c r="A70" s="1176"/>
      <c r="B70" s="1177"/>
      <c r="C70" s="355"/>
      <c r="D70" s="1188"/>
      <c r="E70" s="1172" t="s">
        <v>1479</v>
      </c>
      <c r="F70" s="1277">
        <f ca="1">F42</f>
        <v>0.03</v>
      </c>
      <c r="O70" s="1897" t="s">
        <v>1049</v>
      </c>
      <c r="P70" s="1937" t="s">
        <v>1587</v>
      </c>
      <c r="Q70" s="1889">
        <f ca="1">C13</f>
        <v>386844</v>
      </c>
      <c r="R70" s="1889" t="s">
        <v>1531</v>
      </c>
    </row>
    <row r="71" spans="1:18" s="1845" customFormat="1" ht="13.5" thickBot="1">
      <c r="A71" s="1193" t="s">
        <v>1033</v>
      </c>
      <c r="B71" s="1194" t="s">
        <v>1489</v>
      </c>
      <c r="C71" s="382">
        <f ca="1">ROUND(C68/F71,0)</f>
        <v>-3081</v>
      </c>
      <c r="D71" s="1195" t="s">
        <v>1490</v>
      </c>
      <c r="E71" s="1196" t="s">
        <v>1491</v>
      </c>
      <c r="F71" s="385">
        <f ca="1">F43</f>
        <v>98.91</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32882</v>
      </c>
      <c r="D75" s="1845"/>
      <c r="E75" s="1845"/>
      <c r="F75" s="1845"/>
      <c r="K75" s="1871"/>
      <c r="L75" s="1845"/>
      <c r="O75" s="1887" t="s">
        <v>1046</v>
      </c>
      <c r="P75" s="1888" t="s">
        <v>1551</v>
      </c>
      <c r="Q75" s="1889">
        <f ca="1">Q65+Q66</f>
        <v>783418</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-2.0999999999999908E-2</v>
      </c>
    </row>
    <row r="80" spans="1:18">
      <c r="B80" s="386" t="s">
        <v>1513</v>
      </c>
      <c r="C80" s="318">
        <f ca="1">ROUND(C75/C39,3)</f>
        <v>1.0209999999999999</v>
      </c>
    </row>
    <row r="81" spans="2:3">
      <c r="B81" s="314" t="s">
        <v>1514</v>
      </c>
      <c r="C81" s="282"/>
    </row>
    <row r="82" spans="2:3">
      <c r="B82" s="317" t="s">
        <v>1515</v>
      </c>
      <c r="C82" s="319">
        <f ca="1">1-C83</f>
        <v>0.50600000000000001</v>
      </c>
    </row>
    <row r="83" spans="2:3">
      <c r="B83" s="317" t="s">
        <v>1516</v>
      </c>
      <c r="C83" s="318">
        <f ca="1">ROUND(C13/C40,3)</f>
        <v>0.49399999999999999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4" sqref="F34"/>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2524</v>
      </c>
      <c r="B1" s="2569"/>
      <c r="C1" s="2569"/>
      <c r="D1" s="2569"/>
      <c r="E1" s="2570"/>
    </row>
    <row r="2" spans="1:6" ht="15.75">
      <c r="A2" s="2571" t="s">
        <v>2325</v>
      </c>
      <c r="B2" s="2572">
        <f ca="1">SUMIF(B6:B13,"&lt;&gt;#ref!",B6:B13)</f>
        <v>79</v>
      </c>
      <c r="C2" s="2573" t="s">
        <v>2517</v>
      </c>
      <c r="D2" s="2574" t="s">
        <v>2518</v>
      </c>
      <c r="E2" s="2575">
        <f>SUM(E6:E13)</f>
        <v>98.91</v>
      </c>
    </row>
    <row r="3" spans="1:6" ht="15.75">
      <c r="A3" s="2571" t="s">
        <v>1396</v>
      </c>
      <c r="B3" s="2572">
        <f ca="1">ROUND(B2*10000/E2,0)</f>
        <v>7987</v>
      </c>
      <c r="C3" s="2573" t="s">
        <v>2525</v>
      </c>
      <c r="D3" s="2576"/>
      <c r="E3" s="2577"/>
    </row>
    <row r="4" spans="1:6" ht="15.75">
      <c r="A4" s="2578"/>
      <c r="B4" s="2576"/>
      <c r="C4" s="2576"/>
      <c r="D4" s="2576"/>
      <c r="E4" s="2577"/>
    </row>
    <row r="5" spans="1:6" ht="15">
      <c r="A5" s="2579" t="s">
        <v>2519</v>
      </c>
      <c r="B5" s="3232" t="s">
        <v>2520</v>
      </c>
      <c r="C5" s="3232"/>
      <c r="D5" s="2580"/>
      <c r="E5" s="2581" t="s">
        <v>2521</v>
      </c>
      <c r="F5" s="2582" t="s">
        <v>2522</v>
      </c>
    </row>
    <row r="6" spans="1:6">
      <c r="A6" s="2583" t="str">
        <f>'数据-取费表'!AN6</f>
        <v>收益法 (元)</v>
      </c>
      <c r="B6" s="2582">
        <f ca="1">IF(F6="是",'数据-取费表'!AO6,0)</f>
        <v>79</v>
      </c>
      <c r="C6" s="2573" t="s">
        <v>2517</v>
      </c>
      <c r="D6" s="2576"/>
      <c r="E6" s="2584">
        <f>IF(OR(A6=0,F6="否"),0,'数据-取费表'!K6+'数据-取费表'!S6)</f>
        <v>98.91</v>
      </c>
      <c r="F6" s="2585" t="s">
        <v>2523</v>
      </c>
    </row>
    <row r="7" spans="1:6">
      <c r="A7" s="2583">
        <f>'数据-取费表'!AN7</f>
        <v>0</v>
      </c>
      <c r="B7" s="2582" t="e">
        <f ca="1">IF(F7="是",'数据-取费表'!AO7,0)</f>
        <v>#REF!</v>
      </c>
      <c r="C7" s="2573" t="s">
        <v>2517</v>
      </c>
      <c r="D7" s="2576"/>
      <c r="E7" s="2584">
        <f>IF(OR(A7=0,F7="否"),0,'数据-取费表'!K7+'数据-取费表'!S7)</f>
        <v>0</v>
      </c>
      <c r="F7" s="2585" t="s">
        <v>2523</v>
      </c>
    </row>
    <row r="8" spans="1:6">
      <c r="A8" s="2583">
        <f>'数据-取费表'!AN8</f>
        <v>0</v>
      </c>
      <c r="B8" s="2582" t="e">
        <f ca="1">IF(F8="是",'数据-取费表'!AO8,0)</f>
        <v>#REF!</v>
      </c>
      <c r="C8" s="2573" t="s">
        <v>2517</v>
      </c>
      <c r="D8" s="2576"/>
      <c r="E8" s="2584">
        <f>IF(OR(A8=0,F8="否"),0,'数据-取费表'!K8+'数据-取费表'!S8)</f>
        <v>0</v>
      </c>
      <c r="F8" s="2585" t="s">
        <v>2523</v>
      </c>
    </row>
    <row r="9" spans="1:6">
      <c r="A9" s="2583">
        <f>'数据-取费表'!AN9</f>
        <v>0</v>
      </c>
      <c r="B9" s="2582" t="e">
        <f ca="1">IF(F9="是",'数据-取费表'!AO9,0)</f>
        <v>#REF!</v>
      </c>
      <c r="C9" s="2573" t="s">
        <v>2517</v>
      </c>
      <c r="D9" s="2576"/>
      <c r="E9" s="2584">
        <f>IF(OR(A9=0,F9="否"),0,'数据-取费表'!K9+'数据-取费表'!S9)</f>
        <v>0</v>
      </c>
      <c r="F9" s="2585" t="s">
        <v>2523</v>
      </c>
    </row>
    <row r="10" spans="1:6">
      <c r="A10" s="2583">
        <f>'数据-取费表'!AN10</f>
        <v>0</v>
      </c>
      <c r="B10" s="2582" t="e">
        <f ca="1">IF(F10="是",'数据-取费表'!AO10,0)</f>
        <v>#REF!</v>
      </c>
      <c r="C10" s="2573" t="s">
        <v>2517</v>
      </c>
      <c r="D10" s="2576"/>
      <c r="E10" s="2584">
        <f>IF(OR(A10=0,F10="否"),0,'数据-取费表'!K10+'数据-取费表'!S10)</f>
        <v>0</v>
      </c>
      <c r="F10" s="2585" t="s">
        <v>2523</v>
      </c>
    </row>
    <row r="11" spans="1:6">
      <c r="A11" s="2583">
        <f>'数据-取费表'!AN11</f>
        <v>0</v>
      </c>
      <c r="B11" s="2582" t="e">
        <f ca="1">IF(F11="是",'数据-取费表'!AO11,0)</f>
        <v>#REF!</v>
      </c>
      <c r="C11" s="2573" t="s">
        <v>2517</v>
      </c>
      <c r="D11" s="2576"/>
      <c r="E11" s="2584">
        <f>IF(OR(A11=0,F11="否"),0,'数据-取费表'!K11+'数据-取费表'!S11)</f>
        <v>0</v>
      </c>
      <c r="F11" s="2585" t="s">
        <v>2523</v>
      </c>
    </row>
    <row r="12" spans="1:6">
      <c r="A12" s="2583">
        <f>'数据-取费表'!AN12</f>
        <v>0</v>
      </c>
      <c r="B12" s="2582" t="e">
        <f ca="1">IF(F12="是",'数据-取费表'!AO12,0)</f>
        <v>#REF!</v>
      </c>
      <c r="C12" s="2573" t="s">
        <v>2517</v>
      </c>
      <c r="D12" s="2576"/>
      <c r="E12" s="2584">
        <f>IF(OR(A12=0,F12="否"),0,'数据-取费表'!K12+'数据-取费表'!S12)</f>
        <v>0</v>
      </c>
      <c r="F12" s="2585" t="s">
        <v>2523</v>
      </c>
    </row>
    <row r="13" spans="1:6" ht="15" thickBot="1">
      <c r="A13" s="2586">
        <f>'数据-取费表'!AN13</f>
        <v>0</v>
      </c>
      <c r="B13" s="2582" t="e">
        <f ca="1">IF(F13="是",'数据-取费表'!AO13,0)</f>
        <v>#REF!</v>
      </c>
      <c r="C13" s="2587" t="s">
        <v>2517</v>
      </c>
      <c r="D13" s="2588"/>
      <c r="E13" s="2584">
        <f>IF(OR(A13=0,F13="否"),0,'数据-取费表'!K13+'数据-取费表'!S13)</f>
        <v>0</v>
      </c>
      <c r="F13" s="258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38" t="s">
        <v>1077</v>
      </c>
      <c r="B2" s="3239" t="s">
        <v>1078</v>
      </c>
      <c r="C2" s="3239"/>
      <c r="D2" s="1303" t="s">
        <v>1079</v>
      </c>
      <c r="E2" s="1303" t="s">
        <v>1080</v>
      </c>
      <c r="F2" s="1303" t="s">
        <v>1081</v>
      </c>
      <c r="G2" s="1303" t="s">
        <v>1082</v>
      </c>
      <c r="H2" s="1303" t="s">
        <v>1083</v>
      </c>
      <c r="I2" s="1304" t="s">
        <v>1084</v>
      </c>
    </row>
    <row r="3" spans="1:9">
      <c r="A3" s="3238"/>
      <c r="B3" s="3239" t="s">
        <v>1085</v>
      </c>
      <c r="C3" s="3239"/>
      <c r="D3" s="1305"/>
      <c r="E3" s="1303"/>
      <c r="F3" s="1306"/>
      <c r="G3" s="1306"/>
      <c r="H3" s="1307"/>
      <c r="I3" s="1308">
        <f>ROUND(D3*E3*F3*G3*H3/10000,0)</f>
        <v>0</v>
      </c>
    </row>
    <row r="4" spans="1:9">
      <c r="A4" s="3238"/>
      <c r="B4" s="3239" t="s">
        <v>1086</v>
      </c>
      <c r="C4" s="3239"/>
      <c r="D4" s="1305"/>
      <c r="E4" s="1303"/>
      <c r="F4" s="1306"/>
      <c r="G4" s="1306"/>
      <c r="H4" s="1307"/>
      <c r="I4" s="1308">
        <f t="shared" ref="I4:I9" si="0">ROUND(D4*E4*F4*G4*H4/10000,0)</f>
        <v>0</v>
      </c>
    </row>
    <row r="5" spans="1:9">
      <c r="A5" s="3238"/>
      <c r="B5" s="3239" t="s">
        <v>1087</v>
      </c>
      <c r="C5" s="3239"/>
      <c r="D5" s="1305"/>
      <c r="E5" s="1303"/>
      <c r="F5" s="1306"/>
      <c r="G5" s="1306"/>
      <c r="H5" s="1307"/>
      <c r="I5" s="1308">
        <f t="shared" si="0"/>
        <v>0</v>
      </c>
    </row>
    <row r="6" spans="1:9">
      <c r="A6" s="3238"/>
      <c r="B6" s="3239" t="s">
        <v>1088</v>
      </c>
      <c r="C6" s="3239"/>
      <c r="D6" s="1305"/>
      <c r="E6" s="1303"/>
      <c r="F6" s="1306"/>
      <c r="G6" s="1306"/>
      <c r="H6" s="1307"/>
      <c r="I6" s="1308">
        <f t="shared" si="0"/>
        <v>0</v>
      </c>
    </row>
    <row r="7" spans="1:9">
      <c r="A7" s="3238"/>
      <c r="B7" s="3239" t="s">
        <v>1089</v>
      </c>
      <c r="C7" s="3239"/>
      <c r="D7" s="1305"/>
      <c r="E7" s="1303"/>
      <c r="F7" s="1306"/>
      <c r="G7" s="1306"/>
      <c r="H7" s="1307"/>
      <c r="I7" s="1308">
        <f t="shared" si="0"/>
        <v>0</v>
      </c>
    </row>
    <row r="8" spans="1:9">
      <c r="A8" s="3238"/>
      <c r="B8" s="3239" t="s">
        <v>1090</v>
      </c>
      <c r="C8" s="3239"/>
      <c r="D8" s="1305"/>
      <c r="E8" s="1303"/>
      <c r="F8" s="1306"/>
      <c r="G8" s="1306"/>
      <c r="H8" s="1307"/>
      <c r="I8" s="1308">
        <f t="shared" si="0"/>
        <v>0</v>
      </c>
    </row>
    <row r="9" spans="1:9">
      <c r="A9" s="3238"/>
      <c r="B9" s="3239" t="s">
        <v>1091</v>
      </c>
      <c r="C9" s="3239"/>
      <c r="D9" s="1305"/>
      <c r="E9" s="1303"/>
      <c r="F9" s="1306"/>
      <c r="G9" s="1306"/>
      <c r="H9" s="1307"/>
      <c r="I9" s="1308">
        <f t="shared" si="0"/>
        <v>0</v>
      </c>
    </row>
    <row r="10" spans="1:9">
      <c r="A10" s="3238"/>
      <c r="B10" s="3240" t="s">
        <v>1092</v>
      </c>
      <c r="C10" s="3240"/>
      <c r="D10" s="1309"/>
      <c r="E10" s="1309" t="e">
        <f>ROUND(D1*10000/D10/H9,0)</f>
        <v>#DIV/0!</v>
      </c>
      <c r="F10" s="1310"/>
      <c r="G10" s="1310"/>
      <c r="H10" s="1311"/>
      <c r="I10" s="1312">
        <f>SUM(I3:I9)</f>
        <v>0</v>
      </c>
    </row>
    <row r="11" spans="1:9" ht="14.25">
      <c r="A11" s="3238" t="s">
        <v>1093</v>
      </c>
      <c r="B11" s="3239" t="s">
        <v>1094</v>
      </c>
      <c r="C11" s="3239"/>
      <c r="D11" s="1305" t="s">
        <v>1095</v>
      </c>
      <c r="E11" s="1305" t="s">
        <v>1096</v>
      </c>
      <c r="F11" s="1306" t="s">
        <v>1097</v>
      </c>
      <c r="G11" s="1306" t="s">
        <v>1083</v>
      </c>
      <c r="H11" s="1313" t="s">
        <v>1098</v>
      </c>
      <c r="I11" s="1304" t="s">
        <v>1084</v>
      </c>
    </row>
    <row r="12" spans="1:9">
      <c r="A12" s="3238"/>
      <c r="B12" s="3239" t="s">
        <v>1099</v>
      </c>
      <c r="C12" s="3239"/>
      <c r="D12" s="1305"/>
      <c r="E12" s="1305"/>
      <c r="F12" s="1306"/>
      <c r="G12" s="1307"/>
      <c r="H12" s="1314"/>
      <c r="I12" s="1304">
        <f>ROUND(D12*E12*F12*G12/10000,0)</f>
        <v>0</v>
      </c>
    </row>
    <row r="13" spans="1:9">
      <c r="A13" s="3238"/>
      <c r="B13" s="3239" t="s">
        <v>1100</v>
      </c>
      <c r="C13" s="3239"/>
      <c r="D13" s="1305"/>
      <c r="E13" s="1305"/>
      <c r="F13" s="1306"/>
      <c r="G13" s="1307"/>
      <c r="H13" s="1314"/>
      <c r="I13" s="1304">
        <f>ROUND(D13*E13*F13*G13/10000,0)</f>
        <v>0</v>
      </c>
    </row>
    <row r="14" spans="1:9">
      <c r="A14" s="3238"/>
      <c r="B14" s="3239" t="s">
        <v>1101</v>
      </c>
      <c r="C14" s="3239"/>
      <c r="D14" s="1305"/>
      <c r="E14" s="1305"/>
      <c r="F14" s="1306"/>
      <c r="G14" s="1307"/>
      <c r="H14" s="1314"/>
      <c r="I14" s="1304">
        <f>ROUND(D14*E14*F14*G14/10000,0)</f>
        <v>0</v>
      </c>
    </row>
    <row r="15" spans="1:9">
      <c r="A15" s="3238"/>
      <c r="B15" s="3240" t="s">
        <v>1092</v>
      </c>
      <c r="C15" s="3240"/>
      <c r="D15" s="1309"/>
      <c r="E15" s="1309">
        <f>SUM(E12:E14)</f>
        <v>0</v>
      </c>
      <c r="F15" s="1310"/>
      <c r="G15" s="1307"/>
      <c r="H15" s="1314"/>
      <c r="I15" s="1315">
        <f>SUM(I12:I14)</f>
        <v>0</v>
      </c>
    </row>
    <row r="16" spans="1:9" ht="24">
      <c r="A16" s="3238" t="s">
        <v>1102</v>
      </c>
      <c r="B16" s="3239" t="s">
        <v>1103</v>
      </c>
      <c r="C16" s="3239"/>
      <c r="D16" s="1305" t="s">
        <v>1079</v>
      </c>
      <c r="E16" s="1316" t="s">
        <v>1104</v>
      </c>
      <c r="F16" s="1306" t="s">
        <v>1105</v>
      </c>
      <c r="G16" s="1307" t="s">
        <v>1083</v>
      </c>
      <c r="H16" s="1313" t="s">
        <v>1098</v>
      </c>
      <c r="I16" s="1304" t="s">
        <v>1084</v>
      </c>
    </row>
    <row r="17" spans="1:9" ht="14.25">
      <c r="A17" s="3238"/>
      <c r="B17" s="3239" t="s">
        <v>1106</v>
      </c>
      <c r="C17" s="3239"/>
      <c r="D17" s="1305"/>
      <c r="E17" s="1305"/>
      <c r="F17" s="1306"/>
      <c r="G17" s="1307"/>
      <c r="H17" s="1317"/>
      <c r="I17" s="1318">
        <f>ROUND(D17*E17*F17*G17/10000,0)</f>
        <v>0</v>
      </c>
    </row>
    <row r="18" spans="1:9" ht="14.25">
      <c r="A18" s="3238"/>
      <c r="B18" s="3239" t="s">
        <v>1107</v>
      </c>
      <c r="C18" s="3239"/>
      <c r="D18" s="1305"/>
      <c r="E18" s="1305"/>
      <c r="F18" s="1306"/>
      <c r="G18" s="1307"/>
      <c r="H18" s="1317"/>
      <c r="I18" s="1318">
        <f>ROUND(D18*E18*F18*G18/10000,0)</f>
        <v>0</v>
      </c>
    </row>
    <row r="19" spans="1:9" ht="14.25">
      <c r="A19" s="3238"/>
      <c r="B19" s="3239" t="s">
        <v>1108</v>
      </c>
      <c r="C19" s="3239"/>
      <c r="D19" s="1305"/>
      <c r="E19" s="1305"/>
      <c r="F19" s="1306"/>
      <c r="G19" s="1307"/>
      <c r="H19" s="1317"/>
      <c r="I19" s="1318">
        <f>ROUND(D19*E19*F19*G19/10000,0)</f>
        <v>0</v>
      </c>
    </row>
    <row r="20" spans="1:9">
      <c r="A20" s="3238"/>
      <c r="B20" s="3240" t="s">
        <v>1092</v>
      </c>
      <c r="C20" s="3240"/>
      <c r="D20" s="1309">
        <f>SUM(D17:D19)</f>
        <v>0</v>
      </c>
      <c r="E20" s="1309"/>
      <c r="F20" s="1310"/>
      <c r="G20" s="1307"/>
      <c r="H20" s="1314"/>
      <c r="I20" s="1315">
        <f>SUM(I17:I19)</f>
        <v>0</v>
      </c>
    </row>
    <row r="21" spans="1:9">
      <c r="A21" s="3238" t="s">
        <v>1109</v>
      </c>
      <c r="B21" s="3242"/>
      <c r="C21" s="3242"/>
      <c r="D21" s="3242"/>
      <c r="E21" s="3242"/>
      <c r="F21" s="3242"/>
      <c r="G21" s="3242"/>
      <c r="H21" s="1768">
        <v>0.1</v>
      </c>
      <c r="I21" s="1312">
        <f>ROUND(I10*H21,0)</f>
        <v>0</v>
      </c>
    </row>
    <row r="22" spans="1:9" ht="14.25">
      <c r="A22" s="3243" t="s">
        <v>1110</v>
      </c>
      <c r="B22" s="3244"/>
      <c r="C22" s="3245"/>
      <c r="D22" s="1319" t="s">
        <v>1111</v>
      </c>
      <c r="E22" s="1319" t="s">
        <v>1112</v>
      </c>
      <c r="F22" s="1320" t="s">
        <v>1113</v>
      </c>
      <c r="G22" s="1320" t="s">
        <v>1114</v>
      </c>
      <c r="H22" s="1313" t="s">
        <v>1115</v>
      </c>
      <c r="I22" s="1304" t="s">
        <v>1116</v>
      </c>
    </row>
    <row r="23" spans="1:9" ht="14.25" thickBot="1">
      <c r="A23" s="3246"/>
      <c r="B23" s="3247"/>
      <c r="C23" s="3248"/>
      <c r="D23" s="1321"/>
      <c r="E23" s="1321"/>
      <c r="F23" s="1321"/>
      <c r="G23" s="1322"/>
      <c r="H23" s="1323"/>
      <c r="I23" s="1324">
        <f>ROUND(E23*D23*F23*(1-G23)/10000,0)</f>
        <v>0</v>
      </c>
    </row>
    <row r="26" spans="1:9">
      <c r="A26" s="1325" t="s">
        <v>1117</v>
      </c>
      <c r="B26" s="1325"/>
      <c r="C26" s="1325"/>
      <c r="D26" s="1325"/>
      <c r="E26" s="3249">
        <f>C27-C30-C31-C32</f>
        <v>0</v>
      </c>
      <c r="F26" s="3249"/>
      <c r="G26" s="3249"/>
      <c r="H26" s="1740" t="s">
        <v>1341</v>
      </c>
    </row>
    <row r="27" spans="1:9">
      <c r="A27" s="1326">
        <v>1</v>
      </c>
      <c r="B27" s="1327" t="s">
        <v>1118</v>
      </c>
      <c r="C27" s="1327">
        <f>C28+C29</f>
        <v>0</v>
      </c>
      <c r="D27" s="1327"/>
      <c r="E27" s="3250"/>
      <c r="F27" s="3250"/>
      <c r="G27" s="3250"/>
    </row>
    <row r="28" spans="1:9">
      <c r="A28" s="1328" t="s">
        <v>1119</v>
      </c>
      <c r="B28" s="1327" t="s">
        <v>1120</v>
      </c>
      <c r="C28" s="1327"/>
      <c r="D28" s="1327"/>
      <c r="E28" s="3250"/>
      <c r="F28" s="3250"/>
      <c r="G28" s="325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1"/>
      <c r="F32" s="3241"/>
      <c r="G32" s="3241"/>
    </row>
    <row r="33" spans="1:7" hidden="1">
      <c r="A33" s="3251" t="s">
        <v>1129</v>
      </c>
      <c r="B33" s="3252"/>
      <c r="C33" s="3252"/>
      <c r="D33" s="3253"/>
      <c r="E33" s="3249"/>
      <c r="F33" s="3249"/>
      <c r="G33" s="3249"/>
    </row>
    <row r="34" spans="1:7" hidden="1">
      <c r="A34" s="1330">
        <v>1</v>
      </c>
      <c r="B34" s="1327" t="s">
        <v>1130</v>
      </c>
      <c r="C34" s="1327"/>
      <c r="D34" s="1327"/>
      <c r="E34" s="3250"/>
      <c r="F34" s="3250"/>
      <c r="G34" s="3250"/>
    </row>
    <row r="35" spans="1:7" hidden="1">
      <c r="A35" s="1330">
        <v>2</v>
      </c>
      <c r="B35" s="1327" t="s">
        <v>1131</v>
      </c>
      <c r="C35" s="1327"/>
      <c r="D35" s="1327"/>
      <c r="E35" s="3250"/>
      <c r="F35" s="3250"/>
      <c r="G35" s="3250"/>
    </row>
    <row r="36" spans="1:7" hidden="1">
      <c r="A36" s="1330">
        <v>3</v>
      </c>
      <c r="B36" s="1327" t="s">
        <v>1132</v>
      </c>
      <c r="C36" s="1327"/>
      <c r="D36" s="1327"/>
      <c r="E36" s="3250"/>
      <c r="F36" s="3250"/>
      <c r="G36" s="3250"/>
    </row>
    <row r="37" spans="1:7" hidden="1">
      <c r="A37" s="1330">
        <v>4</v>
      </c>
      <c r="B37" s="1327" t="s">
        <v>1133</v>
      </c>
      <c r="C37" s="1327"/>
      <c r="D37" s="1327"/>
      <c r="E37" s="3250"/>
      <c r="F37" s="3250"/>
      <c r="G37" s="3250"/>
    </row>
    <row r="38" spans="1:7" hidden="1">
      <c r="A38" s="3251" t="s">
        <v>1134</v>
      </c>
      <c r="B38" s="3252"/>
      <c r="C38" s="3252"/>
      <c r="D38" s="3253"/>
      <c r="E38" s="3249"/>
      <c r="F38" s="3249"/>
      <c r="G38" s="32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9" t="s">
        <v>2527</v>
      </c>
      <c r="C1" s="1637" t="s">
        <v>2528</v>
      </c>
      <c r="D1" s="1624"/>
      <c r="E1" s="2590"/>
      <c r="F1" s="2591" t="s">
        <v>2529</v>
      </c>
      <c r="G1" s="1634" t="s">
        <v>2530</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93"/>
      <c r="D2" s="1367" t="e">
        <f ca="1">SUMIF(INDIRECT("'"&amp;F2&amp;"'"&amp;"!A:A"),"承租人权益价值",INDIRECT("'"&amp;F2&amp;"'"&amp;"!c:c"))</f>
        <v>#REF!</v>
      </c>
      <c r="E2" s="2594" t="s">
        <v>2531</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1396</v>
      </c>
      <c r="B3" s="399" t="e">
        <f ca="1">IF(C2="——",C49,ROUND(B2*10000/D3,0))</f>
        <v>#DIV/0!</v>
      </c>
      <c r="C3" s="400" t="s">
        <v>2532</v>
      </c>
      <c r="D3" s="399">
        <f>IF(D1="",'数据-汇总表'!E3,SUMIF('数据-汇总表'!$C19:$C33,D1,'数据-汇总表'!$E19:$E33))</f>
        <v>38306.649999999907</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4"/>
    </row>
    <row r="4" spans="1:29" ht="15">
      <c r="A4" s="401" t="s">
        <v>2533</v>
      </c>
      <c r="B4" s="402"/>
      <c r="C4" s="3197" t="s">
        <v>2534</v>
      </c>
      <c r="D4" s="3198"/>
      <c r="E4" s="3199" t="s">
        <v>2535</v>
      </c>
      <c r="F4" s="3200"/>
      <c r="G4" s="3197" t="s">
        <v>2536</v>
      </c>
      <c r="H4" s="3198"/>
      <c r="I4" s="3197" t="s">
        <v>2537</v>
      </c>
      <c r="J4" s="3198"/>
      <c r="K4" s="2603" t="s">
        <v>2538</v>
      </c>
      <c r="L4" s="1133"/>
      <c r="M4" s="1134"/>
      <c r="N4" s="1134"/>
      <c r="O4" s="1134"/>
      <c r="P4" s="3261" t="s">
        <v>2539</v>
      </c>
      <c r="Q4" s="3262"/>
      <c r="R4" s="3255" t="s">
        <v>2535</v>
      </c>
      <c r="S4" s="3256"/>
      <c r="T4" s="3255" t="s">
        <v>2536</v>
      </c>
      <c r="U4" s="3256"/>
      <c r="V4" s="3210" t="s">
        <v>2537</v>
      </c>
      <c r="W4" s="3210"/>
      <c r="X4" s="1816"/>
      <c r="Y4" s="3255" t="s">
        <v>2539</v>
      </c>
      <c r="Z4" s="3256"/>
      <c r="AA4" s="3254" t="s">
        <v>2535</v>
      </c>
      <c r="AB4" s="3254" t="s">
        <v>2536</v>
      </c>
      <c r="AC4" s="3254" t="s">
        <v>2537</v>
      </c>
    </row>
    <row r="5" spans="1:29" ht="15">
      <c r="A5" s="404"/>
      <c r="B5" s="405"/>
      <c r="C5" s="3185" t="s">
        <v>2540</v>
      </c>
      <c r="D5" s="3186"/>
      <c r="E5" s="3257" t="s">
        <v>2541</v>
      </c>
      <c r="F5" s="3258"/>
      <c r="G5" s="3185" t="s">
        <v>2542</v>
      </c>
      <c r="H5" s="3186"/>
      <c r="I5" s="3185" t="s">
        <v>2543</v>
      </c>
      <c r="J5" s="3186"/>
      <c r="K5" s="2604"/>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187" t="s">
        <v>2544</v>
      </c>
      <c r="D6" s="3188"/>
      <c r="E6" s="3259" t="s">
        <v>2544</v>
      </c>
      <c r="F6" s="3260"/>
      <c r="G6" s="3187" t="s">
        <v>2544</v>
      </c>
      <c r="H6" s="3188"/>
      <c r="I6" s="3187" t="s">
        <v>2544</v>
      </c>
      <c r="J6" s="3188"/>
      <c r="K6" s="2604"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77" t="s">
        <v>2547</v>
      </c>
      <c r="Q7" s="3212"/>
      <c r="R7" s="770" t="s">
        <v>23</v>
      </c>
      <c r="S7" s="771">
        <f t="shared" ref="S7:S15" si="0">F7</f>
        <v>0</v>
      </c>
      <c r="T7" s="770" t="s">
        <v>23</v>
      </c>
      <c r="U7" s="771">
        <f t="shared" ref="U7:U15" si="1">H7</f>
        <v>0</v>
      </c>
      <c r="V7" s="770" t="s">
        <v>23</v>
      </c>
      <c r="W7" s="771">
        <f t="shared" ref="W7:W15" si="2">J7</f>
        <v>0</v>
      </c>
      <c r="X7" s="772"/>
      <c r="Y7" s="3177" t="s">
        <v>2547</v>
      </c>
      <c r="Z7" s="3178"/>
      <c r="AA7" s="773" t="e">
        <f>D7/F7</f>
        <v>#DIV/0!</v>
      </c>
      <c r="AB7" s="773" t="e">
        <f>D7/H7</f>
        <v>#DIV/0!</v>
      </c>
      <c r="AC7" s="773" t="e">
        <f>D7/J7</f>
        <v>#DIV/0!</v>
      </c>
    </row>
    <row r="8" spans="1:29" s="116" customFormat="1" ht="15.75" thickBot="1">
      <c r="A8" s="408" t="s">
        <v>2548</v>
      </c>
      <c r="B8" s="409"/>
      <c r="C8" s="414" t="s">
        <v>2549</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77" t="s">
        <v>2550</v>
      </c>
      <c r="Q8" s="3178"/>
      <c r="R8" s="770" t="s">
        <v>23</v>
      </c>
      <c r="S8" s="771">
        <f t="shared" si="0"/>
        <v>0</v>
      </c>
      <c r="T8" s="770" t="s">
        <v>23</v>
      </c>
      <c r="U8" s="771">
        <f t="shared" si="1"/>
        <v>0</v>
      </c>
      <c r="V8" s="770" t="s">
        <v>23</v>
      </c>
      <c r="W8" s="771">
        <f t="shared" si="2"/>
        <v>0</v>
      </c>
      <c r="X8" s="772"/>
      <c r="Y8" s="3177" t="s">
        <v>2550</v>
      </c>
      <c r="Z8" s="3178"/>
      <c r="AA8" s="773" t="e">
        <f t="shared" ref="AA8:AA19" si="3">D8/F8</f>
        <v>#DIV/0!</v>
      </c>
      <c r="AB8" s="773" t="e">
        <f t="shared" ref="AB8:AB19" si="4">D8/H8</f>
        <v>#DIV/0!</v>
      </c>
      <c r="AC8" s="773" t="e">
        <f t="shared" ref="AC8:AC19" si="5">D8/J8</f>
        <v>#DIV/0!</v>
      </c>
    </row>
    <row r="9" spans="1:29" s="116" customFormat="1">
      <c r="A9" s="415" t="s">
        <v>2551</v>
      </c>
      <c r="B9" s="70" t="s">
        <v>2552</v>
      </c>
      <c r="C9" s="416"/>
      <c r="D9" s="134">
        <v>100</v>
      </c>
      <c r="E9" s="417"/>
      <c r="F9" s="418">
        <f>SUMIF(63:63,E9,64:64)-SUMIF(63:63,C9,64:64)+100</f>
        <v>100</v>
      </c>
      <c r="G9" s="419"/>
      <c r="H9" s="134">
        <f>SUMIF(63:63,G9,64:64)-SUMIF(63:63,C9,64:64)+100</f>
        <v>100</v>
      </c>
      <c r="I9" s="419"/>
      <c r="J9" s="134">
        <f>SUMIF(63:63,I9,64:64)-SUMIF(63:63,C9,64:64)+100</f>
        <v>100</v>
      </c>
      <c r="K9" s="2605"/>
      <c r="L9" s="1135"/>
      <c r="M9" s="1136"/>
      <c r="N9" s="1136"/>
      <c r="O9" s="1136"/>
      <c r="P9" s="3193"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193"/>
      <c r="Q11" s="1798" t="str">
        <f t="shared" si="6"/>
        <v>容积率</v>
      </c>
      <c r="R11" s="770" t="s">
        <v>21</v>
      </c>
      <c r="S11" s="771" t="e">
        <f t="shared" si="0"/>
        <v>#N/A</v>
      </c>
      <c r="T11" s="770" t="s">
        <v>21</v>
      </c>
      <c r="U11" s="771" t="e">
        <f t="shared" si="1"/>
        <v>#N/A</v>
      </c>
      <c r="V11" s="770" t="s">
        <v>21</v>
      </c>
      <c r="W11" s="771" t="e">
        <f t="shared" si="2"/>
        <v>#N/A</v>
      </c>
      <c r="X11" s="772"/>
      <c r="Y11" s="3047"/>
      <c r="Z11" s="54" t="str">
        <f t="shared" si="7"/>
        <v>容积率</v>
      </c>
      <c r="AA11" s="773" t="e">
        <f t="shared" si="3"/>
        <v>#N/A</v>
      </c>
      <c r="AB11" s="773" t="e">
        <f t="shared" si="4"/>
        <v>#N/A</v>
      </c>
      <c r="AC11" s="773" t="e">
        <f t="shared" si="5"/>
        <v>#N/A</v>
      </c>
    </row>
    <row r="12" spans="1:29" s="116" customFormat="1" ht="15">
      <c r="A12" s="431"/>
      <c r="B12" s="2607">
        <v>111</v>
      </c>
      <c r="C12" s="432"/>
      <c r="D12" s="433">
        <v>100</v>
      </c>
      <c r="E12" s="432"/>
      <c r="F12" s="425">
        <f>SUMIF(70:70,E12,71:71)-SUMIF(70:70,C12,71:71)+100</f>
        <v>100</v>
      </c>
      <c r="G12" s="432"/>
      <c r="H12" s="135">
        <f>SUMIF(70:70,G12,71:71)-SUMIF(70:70,C12,71:71)+100</f>
        <v>100</v>
      </c>
      <c r="I12" s="432"/>
      <c r="J12" s="135">
        <f>SUMIF(70:70,I12,71:71)-SUMIF(70:70,C12,71:71)+100</f>
        <v>100</v>
      </c>
      <c r="K12" s="2608"/>
      <c r="L12" s="1135"/>
      <c r="M12" s="1136"/>
      <c r="N12" s="1136"/>
      <c r="O12" s="1136"/>
      <c r="P12" s="3193"/>
      <c r="Q12" s="1798">
        <f t="shared" si="6"/>
        <v>111</v>
      </c>
      <c r="R12" s="770" t="s">
        <v>21</v>
      </c>
      <c r="S12" s="771">
        <f t="shared" si="0"/>
        <v>100</v>
      </c>
      <c r="T12" s="770" t="s">
        <v>21</v>
      </c>
      <c r="U12" s="771">
        <f t="shared" si="1"/>
        <v>100</v>
      </c>
      <c r="V12" s="770" t="s">
        <v>21</v>
      </c>
      <c r="W12" s="771">
        <f t="shared" si="2"/>
        <v>100</v>
      </c>
      <c r="X12" s="772"/>
      <c r="Y12" s="3047"/>
      <c r="Z12" s="54">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93"/>
      <c r="Q13" s="1798">
        <f t="shared" si="6"/>
        <v>111</v>
      </c>
      <c r="R13" s="770" t="s">
        <v>21</v>
      </c>
      <c r="S13" s="771">
        <f t="shared" si="0"/>
        <v>100</v>
      </c>
      <c r="T13" s="770" t="s">
        <v>21</v>
      </c>
      <c r="U13" s="771">
        <f t="shared" si="1"/>
        <v>100</v>
      </c>
      <c r="V13" s="770" t="s">
        <v>21</v>
      </c>
      <c r="W13" s="771">
        <f t="shared" si="2"/>
        <v>100</v>
      </c>
      <c r="X13" s="772"/>
      <c r="Y13" s="3047"/>
      <c r="Z13" s="54">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93"/>
      <c r="Q14" s="1798">
        <f t="shared" si="6"/>
        <v>111</v>
      </c>
      <c r="R14" s="770" t="s">
        <v>21</v>
      </c>
      <c r="S14" s="771">
        <f t="shared" si="0"/>
        <v>100</v>
      </c>
      <c r="T14" s="770" t="s">
        <v>21</v>
      </c>
      <c r="U14" s="771">
        <f t="shared" si="1"/>
        <v>100</v>
      </c>
      <c r="V14" s="770" t="s">
        <v>21</v>
      </c>
      <c r="W14" s="771">
        <f t="shared" si="2"/>
        <v>100</v>
      </c>
      <c r="X14" s="772"/>
      <c r="Y14" s="3047"/>
      <c r="Z14" s="54">
        <f t="shared" si="7"/>
        <v>111</v>
      </c>
      <c r="AA14" s="773">
        <f t="shared" si="3"/>
        <v>1</v>
      </c>
      <c r="AB14" s="773">
        <f t="shared" si="4"/>
        <v>1</v>
      </c>
      <c r="AC14" s="773">
        <f t="shared" si="5"/>
        <v>1</v>
      </c>
    </row>
    <row r="15" spans="1:29" ht="15">
      <c r="A15" s="440" t="s">
        <v>2557</v>
      </c>
      <c r="B15" s="68" t="s">
        <v>2091</v>
      </c>
      <c r="C15" s="261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3" t="s">
        <v>2558</v>
      </c>
      <c r="Q15" s="1813" t="str">
        <f t="shared" si="6"/>
        <v>居住社区成熟度</v>
      </c>
      <c r="R15" s="774" t="s">
        <v>21</v>
      </c>
      <c r="S15" s="775">
        <f t="shared" si="0"/>
        <v>100</v>
      </c>
      <c r="T15" s="774" t="s">
        <v>21</v>
      </c>
      <c r="U15" s="775">
        <f t="shared" si="1"/>
        <v>100</v>
      </c>
      <c r="V15" s="774" t="s">
        <v>21</v>
      </c>
      <c r="W15" s="775">
        <f t="shared" si="2"/>
        <v>100</v>
      </c>
      <c r="X15" s="1816"/>
      <c r="Y15" s="3215" t="s">
        <v>2558</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14"/>
      <c r="Q16" s="1813"/>
      <c r="R16" s="774"/>
      <c r="S16" s="775"/>
      <c r="T16" s="774"/>
      <c r="U16" s="775"/>
      <c r="V16" s="774"/>
      <c r="W16" s="775"/>
      <c r="X16" s="1816"/>
      <c r="Y16" s="3216"/>
      <c r="Z16" s="1817"/>
      <c r="AA16" s="1814">
        <v>1</v>
      </c>
      <c r="AB16" s="1814">
        <v>1</v>
      </c>
      <c r="AC16" s="1814">
        <v>1</v>
      </c>
    </row>
    <row r="17" spans="1:29" ht="15">
      <c r="A17" s="428"/>
      <c r="B17" s="451" t="s">
        <v>2097</v>
      </c>
      <c r="C17" s="2614">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4"/>
      <c r="Q17" s="1813" t="str">
        <f>B17</f>
        <v>交通便捷度</v>
      </c>
      <c r="R17" s="774" t="s">
        <v>21</v>
      </c>
      <c r="S17" s="775">
        <f>F17</f>
        <v>100</v>
      </c>
      <c r="T17" s="774" t="s">
        <v>21</v>
      </c>
      <c r="U17" s="775">
        <f>H17</f>
        <v>100</v>
      </c>
      <c r="V17" s="774" t="s">
        <v>21</v>
      </c>
      <c r="W17" s="775">
        <f>J17</f>
        <v>100</v>
      </c>
      <c r="X17" s="1816"/>
      <c r="Y17" s="3216"/>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14"/>
      <c r="Q18" s="1813"/>
      <c r="R18" s="774"/>
      <c r="S18" s="775"/>
      <c r="T18" s="774"/>
      <c r="U18" s="775"/>
      <c r="V18" s="774"/>
      <c r="W18" s="775"/>
      <c r="X18" s="1816"/>
      <c r="Y18" s="3216"/>
      <c r="Z18" s="1817"/>
      <c r="AA18" s="1814">
        <v>1</v>
      </c>
      <c r="AB18" s="1814">
        <v>1</v>
      </c>
      <c r="AC18" s="1814">
        <v>1</v>
      </c>
    </row>
    <row r="19" spans="1:29" ht="15">
      <c r="A19" s="428"/>
      <c r="B19" s="451" t="s">
        <v>2096</v>
      </c>
      <c r="C19" s="2614">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4"/>
      <c r="Q19" s="1813" t="str">
        <f>B19</f>
        <v>公共配套设施</v>
      </c>
      <c r="R19" s="774" t="s">
        <v>21</v>
      </c>
      <c r="S19" s="775">
        <f>F19</f>
        <v>100</v>
      </c>
      <c r="T19" s="774" t="s">
        <v>21</v>
      </c>
      <c r="U19" s="775">
        <f>H19</f>
        <v>100</v>
      </c>
      <c r="V19" s="774" t="s">
        <v>21</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14"/>
      <c r="Q20" s="1813"/>
      <c r="R20" s="774"/>
      <c r="S20" s="775"/>
      <c r="T20" s="774"/>
      <c r="U20" s="775"/>
      <c r="V20" s="774"/>
      <c r="W20" s="775"/>
      <c r="X20" s="1816"/>
      <c r="Y20" s="3216"/>
      <c r="Z20" s="1817"/>
      <c r="AA20" s="1814">
        <v>1</v>
      </c>
      <c r="AB20" s="1814">
        <v>1</v>
      </c>
      <c r="AC20" s="1814">
        <v>1</v>
      </c>
    </row>
    <row r="21" spans="1:29" ht="15">
      <c r="A21" s="428"/>
      <c r="B21" s="1386" t="s">
        <v>2098</v>
      </c>
      <c r="C21" s="2614">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6"/>
      <c r="C22" s="2615"/>
      <c r="D22" s="448"/>
      <c r="E22" s="447"/>
      <c r="F22" s="448"/>
      <c r="G22" s="2618"/>
      <c r="H22" s="448"/>
      <c r="I22" s="447"/>
      <c r="J22" s="448"/>
      <c r="K22" s="2619"/>
      <c r="L22" s="1143"/>
      <c r="M22" s="1134"/>
      <c r="N22" s="1134"/>
      <c r="O22" s="1134"/>
      <c r="P22" s="3214"/>
      <c r="Q22" s="1813"/>
      <c r="R22" s="774"/>
      <c r="S22" s="775"/>
      <c r="T22" s="774"/>
      <c r="U22" s="775"/>
      <c r="V22" s="774"/>
      <c r="W22" s="775"/>
      <c r="X22" s="1816"/>
      <c r="Y22" s="3216"/>
      <c r="Z22" s="1817"/>
      <c r="AA22" s="1814">
        <v>1</v>
      </c>
      <c r="AB22" s="1814">
        <v>1</v>
      </c>
      <c r="AC22" s="1814">
        <v>1</v>
      </c>
    </row>
    <row r="23" spans="1:29" ht="15">
      <c r="A23" s="428"/>
      <c r="B23" s="451" t="s">
        <v>2100</v>
      </c>
      <c r="C23" s="2614">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4"/>
      <c r="Q23" s="1813" t="str">
        <f>B23</f>
        <v>自然及人文环境</v>
      </c>
      <c r="R23" s="774" t="s">
        <v>21</v>
      </c>
      <c r="S23" s="775">
        <f>F23</f>
        <v>100</v>
      </c>
      <c r="T23" s="774" t="s">
        <v>21</v>
      </c>
      <c r="U23" s="775">
        <f>H23</f>
        <v>100</v>
      </c>
      <c r="V23" s="774" t="s">
        <v>21</v>
      </c>
      <c r="W23" s="775">
        <f>J23</f>
        <v>100</v>
      </c>
      <c r="X23" s="1816"/>
      <c r="Y23" s="3216"/>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14"/>
      <c r="Q24" s="1813"/>
      <c r="R24" s="774"/>
      <c r="S24" s="775"/>
      <c r="T24" s="774"/>
      <c r="U24" s="775"/>
      <c r="V24" s="774"/>
      <c r="W24" s="775"/>
      <c r="X24" s="1816"/>
      <c r="Y24" s="3216"/>
      <c r="Z24" s="1817"/>
      <c r="AA24" s="1814">
        <v>1</v>
      </c>
      <c r="AB24" s="1814">
        <v>1</v>
      </c>
      <c r="AC24" s="1814">
        <v>1</v>
      </c>
    </row>
    <row r="25" spans="1:29" ht="15">
      <c r="A25" s="428"/>
      <c r="B25" s="422" t="s">
        <v>2559</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1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6"/>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14"/>
      <c r="Q26" s="1813" t="str">
        <f t="shared" si="11"/>
        <v>朝向</v>
      </c>
      <c r="R26" s="774" t="s">
        <v>21</v>
      </c>
      <c r="S26" s="775">
        <f t="shared" si="12"/>
        <v>100</v>
      </c>
      <c r="T26" s="774" t="s">
        <v>21</v>
      </c>
      <c r="U26" s="775">
        <f t="shared" si="13"/>
        <v>100</v>
      </c>
      <c r="V26" s="774" t="s">
        <v>21</v>
      </c>
      <c r="W26" s="775">
        <f t="shared" si="14"/>
        <v>100</v>
      </c>
      <c r="X26" s="1816"/>
      <c r="Y26" s="3216"/>
      <c r="Z26" s="1817" t="str">
        <f>Q26</f>
        <v>朝向</v>
      </c>
      <c r="AA26" s="1814">
        <f t="shared" si="15"/>
        <v>1</v>
      </c>
      <c r="AB26" s="1814">
        <f t="shared" si="16"/>
        <v>1</v>
      </c>
      <c r="AC26" s="1814">
        <f t="shared" si="17"/>
        <v>1</v>
      </c>
    </row>
    <row r="27" spans="1:29" s="116"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14"/>
      <c r="Q27" s="1798">
        <f t="shared" si="11"/>
        <v>111</v>
      </c>
      <c r="R27" s="770" t="s">
        <v>21</v>
      </c>
      <c r="S27" s="771">
        <f t="shared" si="12"/>
        <v>100</v>
      </c>
      <c r="T27" s="770" t="s">
        <v>21</v>
      </c>
      <c r="U27" s="771">
        <f t="shared" si="13"/>
        <v>100</v>
      </c>
      <c r="V27" s="770" t="s">
        <v>21</v>
      </c>
      <c r="W27" s="771">
        <f t="shared" si="14"/>
        <v>100</v>
      </c>
      <c r="X27" s="772"/>
      <c r="Y27" s="3216"/>
      <c r="Z27" s="54">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14"/>
      <c r="Q28" s="1813">
        <f t="shared" si="11"/>
        <v>111</v>
      </c>
      <c r="R28" s="774" t="s">
        <v>21</v>
      </c>
      <c r="S28" s="775">
        <f t="shared" si="12"/>
        <v>100</v>
      </c>
      <c r="T28" s="774" t="s">
        <v>21</v>
      </c>
      <c r="U28" s="775">
        <f t="shared" si="13"/>
        <v>100</v>
      </c>
      <c r="V28" s="774" t="s">
        <v>21</v>
      </c>
      <c r="W28" s="775">
        <f t="shared" si="14"/>
        <v>100</v>
      </c>
      <c r="X28" s="1816"/>
      <c r="Y28" s="3216"/>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14"/>
      <c r="Q29" s="1813">
        <f t="shared" si="11"/>
        <v>111</v>
      </c>
      <c r="R29" s="774" t="s">
        <v>21</v>
      </c>
      <c r="S29" s="775">
        <f t="shared" si="12"/>
        <v>100</v>
      </c>
      <c r="T29" s="774" t="s">
        <v>21</v>
      </c>
      <c r="U29" s="775">
        <f t="shared" si="13"/>
        <v>100</v>
      </c>
      <c r="V29" s="774" t="s">
        <v>21</v>
      </c>
      <c r="W29" s="775">
        <f t="shared" si="14"/>
        <v>100</v>
      </c>
      <c r="X29" s="1816"/>
      <c r="Y29" s="3216"/>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14"/>
      <c r="Q30" s="1813">
        <f t="shared" si="11"/>
        <v>111</v>
      </c>
      <c r="R30" s="774" t="s">
        <v>21</v>
      </c>
      <c r="S30" s="775">
        <f t="shared" si="12"/>
        <v>100</v>
      </c>
      <c r="T30" s="774" t="s">
        <v>21</v>
      </c>
      <c r="U30" s="775">
        <f t="shared" si="13"/>
        <v>100</v>
      </c>
      <c r="V30" s="774" t="s">
        <v>21</v>
      </c>
      <c r="W30" s="775">
        <f t="shared" si="14"/>
        <v>100</v>
      </c>
      <c r="X30" s="1816"/>
      <c r="Y30" s="3216"/>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14"/>
      <c r="Q31" s="1813">
        <f t="shared" si="11"/>
        <v>111</v>
      </c>
      <c r="R31" s="774" t="s">
        <v>21</v>
      </c>
      <c r="S31" s="775">
        <f t="shared" si="12"/>
        <v>100</v>
      </c>
      <c r="T31" s="774" t="s">
        <v>21</v>
      </c>
      <c r="U31" s="775">
        <f t="shared" si="13"/>
        <v>100</v>
      </c>
      <c r="V31" s="774" t="s">
        <v>21</v>
      </c>
      <c r="W31" s="775">
        <f t="shared" si="14"/>
        <v>100</v>
      </c>
      <c r="X31" s="1816"/>
      <c r="Y31" s="3216"/>
      <c r="Z31" s="1817">
        <f t="shared" si="18"/>
        <v>111</v>
      </c>
      <c r="AA31" s="1814">
        <f t="shared" si="15"/>
        <v>1</v>
      </c>
      <c r="AB31" s="1814">
        <f t="shared" si="16"/>
        <v>1</v>
      </c>
      <c r="AC31" s="1814">
        <f t="shared" si="17"/>
        <v>1</v>
      </c>
    </row>
    <row r="32" spans="1:29" ht="15">
      <c r="A32" s="440" t="s">
        <v>2561</v>
      </c>
      <c r="B32" s="70" t="s">
        <v>2562</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17" t="s">
        <v>2563</v>
      </c>
      <c r="Q32" s="1813" t="str">
        <f t="shared" si="11"/>
        <v>建筑类型</v>
      </c>
      <c r="R32" s="774" t="s">
        <v>21</v>
      </c>
      <c r="S32" s="775">
        <f t="shared" si="12"/>
        <v>100</v>
      </c>
      <c r="T32" s="774" t="s">
        <v>21</v>
      </c>
      <c r="U32" s="775">
        <f t="shared" si="13"/>
        <v>100</v>
      </c>
      <c r="V32" s="774" t="s">
        <v>21</v>
      </c>
      <c r="W32" s="775">
        <f t="shared" si="14"/>
        <v>100</v>
      </c>
      <c r="X32" s="1816"/>
      <c r="Y32" s="3220" t="s">
        <v>2563</v>
      </c>
      <c r="Z32" s="1817" t="str">
        <f t="shared" si="18"/>
        <v>建筑类型</v>
      </c>
      <c r="AA32" s="1814">
        <f t="shared" si="15"/>
        <v>1</v>
      </c>
      <c r="AB32" s="1814">
        <f t="shared" si="16"/>
        <v>1</v>
      </c>
      <c r="AC32" s="1814">
        <f t="shared" si="17"/>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8"/>
      <c r="L33" s="1141"/>
      <c r="M33" s="1144"/>
      <c r="N33" s="1144"/>
      <c r="O33" s="1144"/>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4" t="e">
        <f t="shared" si="15"/>
        <v>#N/A</v>
      </c>
      <c r="AB33" s="1814" t="e">
        <f t="shared" si="16"/>
        <v>#N/A</v>
      </c>
      <c r="AC33" s="1814" t="e">
        <f t="shared" si="17"/>
        <v>#N/A</v>
      </c>
    </row>
    <row r="34" spans="1:29" ht="15">
      <c r="A34" s="472"/>
      <c r="B34" s="422" t="s">
        <v>2565</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18"/>
      <c r="Q34" s="1813" t="str">
        <f t="shared" si="11"/>
        <v>建筑结构</v>
      </c>
      <c r="R34" s="774" t="s">
        <v>21</v>
      </c>
      <c r="S34" s="775">
        <f t="shared" si="12"/>
        <v>100</v>
      </c>
      <c r="T34" s="774" t="s">
        <v>21</v>
      </c>
      <c r="U34" s="775">
        <f t="shared" si="13"/>
        <v>100</v>
      </c>
      <c r="V34" s="774" t="s">
        <v>21</v>
      </c>
      <c r="W34" s="775">
        <f t="shared" si="14"/>
        <v>100</v>
      </c>
      <c r="X34" s="1816"/>
      <c r="Y34" s="3220"/>
      <c r="Z34" s="1817" t="str">
        <f t="shared" si="18"/>
        <v>建筑结构</v>
      </c>
      <c r="AA34" s="1814">
        <f t="shared" si="15"/>
        <v>1</v>
      </c>
      <c r="AB34" s="1814">
        <f t="shared" si="16"/>
        <v>1</v>
      </c>
      <c r="AC34" s="1814">
        <f t="shared" si="17"/>
        <v>1</v>
      </c>
    </row>
    <row r="35" spans="1:29" ht="15">
      <c r="A35" s="472"/>
      <c r="B35" s="422" t="s">
        <v>2566</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18"/>
      <c r="Q35" s="1813" t="str">
        <f t="shared" si="11"/>
        <v>建筑品质</v>
      </c>
      <c r="R35" s="774" t="s">
        <v>21</v>
      </c>
      <c r="S35" s="775">
        <f t="shared" si="12"/>
        <v>100</v>
      </c>
      <c r="T35" s="774" t="s">
        <v>21</v>
      </c>
      <c r="U35" s="775">
        <f t="shared" si="13"/>
        <v>100</v>
      </c>
      <c r="V35" s="774" t="s">
        <v>21</v>
      </c>
      <c r="W35" s="775">
        <f t="shared" si="14"/>
        <v>100</v>
      </c>
      <c r="X35" s="1816"/>
      <c r="Y35" s="3220"/>
      <c r="Z35" s="1817" t="str">
        <f t="shared" si="18"/>
        <v>建筑品质</v>
      </c>
      <c r="AA35" s="1814">
        <f t="shared" si="15"/>
        <v>1</v>
      </c>
      <c r="AB35" s="1814">
        <f t="shared" si="16"/>
        <v>1</v>
      </c>
      <c r="AC35" s="1814">
        <f t="shared" si="17"/>
        <v>1</v>
      </c>
    </row>
    <row r="36" spans="1:29" ht="15">
      <c r="A36" s="472"/>
      <c r="B36" s="422" t="s">
        <v>2567</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18"/>
      <c r="Q36" s="1813" t="str">
        <f t="shared" si="11"/>
        <v>公共部分装修</v>
      </c>
      <c r="R36" s="774" t="s">
        <v>21</v>
      </c>
      <c r="S36" s="775">
        <f t="shared" si="12"/>
        <v>100</v>
      </c>
      <c r="T36" s="774" t="s">
        <v>21</v>
      </c>
      <c r="U36" s="775">
        <f t="shared" si="13"/>
        <v>100</v>
      </c>
      <c r="V36" s="774" t="s">
        <v>21</v>
      </c>
      <c r="W36" s="775">
        <f t="shared" si="14"/>
        <v>100</v>
      </c>
      <c r="X36" s="1816"/>
      <c r="Y36" s="3220"/>
      <c r="Z36" s="1817" t="str">
        <f t="shared" si="18"/>
        <v>公共部分装修</v>
      </c>
      <c r="AA36" s="1814">
        <f t="shared" si="15"/>
        <v>1</v>
      </c>
      <c r="AB36" s="1814">
        <f t="shared" si="16"/>
        <v>1</v>
      </c>
      <c r="AC36" s="1814">
        <f t="shared" si="17"/>
        <v>1</v>
      </c>
    </row>
    <row r="37" spans="1:29" s="116" customFormat="1" ht="15">
      <c r="A37" s="473"/>
      <c r="B37" s="422" t="s">
        <v>2568</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18"/>
      <c r="Q37" s="1798" t="str">
        <f t="shared" si="11"/>
        <v>成新度</v>
      </c>
      <c r="R37" s="770" t="s">
        <v>21</v>
      </c>
      <c r="S37" s="771" t="e">
        <f t="shared" si="12"/>
        <v>#N/A</v>
      </c>
      <c r="T37" s="770" t="s">
        <v>21</v>
      </c>
      <c r="U37" s="771" t="e">
        <f t="shared" si="13"/>
        <v>#N/A</v>
      </c>
      <c r="V37" s="770" t="s">
        <v>21</v>
      </c>
      <c r="W37" s="771" t="e">
        <f t="shared" si="14"/>
        <v>#N/A</v>
      </c>
      <c r="X37" s="772"/>
      <c r="Y37" s="3220"/>
      <c r="Z37" s="54" t="str">
        <f t="shared" si="18"/>
        <v>成新度</v>
      </c>
      <c r="AA37" s="773" t="e">
        <f t="shared" si="15"/>
        <v>#N/A</v>
      </c>
      <c r="AB37" s="773" t="e">
        <f t="shared" si="16"/>
        <v>#N/A</v>
      </c>
      <c r="AC37" s="773" t="e">
        <f t="shared" si="17"/>
        <v>#N/A</v>
      </c>
    </row>
    <row r="38" spans="1:29" ht="15">
      <c r="A38" s="472"/>
      <c r="B38" s="422" t="s">
        <v>2569</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18" t="s">
        <v>2563</v>
      </c>
      <c r="Q38" s="1813" t="str">
        <f t="shared" si="11"/>
        <v>物业管理</v>
      </c>
      <c r="R38" s="774" t="s">
        <v>21</v>
      </c>
      <c r="S38" s="775">
        <f t="shared" si="12"/>
        <v>100</v>
      </c>
      <c r="T38" s="774" t="s">
        <v>21</v>
      </c>
      <c r="U38" s="775">
        <f t="shared" si="13"/>
        <v>100</v>
      </c>
      <c r="V38" s="774" t="s">
        <v>21</v>
      </c>
      <c r="W38" s="775">
        <f t="shared" si="14"/>
        <v>100</v>
      </c>
      <c r="X38" s="1816"/>
      <c r="Y38" s="3220" t="s">
        <v>2563</v>
      </c>
      <c r="Z38" s="1817" t="str">
        <f t="shared" si="18"/>
        <v>物业管理</v>
      </c>
      <c r="AA38" s="1814">
        <f t="shared" si="15"/>
        <v>1</v>
      </c>
      <c r="AB38" s="1814">
        <f t="shared" si="16"/>
        <v>1</v>
      </c>
      <c r="AC38" s="1814">
        <f t="shared" si="17"/>
        <v>1</v>
      </c>
    </row>
    <row r="39" spans="1:29" ht="15">
      <c r="A39" s="472"/>
      <c r="B39" s="422" t="s">
        <v>2570</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18"/>
      <c r="Q39" s="1813" t="str">
        <f t="shared" si="11"/>
        <v>市政基础设施</v>
      </c>
      <c r="R39" s="774" t="s">
        <v>21</v>
      </c>
      <c r="S39" s="775">
        <f t="shared" si="12"/>
        <v>100</v>
      </c>
      <c r="T39" s="774" t="s">
        <v>21</v>
      </c>
      <c r="U39" s="775">
        <f t="shared" si="13"/>
        <v>100</v>
      </c>
      <c r="V39" s="774" t="s">
        <v>21</v>
      </c>
      <c r="W39" s="775">
        <f t="shared" si="14"/>
        <v>100</v>
      </c>
      <c r="X39" s="1816"/>
      <c r="Y39" s="3220"/>
      <c r="Z39" s="1817" t="str">
        <f t="shared" si="18"/>
        <v>市政基础设施</v>
      </c>
      <c r="AA39" s="1814">
        <f t="shared" si="15"/>
        <v>1</v>
      </c>
      <c r="AB39" s="1814">
        <f t="shared" si="16"/>
        <v>1</v>
      </c>
      <c r="AC39" s="1814">
        <f t="shared" si="17"/>
        <v>1</v>
      </c>
    </row>
    <row r="40" spans="1:29" ht="15">
      <c r="A40" s="472"/>
      <c r="B40" s="422" t="s">
        <v>2571</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18"/>
      <c r="Q40" s="1813" t="str">
        <f t="shared" si="11"/>
        <v>房型</v>
      </c>
      <c r="R40" s="774" t="s">
        <v>21</v>
      </c>
      <c r="S40" s="775">
        <f t="shared" si="12"/>
        <v>100</v>
      </c>
      <c r="T40" s="774" t="s">
        <v>21</v>
      </c>
      <c r="U40" s="775">
        <f t="shared" si="13"/>
        <v>100</v>
      </c>
      <c r="V40" s="774" t="s">
        <v>21</v>
      </c>
      <c r="W40" s="775">
        <f t="shared" si="14"/>
        <v>100</v>
      </c>
      <c r="X40" s="1816"/>
      <c r="Y40" s="3220"/>
      <c r="Z40" s="1817" t="str">
        <f t="shared" si="18"/>
        <v>房型</v>
      </c>
      <c r="AA40" s="1814">
        <f t="shared" si="15"/>
        <v>1</v>
      </c>
      <c r="AB40" s="1814">
        <f t="shared" si="16"/>
        <v>1</v>
      </c>
      <c r="AC40" s="1814">
        <f t="shared" si="17"/>
        <v>1</v>
      </c>
    </row>
    <row r="41" spans="1:29" s="471" customFormat="1" ht="28.5">
      <c r="A41" s="468"/>
      <c r="B41" s="422" t="s">
        <v>2572</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8"/>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4">
        <f t="shared" si="15"/>
        <v>1</v>
      </c>
      <c r="AB41" s="1814">
        <f t="shared" si="16"/>
        <v>1</v>
      </c>
      <c r="AC41" s="1814">
        <f t="shared" si="17"/>
        <v>1</v>
      </c>
    </row>
    <row r="42" spans="1:29" ht="15">
      <c r="A42" s="472"/>
      <c r="B42" s="422" t="s">
        <v>2573</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18"/>
      <c r="Q42" s="1813" t="str">
        <f t="shared" si="11"/>
        <v>内部装修</v>
      </c>
      <c r="R42" s="774" t="s">
        <v>21</v>
      </c>
      <c r="S42" s="775">
        <f t="shared" si="12"/>
        <v>100</v>
      </c>
      <c r="T42" s="774" t="s">
        <v>21</v>
      </c>
      <c r="U42" s="775">
        <f t="shared" si="13"/>
        <v>100</v>
      </c>
      <c r="V42" s="774" t="s">
        <v>21</v>
      </c>
      <c r="W42" s="775">
        <f t="shared" si="14"/>
        <v>100</v>
      </c>
      <c r="X42" s="1816"/>
      <c r="Y42" s="3220"/>
      <c r="Z42" s="1817" t="str">
        <f t="shared" si="18"/>
        <v>内部装修</v>
      </c>
      <c r="AA42" s="1814">
        <f t="shared" si="15"/>
        <v>1</v>
      </c>
      <c r="AB42" s="1814">
        <f t="shared" si="16"/>
        <v>1</v>
      </c>
      <c r="AC42" s="1814">
        <f t="shared" si="17"/>
        <v>1</v>
      </c>
    </row>
    <row r="43" spans="1:29" ht="15">
      <c r="A43" s="472"/>
      <c r="B43" s="422" t="s">
        <v>2574</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18"/>
      <c r="Q43" s="1813" t="str">
        <f t="shared" si="11"/>
        <v>内部装修维护情况</v>
      </c>
      <c r="R43" s="774" t="s">
        <v>21</v>
      </c>
      <c r="S43" s="775">
        <f t="shared" si="12"/>
        <v>100</v>
      </c>
      <c r="T43" s="774" t="s">
        <v>21</v>
      </c>
      <c r="U43" s="775">
        <f t="shared" si="13"/>
        <v>100</v>
      </c>
      <c r="V43" s="774" t="s">
        <v>21</v>
      </c>
      <c r="W43" s="775">
        <f t="shared" si="14"/>
        <v>100</v>
      </c>
      <c r="X43" s="1816"/>
      <c r="Y43" s="3220"/>
      <c r="Z43" s="1817" t="str">
        <f t="shared" si="18"/>
        <v>内部装修维护情况</v>
      </c>
      <c r="AA43" s="1814">
        <f t="shared" si="15"/>
        <v>1</v>
      </c>
      <c r="AB43" s="1814">
        <f t="shared" si="16"/>
        <v>1</v>
      </c>
      <c r="AC43" s="1814">
        <f t="shared" si="17"/>
        <v>1</v>
      </c>
    </row>
    <row r="44" spans="1:29" s="116" customFormat="1" ht="15">
      <c r="A44" s="473"/>
      <c r="B44" s="1388">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8"/>
      <c r="L44" s="1135"/>
      <c r="M44" s="1136"/>
      <c r="N44" s="1136"/>
      <c r="O44" s="1136"/>
      <c r="P44" s="3218"/>
      <c r="Q44" s="1798">
        <f t="shared" si="11"/>
        <v>111</v>
      </c>
      <c r="R44" s="770" t="s">
        <v>21</v>
      </c>
      <c r="S44" s="771">
        <f t="shared" si="12"/>
        <v>100</v>
      </c>
      <c r="T44" s="770" t="s">
        <v>21</v>
      </c>
      <c r="U44" s="771">
        <f t="shared" si="13"/>
        <v>100</v>
      </c>
      <c r="V44" s="770" t="s">
        <v>21</v>
      </c>
      <c r="W44" s="771">
        <f t="shared" si="14"/>
        <v>100</v>
      </c>
      <c r="X44" s="772"/>
      <c r="Y44" s="3220"/>
      <c r="Z44" s="54">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18"/>
      <c r="Q45" s="1813">
        <f t="shared" si="11"/>
        <v>111</v>
      </c>
      <c r="R45" s="774" t="s">
        <v>21</v>
      </c>
      <c r="S45" s="775">
        <f t="shared" si="12"/>
        <v>100</v>
      </c>
      <c r="T45" s="774" t="s">
        <v>21</v>
      </c>
      <c r="U45" s="775">
        <f t="shared" si="13"/>
        <v>100</v>
      </c>
      <c r="V45" s="774" t="s">
        <v>21</v>
      </c>
      <c r="W45" s="775">
        <f t="shared" si="14"/>
        <v>100</v>
      </c>
      <c r="X45" s="1816"/>
      <c r="Y45" s="3220"/>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19"/>
      <c r="Q46" s="1813">
        <f t="shared" si="11"/>
        <v>111</v>
      </c>
      <c r="R46" s="774" t="s">
        <v>20</v>
      </c>
      <c r="S46" s="775">
        <f t="shared" si="12"/>
        <v>100</v>
      </c>
      <c r="T46" s="774" t="s">
        <v>20</v>
      </c>
      <c r="U46" s="775">
        <f t="shared" si="13"/>
        <v>100</v>
      </c>
      <c r="V46" s="774" t="s">
        <v>20</v>
      </c>
      <c r="W46" s="775">
        <f t="shared" si="14"/>
        <v>100</v>
      </c>
      <c r="X46" s="1816"/>
      <c r="Y46" s="3221"/>
      <c r="Z46" s="1817">
        <f t="shared" si="18"/>
        <v>111</v>
      </c>
      <c r="AA46" s="1814">
        <f t="shared" si="15"/>
        <v>1</v>
      </c>
      <c r="AB46" s="1814">
        <f t="shared" si="16"/>
        <v>1</v>
      </c>
      <c r="AC46" s="1814">
        <f t="shared" si="17"/>
        <v>1</v>
      </c>
    </row>
    <row r="47" spans="1:29" ht="15">
      <c r="A47" s="479" t="s">
        <v>2575</v>
      </c>
      <c r="B47" s="480"/>
      <c r="C47" s="1409" t="s">
        <v>19</v>
      </c>
      <c r="D47" s="1410"/>
      <c r="E47" s="1411"/>
      <c r="F47" s="1412"/>
      <c r="G47" s="1413"/>
      <c r="H47" s="1414"/>
      <c r="I47" s="1411"/>
      <c r="J47" s="1414"/>
      <c r="K47" s="2628"/>
      <c r="L47" s="1146"/>
      <c r="M47" s="1147"/>
      <c r="N47" s="1134"/>
      <c r="O47" s="1147"/>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75" thickBot="1">
      <c r="A48" s="486" t="s">
        <v>2576</v>
      </c>
      <c r="B48" s="487"/>
      <c r="C48" s="1415" t="e">
        <f>R49</f>
        <v>#DIV/0!</v>
      </c>
      <c r="D48" s="1416"/>
      <c r="E48" s="1417" t="e">
        <f>R48</f>
        <v>#DIV/0!</v>
      </c>
      <c r="F48" s="1417"/>
      <c r="G48" s="1415" t="e">
        <f>T48</f>
        <v>#DIV/0!</v>
      </c>
      <c r="H48" s="1416"/>
      <c r="I48" s="1417" t="e">
        <f>V48</f>
        <v>#DIV/0!</v>
      </c>
      <c r="J48" s="1416"/>
      <c r="K48" s="2629"/>
      <c r="L48" s="1146"/>
      <c r="M48" s="1147"/>
      <c r="N48" s="1147"/>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2577</v>
      </c>
      <c r="B49" s="493"/>
      <c r="C49" s="1418" t="e">
        <f>R49</f>
        <v>#DIV/0!</v>
      </c>
      <c r="D49" s="1419"/>
      <c r="E49" s="1419"/>
      <c r="F49" s="1419"/>
      <c r="G49" s="1419"/>
      <c r="H49" s="1419"/>
      <c r="I49" s="1419"/>
      <c r="J49" s="1419"/>
      <c r="K49" s="2630"/>
      <c r="L49" s="1146"/>
      <c r="M49" s="1147"/>
      <c r="N49" s="1147"/>
      <c r="O49" s="1147"/>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33"/>
      <c r="Q57" s="504"/>
    </row>
    <row r="58" spans="1:29" s="508" customFormat="1" ht="15">
      <c r="A58" s="505" t="s">
        <v>2582</v>
      </c>
      <c r="B58" s="506"/>
      <c r="C58" s="1579" t="str">
        <f>YEAR(C7)&amp;"-"&amp;MONTH(C7)</f>
        <v>2017-10</v>
      </c>
      <c r="D58" s="1578">
        <f>EDATE(C58,-1)</f>
        <v>42979</v>
      </c>
      <c r="E58" s="1578">
        <f>EDATE(D58,-1)</f>
        <v>42948</v>
      </c>
      <c r="F58" s="1578">
        <f t="shared" ref="F58:O58" si="19">EDATE(E58,-1)</f>
        <v>42917</v>
      </c>
      <c r="G58" s="1578">
        <f t="shared" si="19"/>
        <v>42887</v>
      </c>
      <c r="H58" s="1578">
        <f t="shared" si="19"/>
        <v>42856</v>
      </c>
      <c r="I58" s="1578">
        <f t="shared" si="19"/>
        <v>42826</v>
      </c>
      <c r="J58" s="1578">
        <f t="shared" si="19"/>
        <v>42795</v>
      </c>
      <c r="K58" s="1578">
        <f t="shared" si="19"/>
        <v>42767</v>
      </c>
      <c r="L58" s="1578">
        <f t="shared" si="19"/>
        <v>42736</v>
      </c>
      <c r="M58" s="1578">
        <f t="shared" si="19"/>
        <v>42705</v>
      </c>
      <c r="N58" s="1578">
        <f t="shared" si="19"/>
        <v>42675</v>
      </c>
      <c r="O58" s="1578">
        <f t="shared" si="19"/>
        <v>42644</v>
      </c>
      <c r="P58" s="1573"/>
    </row>
    <row r="59" spans="1:29" s="116" customFormat="1" ht="15">
      <c r="A59" s="509"/>
      <c r="B59" s="2634"/>
      <c r="C59" s="1576">
        <v>100</v>
      </c>
      <c r="D59" s="511"/>
      <c r="E59" s="512"/>
      <c r="F59" s="512"/>
      <c r="G59" s="512"/>
      <c r="H59" s="512"/>
      <c r="I59" s="512"/>
      <c r="J59" s="512"/>
      <c r="K59" s="512"/>
      <c r="L59" s="512"/>
      <c r="M59" s="513"/>
      <c r="N59" s="512"/>
      <c r="O59" s="513"/>
      <c r="P59" s="2635"/>
    </row>
    <row r="60" spans="1:29" s="116" customFormat="1" ht="15.75" thickBot="1">
      <c r="A60" s="515" t="s">
        <v>2583</v>
      </c>
      <c r="B60" s="516"/>
      <c r="C60" s="517"/>
      <c r="D60" s="518"/>
      <c r="E60" s="518"/>
      <c r="F60" s="518"/>
      <c r="G60" s="518"/>
      <c r="H60" s="518"/>
      <c r="I60" s="518"/>
      <c r="J60" s="518"/>
      <c r="K60" s="518"/>
      <c r="L60" s="518"/>
      <c r="M60" s="519"/>
      <c r="N60" s="518"/>
      <c r="O60" s="519"/>
      <c r="P60" s="2635"/>
      <c r="Q60" s="504"/>
    </row>
    <row r="61" spans="1:29" s="116" customFormat="1" ht="15">
      <c r="A61" s="521" t="s">
        <v>2584</v>
      </c>
      <c r="B61" s="510"/>
      <c r="C61" s="522" t="s">
        <v>2585</v>
      </c>
      <c r="D61" s="523"/>
      <c r="E61" s="523"/>
      <c r="F61" s="523"/>
      <c r="G61" s="523"/>
      <c r="H61" s="523"/>
      <c r="I61" s="523"/>
      <c r="J61" s="523"/>
      <c r="K61" s="523"/>
      <c r="L61" s="524"/>
      <c r="M61" s="525"/>
      <c r="N61" s="1154"/>
      <c r="O61" s="1154"/>
      <c r="P61" s="2636"/>
      <c r="Q61" s="504"/>
    </row>
    <row r="62" spans="1:29" s="116"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2586</v>
      </c>
      <c r="B63" s="528" t="s">
        <v>2552</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2602</v>
      </c>
      <c r="D82" s="539" t="s">
        <v>2603</v>
      </c>
      <c r="E82" s="539" t="s">
        <v>2604</v>
      </c>
      <c r="F82" s="539" t="s">
        <v>2605</v>
      </c>
      <c r="G82" s="539" t="s">
        <v>2606</v>
      </c>
      <c r="H82" s="539"/>
      <c r="I82" s="539"/>
      <c r="J82" s="539"/>
      <c r="K82" s="539"/>
      <c r="L82" s="539"/>
      <c r="M82" s="1384"/>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6" customFormat="1" ht="15.75" thickTop="1">
      <c r="A86" s="579"/>
      <c r="B86" s="538" t="s">
        <v>2608</v>
      </c>
      <c r="C86" s="554"/>
      <c r="D86" s="554"/>
      <c r="E86" s="554"/>
      <c r="F86" s="554"/>
      <c r="G86" s="554"/>
      <c r="H86" s="554"/>
      <c r="I86" s="554"/>
      <c r="J86" s="554"/>
      <c r="K86" s="554"/>
      <c r="L86" s="580"/>
      <c r="M86" s="581"/>
      <c r="N86" s="1154"/>
      <c r="O86" s="1154"/>
      <c r="P86" s="2637"/>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6" customFormat="1" ht="15.75" thickTop="1">
      <c r="A88" s="579"/>
      <c r="B88" s="538" t="s">
        <v>2609</v>
      </c>
      <c r="C88" s="554"/>
      <c r="D88" s="554"/>
      <c r="E88" s="554"/>
      <c r="F88" s="2642"/>
      <c r="G88" s="554"/>
      <c r="H88" s="554"/>
      <c r="I88" s="554"/>
      <c r="J88" s="554"/>
      <c r="K88" s="554"/>
      <c r="L88" s="554"/>
      <c r="M88" s="581"/>
      <c r="N88" s="1154"/>
      <c r="O88" s="1154"/>
      <c r="P88" s="2637"/>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2561</v>
      </c>
      <c r="B100" s="528" t="s">
        <v>2610</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2612</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2613</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2614</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2617</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2618</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2620</v>
      </c>
    </row>
    <row r="137" spans="1:17" ht="15">
      <c r="B137" s="2645" t="s">
        <v>2621</v>
      </c>
      <c r="C137" s="2646"/>
      <c r="D137" s="2646"/>
      <c r="E137" s="2646"/>
      <c r="F137" s="2646"/>
      <c r="G137" s="2647"/>
      <c r="H137" s="2648"/>
      <c r="I137" s="2649" t="s">
        <v>2622</v>
      </c>
      <c r="J137" s="2646"/>
      <c r="K137" s="2650"/>
    </row>
    <row r="138" spans="1:17" ht="15">
      <c r="B138" s="2651"/>
      <c r="C138" s="145" t="s">
        <v>2623</v>
      </c>
      <c r="D138" s="145" t="s">
        <v>2624</v>
      </c>
      <c r="E138" s="2652" t="s">
        <v>2625</v>
      </c>
      <c r="F138" s="2653" t="s">
        <v>2626</v>
      </c>
      <c r="G138" s="145" t="s">
        <v>2624</v>
      </c>
      <c r="H138" s="146" t="s">
        <v>2625</v>
      </c>
      <c r="I138" s="2654"/>
      <c r="J138" s="145" t="s">
        <v>2627</v>
      </c>
      <c r="K138" s="146" t="s">
        <v>2628</v>
      </c>
    </row>
    <row r="139" spans="1:17" ht="15">
      <c r="B139" s="1087">
        <v>6</v>
      </c>
      <c r="C139" s="1088">
        <v>96</v>
      </c>
      <c r="D139" s="2655" t="s">
        <v>2629</v>
      </c>
      <c r="E139" s="1089">
        <v>100</v>
      </c>
      <c r="F139" s="1090">
        <v>102.5</v>
      </c>
      <c r="G139" s="2655" t="s">
        <v>2629</v>
      </c>
      <c r="H139" s="1091">
        <v>105</v>
      </c>
      <c r="I139" s="2656" t="s">
        <v>2630</v>
      </c>
      <c r="J139" s="1088">
        <v>20</v>
      </c>
      <c r="K139" s="1092">
        <f>C145/(J139-2)</f>
        <v>4.0555555555555553E-3</v>
      </c>
    </row>
    <row r="140" spans="1:17" ht="15">
      <c r="B140" s="1093">
        <v>5</v>
      </c>
      <c r="C140" s="1094">
        <v>100</v>
      </c>
      <c r="D140" s="1094"/>
      <c r="E140" s="1095"/>
      <c r="F140" s="1096">
        <v>102</v>
      </c>
      <c r="G140" s="1094"/>
      <c r="H140" s="1097"/>
      <c r="I140" s="2657" t="s">
        <v>2631</v>
      </c>
      <c r="J140" s="315">
        <f>ROUNDUP((J139-1)/2,0)</f>
        <v>10</v>
      </c>
      <c r="K140" s="1098">
        <v>100</v>
      </c>
    </row>
    <row r="141" spans="1:17" ht="15">
      <c r="B141" s="1093">
        <v>4</v>
      </c>
      <c r="C141" s="1094">
        <v>102</v>
      </c>
      <c r="D141" s="1094"/>
      <c r="E141" s="1095"/>
      <c r="F141" s="1096">
        <v>101.5</v>
      </c>
      <c r="G141" s="1094"/>
      <c r="H141" s="1097"/>
      <c r="I141" s="2657" t="s">
        <v>2632</v>
      </c>
      <c r="J141" s="315">
        <v>1</v>
      </c>
      <c r="K141" s="1099">
        <f>ROUND(100+(J141-J140)*K139*100,1)</f>
        <v>96.4</v>
      </c>
    </row>
    <row r="142" spans="1:17" ht="15">
      <c r="B142" s="1093">
        <v>3</v>
      </c>
      <c r="C142" s="1094">
        <v>103</v>
      </c>
      <c r="D142" s="1094"/>
      <c r="E142" s="1095"/>
      <c r="F142" s="1096">
        <v>101</v>
      </c>
      <c r="G142" s="1094"/>
      <c r="H142" s="1097"/>
      <c r="I142" s="2657" t="s">
        <v>2633</v>
      </c>
      <c r="J142" s="315">
        <f>J139</f>
        <v>20</v>
      </c>
      <c r="K142" s="1100">
        <v>95</v>
      </c>
    </row>
    <row r="143" spans="1:17" ht="15">
      <c r="B143" s="1093">
        <v>2</v>
      </c>
      <c r="C143" s="1094">
        <v>100</v>
      </c>
      <c r="D143" s="1094"/>
      <c r="E143" s="1095"/>
      <c r="F143" s="1096">
        <v>100.5</v>
      </c>
      <c r="G143" s="1094"/>
      <c r="H143" s="1097"/>
      <c r="I143" s="2657" t="s">
        <v>2634</v>
      </c>
      <c r="J143" s="1094">
        <v>15</v>
      </c>
      <c r="K143" s="1099">
        <f>ROUND(100+(J143-J140)*K139*100,1)</f>
        <v>102</v>
      </c>
    </row>
    <row r="144" spans="1:17" ht="15">
      <c r="B144" s="1093">
        <v>1</v>
      </c>
      <c r="C144" s="1094">
        <v>98</v>
      </c>
      <c r="D144" s="2658" t="s">
        <v>2635</v>
      </c>
      <c r="E144" s="1095">
        <v>102</v>
      </c>
      <c r="F144" s="1101">
        <v>100</v>
      </c>
      <c r="G144" s="2658" t="s">
        <v>2635</v>
      </c>
      <c r="H144" s="1097">
        <v>105</v>
      </c>
      <c r="I144" s="2657" t="s">
        <v>2634</v>
      </c>
      <c r="J144" s="1094">
        <v>18</v>
      </c>
      <c r="K144" s="1099">
        <f>ROUND(100+(J144-J140)*K139*100,1)</f>
        <v>103.2</v>
      </c>
    </row>
    <row r="145" spans="2:11" ht="15.75" thickBot="1">
      <c r="B145" s="2659" t="s">
        <v>2636</v>
      </c>
      <c r="C145" s="1102">
        <f>ROUND(MAX(C139:C144)/MIN(C139:C144)-1,3)</f>
        <v>7.2999999999999995E-2</v>
      </c>
      <c r="D145" s="1103"/>
      <c r="E145" s="1103"/>
      <c r="F145" s="2660" t="s">
        <v>2637</v>
      </c>
      <c r="G145" s="2661"/>
      <c r="H145" s="2662"/>
      <c r="I145" s="2663" t="s">
        <v>2634</v>
      </c>
      <c r="J145" s="1104">
        <v>8</v>
      </c>
      <c r="K145" s="1105">
        <f>ROUND(100+(J145-J140)*K139*100,1)</f>
        <v>99.2</v>
      </c>
    </row>
    <row r="147" spans="2:11">
      <c r="B147" s="2644" t="s">
        <v>2638</v>
      </c>
    </row>
    <row r="148" spans="2:11">
      <c r="B148" s="264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9" t="s">
        <v>2640</v>
      </c>
      <c r="C1" s="1637" t="s">
        <v>2528</v>
      </c>
      <c r="D1" s="1624"/>
      <c r="E1" s="2664"/>
      <c r="F1" s="2591"/>
      <c r="G1" s="1634" t="s">
        <v>2641</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2325</v>
      </c>
      <c r="B2" s="1420" t="e">
        <f ca="1">IF(C2="——",ROUND(C49*D3/10000,0),ROUND(C49*D3/10000,0)-D2)</f>
        <v>#DIV/0!</v>
      </c>
      <c r="C2" s="2593"/>
      <c r="D2" s="1367" t="e">
        <f ca="1">SUMIF(INDIRECT("'"&amp;F2&amp;"'"&amp;"!A:A"),"承租人权益价值",INDIRECT("'"&amp;F2&amp;"'"&amp;"!c:c"))</f>
        <v>#REF!</v>
      </c>
      <c r="E2" s="2594" t="s">
        <v>2326</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2327</v>
      </c>
      <c r="B3" s="609" t="e">
        <f ca="1">IF(C2="——",C49,ROUND(B2*10000/D3,0))</f>
        <v>#DIV/0!</v>
      </c>
      <c r="C3" s="400" t="s">
        <v>2642</v>
      </c>
      <c r="D3" s="399">
        <f>IF(D1="",'数据-汇总表'!E3,SUMIF('数据-汇总表'!$C19:$C33,D1,'数据-汇总表'!$E19:$E33))</f>
        <v>38306.649999999907</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210"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210"/>
      <c r="AC5" s="3175"/>
    </row>
    <row r="6" spans="1:29"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210"/>
      <c r="AC6" s="3176"/>
    </row>
    <row r="7" spans="1:29" s="116" customFormat="1" ht="15.75" thickBot="1">
      <c r="A7" s="408" t="s">
        <v>2546</v>
      </c>
      <c r="B7" s="409"/>
      <c r="C7" s="410">
        <f>'数据-取费表'!B2</f>
        <v>43033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7" t="s">
        <v>2547</v>
      </c>
      <c r="Q7" s="3212"/>
      <c r="R7" s="770" t="s">
        <v>17</v>
      </c>
      <c r="S7" s="771">
        <f t="shared" ref="S7:S15" si="0">F7</f>
        <v>0</v>
      </c>
      <c r="T7" s="770" t="s">
        <v>17</v>
      </c>
      <c r="U7" s="771">
        <f t="shared" ref="U7:U15" si="1">H7</f>
        <v>0</v>
      </c>
      <c r="V7" s="770" t="s">
        <v>17</v>
      </c>
      <c r="W7" s="771">
        <f t="shared" ref="W7:W15" si="2">J7</f>
        <v>0</v>
      </c>
      <c r="X7" s="772"/>
      <c r="Y7" s="3177" t="s">
        <v>2547</v>
      </c>
      <c r="Z7" s="3178"/>
      <c r="AA7" s="773" t="e">
        <f>D7/F7</f>
        <v>#DIV/0!</v>
      </c>
      <c r="AB7" s="773" t="e">
        <f>D7/H7</f>
        <v>#DIV/0!</v>
      </c>
      <c r="AC7" s="773" t="e">
        <f>D7/J7</f>
        <v>#DIV/0!</v>
      </c>
    </row>
    <row r="8" spans="1:29" s="116"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46" si="3">D8/F8</f>
        <v>#DIV/0!</v>
      </c>
      <c r="AB8" s="773" t="e">
        <f t="shared" ref="AB8:AB46" si="4">D8/H8</f>
        <v>#DIV/0!</v>
      </c>
      <c r="AC8" s="773" t="e">
        <f t="shared" ref="AC8:AC46" si="5">D8/J8</f>
        <v>#DIV/0!</v>
      </c>
    </row>
    <row r="9" spans="1:29" s="116" customFormat="1">
      <c r="A9" s="415" t="s">
        <v>2551</v>
      </c>
      <c r="B9" s="70" t="s">
        <v>2552</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193"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47"/>
      <c r="Z11" s="54" t="str">
        <f t="shared" si="7"/>
        <v>容积率</v>
      </c>
      <c r="AA11" s="773" t="e">
        <f t="shared" si="3"/>
        <v>#N/A</v>
      </c>
      <c r="AB11" s="773" t="e">
        <f t="shared" si="4"/>
        <v>#N/A</v>
      </c>
      <c r="AC11" s="773" t="e">
        <f t="shared" si="5"/>
        <v>#N/A</v>
      </c>
    </row>
    <row r="12" spans="1:29" s="116" customFormat="1" ht="15">
      <c r="A12" s="431"/>
      <c r="B12" s="2607">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47"/>
      <c r="Z14" s="54">
        <f t="shared" si="7"/>
        <v>111</v>
      </c>
      <c r="AA14" s="773">
        <f t="shared" si="3"/>
        <v>1</v>
      </c>
      <c r="AB14" s="773">
        <f t="shared" si="4"/>
        <v>1</v>
      </c>
      <c r="AC14" s="773">
        <f t="shared" si="5"/>
        <v>1</v>
      </c>
    </row>
    <row r="15" spans="1:29" ht="15">
      <c r="A15" s="440" t="s">
        <v>2557</v>
      </c>
      <c r="B15" s="68" t="s">
        <v>2651</v>
      </c>
      <c r="C15" s="261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3" t="s">
        <v>2558</v>
      </c>
      <c r="Q15" s="1813" t="str">
        <f t="shared" si="6"/>
        <v>商业繁华度</v>
      </c>
      <c r="R15" s="774" t="s">
        <v>17</v>
      </c>
      <c r="S15" s="775">
        <f t="shared" si="0"/>
        <v>100</v>
      </c>
      <c r="T15" s="774" t="s">
        <v>17</v>
      </c>
      <c r="U15" s="775">
        <f t="shared" si="1"/>
        <v>100</v>
      </c>
      <c r="V15" s="774" t="s">
        <v>17</v>
      </c>
      <c r="W15" s="775">
        <f t="shared" si="2"/>
        <v>100</v>
      </c>
      <c r="X15" s="1816"/>
      <c r="Y15" s="3215"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4"/>
      <c r="Q16" s="1813"/>
      <c r="R16" s="774"/>
      <c r="S16" s="775"/>
      <c r="T16" s="774"/>
      <c r="U16" s="775"/>
      <c r="V16" s="774"/>
      <c r="W16" s="775"/>
      <c r="X16" s="1816"/>
      <c r="Y16" s="3216"/>
      <c r="Z16" s="1817"/>
      <c r="AA16" s="1814">
        <v>1</v>
      </c>
      <c r="AB16" s="1814">
        <v>1</v>
      </c>
      <c r="AC16" s="1814">
        <v>1</v>
      </c>
    </row>
    <row r="17" spans="1:29" ht="15">
      <c r="A17" s="428"/>
      <c r="B17" s="451" t="s">
        <v>2097</v>
      </c>
      <c r="C17" s="2614">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4"/>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14"/>
      <c r="Q18" s="1813"/>
      <c r="R18" s="774"/>
      <c r="S18" s="775"/>
      <c r="T18" s="774"/>
      <c r="U18" s="775"/>
      <c r="V18" s="774"/>
      <c r="W18" s="775"/>
      <c r="X18" s="1816"/>
      <c r="Y18" s="3216"/>
      <c r="Z18" s="1817"/>
      <c r="AA18" s="1814">
        <v>1</v>
      </c>
      <c r="AB18" s="1814">
        <v>1</v>
      </c>
      <c r="AC18" s="1814">
        <v>1</v>
      </c>
    </row>
    <row r="19" spans="1:29" ht="15">
      <c r="A19" s="428"/>
      <c r="B19" s="451" t="s">
        <v>2652</v>
      </c>
      <c r="C19" s="2614">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4"/>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14"/>
      <c r="Q20" s="1813"/>
      <c r="R20" s="774"/>
      <c r="S20" s="775"/>
      <c r="T20" s="774"/>
      <c r="U20" s="775"/>
      <c r="V20" s="774"/>
      <c r="W20" s="775"/>
      <c r="X20" s="1816"/>
      <c r="Y20" s="3216"/>
      <c r="Z20" s="1817"/>
      <c r="AA20" s="1814">
        <v>1</v>
      </c>
      <c r="AB20" s="1814">
        <v>1</v>
      </c>
      <c r="AC20" s="1814">
        <v>1</v>
      </c>
    </row>
    <row r="21" spans="1:29" ht="15">
      <c r="A21" s="428"/>
      <c r="B21" s="1386" t="s">
        <v>2653</v>
      </c>
      <c r="C21" s="2614">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6"/>
      <c r="C22" s="2615"/>
      <c r="D22" s="448"/>
      <c r="E22" s="447"/>
      <c r="F22" s="449"/>
      <c r="G22" s="447"/>
      <c r="H22" s="448"/>
      <c r="I22" s="447"/>
      <c r="J22" s="448"/>
      <c r="K22" s="1385"/>
      <c r="L22" s="1143"/>
      <c r="M22" s="1134"/>
      <c r="N22" s="1134"/>
      <c r="O22" s="1134"/>
      <c r="P22" s="3214"/>
      <c r="Q22" s="1813"/>
      <c r="R22" s="774"/>
      <c r="S22" s="775"/>
      <c r="T22" s="774"/>
      <c r="U22" s="775"/>
      <c r="V22" s="774"/>
      <c r="W22" s="775"/>
      <c r="X22" s="1816"/>
      <c r="Y22" s="3216"/>
      <c r="Z22" s="1817"/>
      <c r="AA22" s="1814">
        <v>1</v>
      </c>
      <c r="AB22" s="1814">
        <v>1</v>
      </c>
      <c r="AC22" s="1814">
        <v>1</v>
      </c>
    </row>
    <row r="23" spans="1:29" ht="15">
      <c r="A23" s="428"/>
      <c r="B23" s="451" t="s">
        <v>2100</v>
      </c>
      <c r="C23" s="2671">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4"/>
      <c r="Q23" s="1813" t="str">
        <f>B23</f>
        <v>自然及人文环境</v>
      </c>
      <c r="R23" s="774" t="s">
        <v>17</v>
      </c>
      <c r="S23" s="775">
        <f>F23</f>
        <v>100</v>
      </c>
      <c r="T23" s="774" t="s">
        <v>17</v>
      </c>
      <c r="U23" s="775">
        <f>H23</f>
        <v>100</v>
      </c>
      <c r="V23" s="774" t="s">
        <v>17</v>
      </c>
      <c r="W23" s="775">
        <f>J23</f>
        <v>100</v>
      </c>
      <c r="X23" s="1816"/>
      <c r="Y23" s="3216"/>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14"/>
      <c r="Q24" s="1813"/>
      <c r="R24" s="774"/>
      <c r="S24" s="775"/>
      <c r="T24" s="774"/>
      <c r="U24" s="775"/>
      <c r="V24" s="774"/>
      <c r="W24" s="775"/>
      <c r="X24" s="1816"/>
      <c r="Y24" s="3216"/>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4"/>
      <c r="Q25" s="1813" t="str">
        <f t="shared" ref="Q25:Q46" si="11">B25</f>
        <v>临街状况</v>
      </c>
      <c r="R25" s="774" t="s">
        <v>17</v>
      </c>
      <c r="S25" s="775">
        <f>F25</f>
        <v>100</v>
      </c>
      <c r="T25" s="774" t="s">
        <v>17</v>
      </c>
      <c r="U25" s="775">
        <f>H25</f>
        <v>100</v>
      </c>
      <c r="V25" s="774" t="s">
        <v>17</v>
      </c>
      <c r="W25" s="775">
        <f>J25</f>
        <v>100</v>
      </c>
      <c r="X25" s="1816"/>
      <c r="Y25" s="3216"/>
      <c r="Z25" s="1817" t="str">
        <f>Q25</f>
        <v>临街状况</v>
      </c>
      <c r="AA25" s="1814">
        <f t="shared" si="3"/>
        <v>1</v>
      </c>
      <c r="AB25" s="1814">
        <f t="shared" si="4"/>
        <v>1</v>
      </c>
      <c r="AC25" s="1814">
        <f t="shared" si="5"/>
        <v>1</v>
      </c>
    </row>
    <row r="26" spans="1:29" ht="15">
      <c r="A26" s="428"/>
      <c r="B26" s="1388"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4"/>
      <c r="Q26" s="1813" t="str">
        <f t="shared" si="11"/>
        <v>平面位置/可视性</v>
      </c>
      <c r="R26" s="774" t="s">
        <v>17</v>
      </c>
      <c r="S26" s="775">
        <f>F26</f>
        <v>100</v>
      </c>
      <c r="T26" s="774" t="s">
        <v>17</v>
      </c>
      <c r="U26" s="775">
        <f>H26</f>
        <v>100</v>
      </c>
      <c r="V26" s="774" t="s">
        <v>17</v>
      </c>
      <c r="W26" s="775">
        <f>J26</f>
        <v>100</v>
      </c>
      <c r="X26" s="1816"/>
      <c r="Y26" s="3216"/>
      <c r="Z26" s="1817" t="str">
        <f>Q26</f>
        <v>平面位置/可视性</v>
      </c>
      <c r="AA26" s="1814">
        <f t="shared" si="3"/>
        <v>1</v>
      </c>
      <c r="AB26" s="1814">
        <f t="shared" si="4"/>
        <v>1</v>
      </c>
      <c r="AC26" s="1814">
        <f t="shared" si="5"/>
        <v>1</v>
      </c>
    </row>
    <row r="27" spans="1:29" s="116" customFormat="1" ht="15">
      <c r="A27" s="431"/>
      <c r="B27" s="451" t="s">
        <v>2656</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14"/>
      <c r="Q27" s="1798" t="str">
        <f t="shared" si="11"/>
        <v>人流量</v>
      </c>
      <c r="R27" s="770" t="s">
        <v>17</v>
      </c>
      <c r="S27" s="771">
        <f>F27</f>
        <v>100</v>
      </c>
      <c r="T27" s="770" t="s">
        <v>17</v>
      </c>
      <c r="U27" s="771">
        <f>H27</f>
        <v>100</v>
      </c>
      <c r="V27" s="770" t="s">
        <v>17</v>
      </c>
      <c r="W27" s="771">
        <f>J27</f>
        <v>100</v>
      </c>
      <c r="X27" s="772"/>
      <c r="Y27" s="3216"/>
      <c r="Z27" s="54"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6"/>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4"/>
      <c r="Q29" s="1813">
        <f t="shared" si="11"/>
        <v>111</v>
      </c>
      <c r="R29" s="774" t="s">
        <v>17</v>
      </c>
      <c r="S29" s="775">
        <f t="shared" si="12"/>
        <v>100</v>
      </c>
      <c r="T29" s="774" t="s">
        <v>17</v>
      </c>
      <c r="U29" s="775">
        <f t="shared" si="13"/>
        <v>100</v>
      </c>
      <c r="V29" s="774" t="s">
        <v>17</v>
      </c>
      <c r="W29" s="775">
        <f t="shared" si="14"/>
        <v>100</v>
      </c>
      <c r="X29" s="1816"/>
      <c r="Y29" s="3216"/>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4"/>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4"/>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1814">
        <f t="shared" si="5"/>
        <v>1</v>
      </c>
    </row>
    <row r="32" spans="1:29" ht="15">
      <c r="A32" s="440" t="s">
        <v>2561</v>
      </c>
      <c r="B32" s="70" t="s">
        <v>2658</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17" t="s">
        <v>2563</v>
      </c>
      <c r="Q32" s="1813" t="str">
        <f t="shared" si="11"/>
        <v>商业类型</v>
      </c>
      <c r="R32" s="774" t="s">
        <v>17</v>
      </c>
      <c r="S32" s="775">
        <f t="shared" si="12"/>
        <v>100</v>
      </c>
      <c r="T32" s="774" t="s">
        <v>17</v>
      </c>
      <c r="U32" s="775">
        <f t="shared" si="13"/>
        <v>100</v>
      </c>
      <c r="V32" s="774" t="s">
        <v>17</v>
      </c>
      <c r="W32" s="775">
        <f t="shared" si="14"/>
        <v>100</v>
      </c>
      <c r="X32" s="1816"/>
      <c r="Y32" s="3220" t="s">
        <v>2563</v>
      </c>
      <c r="Z32" s="1817" t="str">
        <f t="shared" si="15"/>
        <v>商业类型</v>
      </c>
      <c r="AA32" s="1814">
        <f t="shared" si="3"/>
        <v>1</v>
      </c>
      <c r="AB32" s="1814">
        <f t="shared" si="4"/>
        <v>1</v>
      </c>
      <c r="AC32" s="1814">
        <f t="shared" si="5"/>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4" t="e">
        <f t="shared" si="3"/>
        <v>#N/A</v>
      </c>
      <c r="AB33" s="1814" t="e">
        <f t="shared" si="4"/>
        <v>#N/A</v>
      </c>
      <c r="AC33" s="1814" t="e">
        <f t="shared" si="5"/>
        <v>#N/A</v>
      </c>
    </row>
    <row r="34" spans="1:29" ht="15">
      <c r="A34" s="472"/>
      <c r="B34" s="422" t="s">
        <v>2565</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18"/>
      <c r="Q34" s="1813" t="str">
        <f t="shared" si="11"/>
        <v>建筑结构</v>
      </c>
      <c r="R34" s="774" t="s">
        <v>17</v>
      </c>
      <c r="S34" s="775">
        <f t="shared" si="12"/>
        <v>100</v>
      </c>
      <c r="T34" s="774" t="s">
        <v>17</v>
      </c>
      <c r="U34" s="775">
        <f t="shared" si="13"/>
        <v>100</v>
      </c>
      <c r="V34" s="774" t="s">
        <v>17</v>
      </c>
      <c r="W34" s="775">
        <f t="shared" si="14"/>
        <v>100</v>
      </c>
      <c r="X34" s="1816"/>
      <c r="Y34" s="3220"/>
      <c r="Z34" s="1817" t="str">
        <f t="shared" si="15"/>
        <v>建筑结构</v>
      </c>
      <c r="AA34" s="1814">
        <f t="shared" si="3"/>
        <v>1</v>
      </c>
      <c r="AB34" s="1814">
        <f t="shared" si="4"/>
        <v>1</v>
      </c>
      <c r="AC34" s="1814">
        <f t="shared" si="5"/>
        <v>1</v>
      </c>
    </row>
    <row r="35" spans="1:29" ht="15">
      <c r="A35" s="472"/>
      <c r="B35" s="422" t="s">
        <v>2659</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18"/>
      <c r="Q35" s="1813" t="str">
        <f t="shared" si="11"/>
        <v>公共部分装修</v>
      </c>
      <c r="R35" s="774" t="s">
        <v>17</v>
      </c>
      <c r="S35" s="775">
        <f t="shared" si="12"/>
        <v>100</v>
      </c>
      <c r="T35" s="774" t="s">
        <v>17</v>
      </c>
      <c r="U35" s="775">
        <f t="shared" si="13"/>
        <v>100</v>
      </c>
      <c r="V35" s="774" t="s">
        <v>17</v>
      </c>
      <c r="W35" s="775">
        <f t="shared" si="14"/>
        <v>100</v>
      </c>
      <c r="X35" s="1816"/>
      <c r="Y35" s="3220"/>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3" t="str">
        <f t="shared" si="11"/>
        <v>成新度</v>
      </c>
      <c r="R36" s="774" t="s">
        <v>17</v>
      </c>
      <c r="S36" s="775" t="e">
        <f t="shared" si="12"/>
        <v>#N/A</v>
      </c>
      <c r="T36" s="774" t="s">
        <v>17</v>
      </c>
      <c r="U36" s="775" t="e">
        <f t="shared" si="13"/>
        <v>#N/A</v>
      </c>
      <c r="V36" s="774" t="s">
        <v>17</v>
      </c>
      <c r="W36" s="775" t="e">
        <f t="shared" si="14"/>
        <v>#N/A</v>
      </c>
      <c r="X36" s="1816"/>
      <c r="Y36" s="3220"/>
      <c r="Z36" s="1817" t="str">
        <f t="shared" si="15"/>
        <v>成新度</v>
      </c>
      <c r="AA36" s="1814" t="e">
        <f t="shared" si="3"/>
        <v>#N/A</v>
      </c>
      <c r="AB36" s="1814" t="e">
        <f t="shared" si="4"/>
        <v>#N/A</v>
      </c>
      <c r="AC36" s="1814" t="e">
        <f t="shared" si="5"/>
        <v>#N/A</v>
      </c>
    </row>
    <row r="37" spans="1:29" s="116" customFormat="1" ht="15">
      <c r="A37" s="473"/>
      <c r="B37" s="422" t="s">
        <v>2661</v>
      </c>
      <c r="C37" s="2620"/>
      <c r="D37" s="135">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18"/>
      <c r="Q37" s="1798" t="str">
        <f t="shared" si="11"/>
        <v>市政基础设施</v>
      </c>
      <c r="R37" s="770" t="s">
        <v>17</v>
      </c>
      <c r="S37" s="771">
        <f t="shared" si="12"/>
        <v>100</v>
      </c>
      <c r="T37" s="770" t="s">
        <v>17</v>
      </c>
      <c r="U37" s="771">
        <f t="shared" si="13"/>
        <v>100</v>
      </c>
      <c r="V37" s="770" t="s">
        <v>17</v>
      </c>
      <c r="W37" s="771">
        <f t="shared" si="14"/>
        <v>100</v>
      </c>
      <c r="X37" s="772"/>
      <c r="Y37" s="3220"/>
      <c r="Z37" s="54" t="str">
        <f t="shared" si="15"/>
        <v>市政基础设施</v>
      </c>
      <c r="AA37" s="773">
        <f t="shared" si="3"/>
        <v>1</v>
      </c>
      <c r="AB37" s="773">
        <f t="shared" si="4"/>
        <v>1</v>
      </c>
      <c r="AC37" s="773">
        <f t="shared" si="5"/>
        <v>1</v>
      </c>
    </row>
    <row r="38" spans="1:29" ht="15">
      <c r="A38" s="472"/>
      <c r="B38" s="422" t="s">
        <v>2662</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18" t="s">
        <v>2563</v>
      </c>
      <c r="Q38" s="1813" t="str">
        <f t="shared" si="11"/>
        <v>业态</v>
      </c>
      <c r="R38" s="774" t="s">
        <v>17</v>
      </c>
      <c r="S38" s="775">
        <f t="shared" si="12"/>
        <v>100</v>
      </c>
      <c r="T38" s="774" t="s">
        <v>17</v>
      </c>
      <c r="U38" s="775">
        <f t="shared" si="13"/>
        <v>100</v>
      </c>
      <c r="V38" s="774" t="s">
        <v>17</v>
      </c>
      <c r="W38" s="775">
        <f t="shared" si="14"/>
        <v>100</v>
      </c>
      <c r="X38" s="1816"/>
      <c r="Y38" s="3220" t="s">
        <v>2563</v>
      </c>
      <c r="Z38" s="1817" t="str">
        <f t="shared" si="15"/>
        <v>业态</v>
      </c>
      <c r="AA38" s="1814">
        <f t="shared" si="3"/>
        <v>1</v>
      </c>
      <c r="AB38" s="1814">
        <f t="shared" si="4"/>
        <v>1</v>
      </c>
      <c r="AC38" s="1814">
        <f t="shared" si="5"/>
        <v>1</v>
      </c>
    </row>
    <row r="39" spans="1:29" ht="15">
      <c r="A39" s="472"/>
      <c r="B39" s="422" t="s">
        <v>2663</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18"/>
      <c r="Q39" s="1813" t="str">
        <f t="shared" si="11"/>
        <v>层高</v>
      </c>
      <c r="R39" s="774" t="s">
        <v>17</v>
      </c>
      <c r="S39" s="775">
        <f t="shared" si="12"/>
        <v>100</v>
      </c>
      <c r="T39" s="774" t="s">
        <v>17</v>
      </c>
      <c r="U39" s="775">
        <f t="shared" si="13"/>
        <v>100</v>
      </c>
      <c r="V39" s="774" t="s">
        <v>17</v>
      </c>
      <c r="W39" s="775">
        <f t="shared" si="14"/>
        <v>100</v>
      </c>
      <c r="X39" s="1816"/>
      <c r="Y39" s="3220"/>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3" t="str">
        <f t="shared" si="11"/>
        <v>单套建筑面积</v>
      </c>
      <c r="R40" s="774" t="s">
        <v>17</v>
      </c>
      <c r="S40" s="775">
        <f t="shared" si="12"/>
        <v>100</v>
      </c>
      <c r="T40" s="774" t="s">
        <v>17</v>
      </c>
      <c r="U40" s="775">
        <f t="shared" si="13"/>
        <v>100</v>
      </c>
      <c r="V40" s="774" t="s">
        <v>17</v>
      </c>
      <c r="W40" s="775">
        <f t="shared" si="14"/>
        <v>100</v>
      </c>
      <c r="X40" s="1816"/>
      <c r="Y40" s="3220"/>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4">
        <f t="shared" si="3"/>
        <v>1</v>
      </c>
      <c r="AB41" s="1814">
        <f t="shared" si="4"/>
        <v>1</v>
      </c>
      <c r="AC41" s="1814">
        <f t="shared" si="5"/>
        <v>1</v>
      </c>
    </row>
    <row r="42" spans="1:29" ht="15">
      <c r="A42" s="472"/>
      <c r="B42" s="422" t="s">
        <v>2666</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18"/>
      <c r="Q42" s="1813" t="str">
        <f t="shared" si="11"/>
        <v>内部装修</v>
      </c>
      <c r="R42" s="774" t="s">
        <v>17</v>
      </c>
      <c r="S42" s="775">
        <f t="shared" si="12"/>
        <v>100</v>
      </c>
      <c r="T42" s="774" t="s">
        <v>17</v>
      </c>
      <c r="U42" s="775">
        <f t="shared" si="13"/>
        <v>100</v>
      </c>
      <c r="V42" s="774" t="s">
        <v>17</v>
      </c>
      <c r="W42" s="775">
        <f t="shared" si="14"/>
        <v>100</v>
      </c>
      <c r="X42" s="1816"/>
      <c r="Y42" s="3220"/>
      <c r="Z42" s="1817" t="str">
        <f t="shared" si="15"/>
        <v>内部装修</v>
      </c>
      <c r="AA42" s="1814">
        <f t="shared" si="3"/>
        <v>1</v>
      </c>
      <c r="AB42" s="1814">
        <f t="shared" si="4"/>
        <v>1</v>
      </c>
      <c r="AC42" s="1814">
        <f t="shared" si="5"/>
        <v>1</v>
      </c>
    </row>
    <row r="43" spans="1:29" ht="15">
      <c r="A43" s="472"/>
      <c r="B43" s="422" t="s">
        <v>2574</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18"/>
      <c r="Q43" s="1813" t="str">
        <f t="shared" si="11"/>
        <v>内部装修维护情况</v>
      </c>
      <c r="R43" s="774" t="s">
        <v>17</v>
      </c>
      <c r="S43" s="775">
        <f t="shared" si="12"/>
        <v>100</v>
      </c>
      <c r="T43" s="774" t="s">
        <v>17</v>
      </c>
      <c r="U43" s="775">
        <f t="shared" si="13"/>
        <v>100</v>
      </c>
      <c r="V43" s="774" t="s">
        <v>17</v>
      </c>
      <c r="W43" s="775">
        <f t="shared" si="14"/>
        <v>100</v>
      </c>
      <c r="X43" s="1816"/>
      <c r="Y43" s="3220"/>
      <c r="Z43" s="1817" t="str">
        <f t="shared" si="15"/>
        <v>内部装修维护情况</v>
      </c>
      <c r="AA43" s="1814">
        <f t="shared" si="3"/>
        <v>1</v>
      </c>
      <c r="AB43" s="1814">
        <f t="shared" si="4"/>
        <v>1</v>
      </c>
      <c r="AC43" s="1814">
        <f t="shared" si="5"/>
        <v>1</v>
      </c>
    </row>
    <row r="44" spans="1:29" s="116" customFormat="1" ht="15">
      <c r="A44" s="473"/>
      <c r="B44" s="1388">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18"/>
      <c r="Q44" s="1798">
        <f t="shared" si="11"/>
        <v>111</v>
      </c>
      <c r="R44" s="770" t="s">
        <v>17</v>
      </c>
      <c r="S44" s="771">
        <f t="shared" si="12"/>
        <v>100</v>
      </c>
      <c r="T44" s="770" t="s">
        <v>17</v>
      </c>
      <c r="U44" s="771">
        <f t="shared" si="13"/>
        <v>100</v>
      </c>
      <c r="V44" s="770" t="s">
        <v>17</v>
      </c>
      <c r="W44" s="771">
        <f t="shared" si="14"/>
        <v>100</v>
      </c>
      <c r="X44" s="772"/>
      <c r="Y44" s="3220"/>
      <c r="Z44" s="54">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3">
        <f t="shared" si="11"/>
        <v>111</v>
      </c>
      <c r="R45" s="774" t="s">
        <v>17</v>
      </c>
      <c r="S45" s="775">
        <f t="shared" si="12"/>
        <v>100</v>
      </c>
      <c r="T45" s="774" t="s">
        <v>17</v>
      </c>
      <c r="U45" s="775">
        <f t="shared" si="13"/>
        <v>100</v>
      </c>
      <c r="V45" s="774" t="s">
        <v>17</v>
      </c>
      <c r="W45" s="775">
        <f t="shared" si="14"/>
        <v>100</v>
      </c>
      <c r="X45" s="1816"/>
      <c r="Y45" s="3220"/>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1814">
        <f t="shared" si="5"/>
        <v>1</v>
      </c>
    </row>
    <row r="47" spans="1:29" ht="15">
      <c r="A47" s="479" t="s">
        <v>2575</v>
      </c>
      <c r="B47" s="480"/>
      <c r="C47" s="1409" t="s">
        <v>1</v>
      </c>
      <c r="D47" s="1410"/>
      <c r="E47" s="1411"/>
      <c r="F47" s="1412"/>
      <c r="G47" s="1413"/>
      <c r="H47" s="1414"/>
      <c r="I47" s="1411"/>
      <c r="J47" s="1414"/>
      <c r="K47" s="783"/>
      <c r="L47" s="1146"/>
      <c r="M47" s="1147"/>
      <c r="N47" s="1134"/>
      <c r="O47" s="1147"/>
      <c r="P47" s="3222" t="str">
        <f>A47</f>
        <v>成交单价（元/平方米）</v>
      </c>
      <c r="Q47" s="3222"/>
      <c r="R47" s="3210">
        <f>E47</f>
        <v>0</v>
      </c>
      <c r="S47" s="3210"/>
      <c r="T47" s="3210">
        <f>G47</f>
        <v>0</v>
      </c>
      <c r="U47" s="3210"/>
      <c r="V47" s="3210">
        <f>I47</f>
        <v>0</v>
      </c>
      <c r="W47" s="3210"/>
      <c r="X47" s="759"/>
      <c r="Y47" s="781"/>
      <c r="Z47" s="759"/>
      <c r="AA47" s="759"/>
      <c r="AB47" s="759"/>
      <c r="AC47" s="759"/>
    </row>
    <row r="48" spans="1:29" ht="15.75" thickBot="1">
      <c r="A48" s="486" t="s">
        <v>2667</v>
      </c>
      <c r="B48" s="487"/>
      <c r="C48" s="1415" t="e">
        <f>R49</f>
        <v>#DIV/0!</v>
      </c>
      <c r="D48" s="1416"/>
      <c r="E48" s="1417" t="e">
        <f>R48</f>
        <v>#DIV/0!</v>
      </c>
      <c r="F48" s="1417"/>
      <c r="G48" s="1415" t="e">
        <f>T48</f>
        <v>#DIV/0!</v>
      </c>
      <c r="H48" s="1416"/>
      <c r="I48" s="1417" t="e">
        <f>V48</f>
        <v>#DIV/0!</v>
      </c>
      <c r="J48" s="1416"/>
      <c r="K48" s="784"/>
      <c r="L48" s="1146"/>
      <c r="M48" s="1147"/>
      <c r="N48" s="1134"/>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2668</v>
      </c>
      <c r="B49" s="493"/>
      <c r="C49" s="1419" t="e">
        <f>R49</f>
        <v>#DIV/0!</v>
      </c>
      <c r="D49" s="1419"/>
      <c r="E49" s="1419"/>
      <c r="F49" s="1419"/>
      <c r="G49" s="1419"/>
      <c r="H49" s="1419"/>
      <c r="I49" s="1419"/>
      <c r="J49" s="1419"/>
      <c r="K49" s="785"/>
      <c r="L49" s="1146"/>
      <c r="M49" s="1147"/>
      <c r="N49" s="1134"/>
      <c r="O49" s="1147"/>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2546</v>
      </c>
      <c r="B58" s="506"/>
      <c r="C58" s="1577" t="str">
        <f>YEAR(C7)&amp;"-"&amp;MONTH(C7)</f>
        <v>2017-10</v>
      </c>
      <c r="D58" s="1578">
        <f>EDATE(C58,-1)</f>
        <v>42979</v>
      </c>
      <c r="E58" s="1578">
        <f t="shared" ref="E58:N58" si="16">EDATE(D58,-1)</f>
        <v>42948</v>
      </c>
      <c r="F58" s="1578">
        <f t="shared" si="16"/>
        <v>42917</v>
      </c>
      <c r="G58" s="1578">
        <f t="shared" si="16"/>
        <v>42887</v>
      </c>
      <c r="H58" s="1578">
        <f t="shared" si="16"/>
        <v>42856</v>
      </c>
      <c r="I58" s="1578">
        <f t="shared" si="16"/>
        <v>42826</v>
      </c>
      <c r="J58" s="1578">
        <f t="shared" si="16"/>
        <v>42795</v>
      </c>
      <c r="K58" s="1578">
        <f t="shared" si="16"/>
        <v>42767</v>
      </c>
      <c r="L58" s="1578">
        <f t="shared" si="16"/>
        <v>42736</v>
      </c>
      <c r="M58" s="1578">
        <f t="shared" si="16"/>
        <v>42705</v>
      </c>
      <c r="N58" s="1578">
        <f t="shared" si="16"/>
        <v>42675</v>
      </c>
      <c r="O58" s="1578">
        <f>EDATE(N58,-1)</f>
        <v>42644</v>
      </c>
      <c r="P58" s="1573"/>
    </row>
    <row r="59" spans="1:29" s="116" customFormat="1" ht="15">
      <c r="A59" s="509"/>
      <c r="B59" s="510"/>
      <c r="C59" s="1576">
        <v>100</v>
      </c>
      <c r="D59" s="512"/>
      <c r="E59" s="512"/>
      <c r="F59" s="512"/>
      <c r="G59" s="512"/>
      <c r="H59" s="512"/>
      <c r="I59" s="512"/>
      <c r="J59" s="512"/>
      <c r="K59" s="512"/>
      <c r="L59" s="512"/>
      <c r="M59" s="513"/>
      <c r="N59" s="512"/>
      <c r="O59" s="513"/>
      <c r="P59" s="2635"/>
    </row>
    <row r="60" spans="1:29" s="116" customFormat="1" ht="15.75" thickBot="1">
      <c r="A60" s="515" t="s">
        <v>2583</v>
      </c>
      <c r="B60" s="516"/>
      <c r="C60" s="517"/>
      <c r="D60" s="518"/>
      <c r="E60" s="518"/>
      <c r="F60" s="518"/>
      <c r="G60" s="518"/>
      <c r="H60" s="518"/>
      <c r="I60" s="518"/>
      <c r="J60" s="518"/>
      <c r="K60" s="518"/>
      <c r="L60" s="518"/>
      <c r="M60" s="519"/>
      <c r="N60" s="518"/>
      <c r="O60" s="519"/>
      <c r="P60" s="2635"/>
      <c r="Q60" s="504"/>
    </row>
    <row r="61" spans="1:29" s="116" customFormat="1" ht="15">
      <c r="A61" s="521" t="s">
        <v>2548</v>
      </c>
      <c r="B61" s="510"/>
      <c r="C61" s="522" t="s">
        <v>2650</v>
      </c>
      <c r="D61" s="523"/>
      <c r="E61" s="523"/>
      <c r="F61" s="523"/>
      <c r="G61" s="523"/>
      <c r="H61" s="523"/>
      <c r="I61" s="523"/>
      <c r="J61" s="523"/>
      <c r="K61" s="523"/>
      <c r="L61" s="524"/>
      <c r="M61" s="525"/>
      <c r="N61" s="1154"/>
      <c r="O61" s="1154"/>
      <c r="P61" s="2636"/>
      <c r="Q61" s="504"/>
    </row>
    <row r="62" spans="1:29" s="116"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2586</v>
      </c>
      <c r="B63" s="528" t="s">
        <v>2552</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2653</v>
      </c>
      <c r="C82" s="660" t="s">
        <v>2673</v>
      </c>
      <c r="D82" s="660" t="s">
        <v>2674</v>
      </c>
      <c r="E82" s="660" t="s">
        <v>2675</v>
      </c>
      <c r="F82" s="660" t="s">
        <v>2676</v>
      </c>
      <c r="G82" s="660" t="s">
        <v>2677</v>
      </c>
      <c r="H82" s="539"/>
      <c r="I82" s="539"/>
      <c r="J82" s="539"/>
      <c r="K82" s="539"/>
      <c r="L82" s="539"/>
      <c r="M82" s="1384"/>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6" customFormat="1" ht="15.75" thickTop="1">
      <c r="A86" s="579"/>
      <c r="B86" s="538" t="s">
        <v>2678</v>
      </c>
      <c r="C86" s="554"/>
      <c r="D86" s="554"/>
      <c r="E86" s="554"/>
      <c r="F86" s="554"/>
      <c r="G86" s="554"/>
      <c r="H86" s="554"/>
      <c r="I86" s="554"/>
      <c r="J86" s="554"/>
      <c r="K86" s="554"/>
      <c r="L86" s="580"/>
      <c r="M86" s="581"/>
      <c r="N86" s="1154"/>
      <c r="O86" s="1154"/>
      <c r="P86" s="2637"/>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6"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6"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2561</v>
      </c>
      <c r="B100" s="528" t="s">
        <v>2679</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2612</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2614</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2682</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2618</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6" t="s">
        <v>2699</v>
      </c>
      <c r="C1" s="1623" t="s">
        <v>2528</v>
      </c>
      <c r="D1" s="1624"/>
      <c r="E1" s="1633"/>
      <c r="F1" s="2591"/>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0" t="e">
        <f ca="1">IF(C2="——",ROUND(C43*D3/10000,0),ROUND(C43*D3/10000,0)-D2)</f>
        <v>#DIV/0!</v>
      </c>
      <c r="C2" s="2593"/>
      <c r="D2" s="1127" t="e">
        <f ca="1">SUMIF(INDIRECT("'"&amp;F2&amp;"'"&amp;"!A:A"),"承租人权益价值",INDIRECT("'"&amp;F2&amp;"'"&amp;"!c:c"))</f>
        <v>#REF!</v>
      </c>
      <c r="E2" s="2594" t="s">
        <v>2326</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38306.649999999907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7" t="s">
        <v>2547</v>
      </c>
      <c r="Q7" s="3212"/>
      <c r="R7" s="770" t="s">
        <v>17</v>
      </c>
      <c r="S7" s="771">
        <f t="shared" ref="S7:S15" si="0">F7</f>
        <v>0</v>
      </c>
      <c r="T7" s="770" t="s">
        <v>17</v>
      </c>
      <c r="U7" s="771">
        <f t="shared" ref="U7:U15" si="1">H7</f>
        <v>0</v>
      </c>
      <c r="V7" s="770" t="s">
        <v>17</v>
      </c>
      <c r="W7" s="771">
        <f t="shared" ref="W7:W15" si="2">J7</f>
        <v>0</v>
      </c>
      <c r="X7" s="772"/>
      <c r="Y7" s="3177" t="s">
        <v>2547</v>
      </c>
      <c r="Z7" s="3178"/>
      <c r="AA7" s="773" t="e">
        <f>D7/F7</f>
        <v>#DIV/0!</v>
      </c>
      <c r="AB7" s="773" t="e">
        <f>D7/H7</f>
        <v>#DIV/0!</v>
      </c>
      <c r="AC7" s="773" t="e">
        <f>D7/J7</f>
        <v>#DIV/0!</v>
      </c>
    </row>
    <row r="8" spans="1:29" s="116"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40" si="3">D8/F8</f>
        <v>#DIV/0!</v>
      </c>
      <c r="AB8" s="773" t="e">
        <f t="shared" ref="AB8:AB40" si="4">D8/H8</f>
        <v>#DIV/0!</v>
      </c>
      <c r="AC8" s="773" t="e">
        <f t="shared" ref="AC8:AC40" si="5">D8/J8</f>
        <v>#DIV/0!</v>
      </c>
    </row>
    <row r="9" spans="1:29" s="116" customFormat="1">
      <c r="A9" s="415" t="s">
        <v>2551</v>
      </c>
      <c r="B9" s="70" t="s">
        <v>2552</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22"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428"/>
      <c r="B11" s="422" t="s">
        <v>2556</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47"/>
      <c r="Z11" s="54" t="str">
        <f t="shared" si="7"/>
        <v>容积率</v>
      </c>
      <c r="AA11" s="773" t="e">
        <f t="shared" si="3"/>
        <v>#N/A</v>
      </c>
      <c r="AB11" s="773" t="e">
        <f t="shared" si="4"/>
        <v>#N/A</v>
      </c>
      <c r="AC11" s="773" t="e">
        <f t="shared" si="5"/>
        <v>#N/A</v>
      </c>
    </row>
    <row r="12" spans="1:29" s="116" customFormat="1" ht="15">
      <c r="A12" s="431"/>
      <c r="B12" s="2607">
        <v>111</v>
      </c>
      <c r="C12" s="432"/>
      <c r="D12" s="433">
        <v>100</v>
      </c>
      <c r="E12" s="434"/>
      <c r="F12" s="135">
        <f>SUMIF(64:64,E12,65:65)-SUMIF(64:64,C12,65:65)+100</f>
        <v>100</v>
      </c>
      <c r="G12" s="2699"/>
      <c r="H12" s="135">
        <f>SUMIF(64:64,G12,65:65)-SUMIF(64:64,C12,65:65)+100</f>
        <v>100</v>
      </c>
      <c r="I12" s="469"/>
      <c r="J12" s="135">
        <f>SUMIF(64:64,I12,65:65)-SUMIF(64:64,C12,65:65)+100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
      <c r="A13" s="428"/>
      <c r="B13" s="2607">
        <v>111</v>
      </c>
      <c r="C13" s="434"/>
      <c r="D13" s="435">
        <v>100</v>
      </c>
      <c r="E13" s="434"/>
      <c r="F13" s="135">
        <f>SUMIF(66:66,E13,67:67)-SUMIF(66:66,C13,67:67)+100</f>
        <v>100</v>
      </c>
      <c r="G13" s="2699"/>
      <c r="H13" s="435">
        <f>SUMIF(66:66,G13,67:67)-SUMIF(66:66,C13,67:67)+100</f>
        <v>100</v>
      </c>
      <c r="I13" s="469"/>
      <c r="J13" s="435">
        <f>SUMIF(66:66,I13,67:67)-SUMIF(66:66,C13,67:67)+100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47"/>
      <c r="Z14" s="54">
        <f t="shared" si="7"/>
        <v>111</v>
      </c>
      <c r="AA14" s="773">
        <f t="shared" si="3"/>
        <v>1</v>
      </c>
      <c r="AB14" s="773">
        <f t="shared" si="4"/>
        <v>1</v>
      </c>
      <c r="AC14" s="773">
        <f t="shared" si="5"/>
        <v>1</v>
      </c>
    </row>
    <row r="15" spans="1:29" ht="15">
      <c r="A15" s="440" t="s">
        <v>2557</v>
      </c>
      <c r="B15" s="68" t="s">
        <v>2700</v>
      </c>
      <c r="C15" s="270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2558</v>
      </c>
      <c r="Q15" s="1813" t="str">
        <f t="shared" si="6"/>
        <v>产业集聚程度</v>
      </c>
      <c r="R15" s="774" t="s">
        <v>17</v>
      </c>
      <c r="S15" s="775">
        <f t="shared" si="0"/>
        <v>100</v>
      </c>
      <c r="T15" s="774" t="s">
        <v>17</v>
      </c>
      <c r="U15" s="775">
        <f t="shared" si="1"/>
        <v>100</v>
      </c>
      <c r="V15" s="774" t="s">
        <v>17</v>
      </c>
      <c r="W15" s="775">
        <f t="shared" si="2"/>
        <v>100</v>
      </c>
      <c r="X15" s="1816"/>
      <c r="Y15" s="3215"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6"/>
      <c r="Q16" s="1813"/>
      <c r="R16" s="774"/>
      <c r="S16" s="775"/>
      <c r="T16" s="774"/>
      <c r="U16" s="775"/>
      <c r="V16" s="774"/>
      <c r="W16" s="775"/>
      <c r="X16" s="1816"/>
      <c r="Y16" s="3216"/>
      <c r="Z16" s="1817"/>
      <c r="AA16" s="1814">
        <v>1</v>
      </c>
      <c r="AB16" s="1814">
        <v>1</v>
      </c>
      <c r="AC16" s="1814">
        <v>1</v>
      </c>
    </row>
    <row r="17" spans="1:29" ht="15">
      <c r="A17" s="428"/>
      <c r="B17" s="451" t="s">
        <v>2097</v>
      </c>
      <c r="C17" s="261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451" t="s">
        <v>2686</v>
      </c>
      <c r="C19" s="261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16"/>
      <c r="Q20" s="1813"/>
      <c r="R20" s="774"/>
      <c r="S20" s="775"/>
      <c r="T20" s="774"/>
      <c r="U20" s="775"/>
      <c r="V20" s="774"/>
      <c r="W20" s="775"/>
      <c r="X20" s="1816"/>
      <c r="Y20" s="3216"/>
      <c r="Z20" s="1817"/>
      <c r="AA20" s="1814">
        <v>1</v>
      </c>
      <c r="AB20" s="1814">
        <v>1</v>
      </c>
      <c r="AC20" s="1814">
        <v>1</v>
      </c>
    </row>
    <row r="21" spans="1:29" ht="15">
      <c r="A21" s="428"/>
      <c r="B21" s="1386" t="s">
        <v>2687</v>
      </c>
      <c r="C21" s="261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6"/>
      <c r="C22" s="2615"/>
      <c r="D22" s="448"/>
      <c r="E22" s="447"/>
      <c r="F22" s="449"/>
      <c r="G22" s="447"/>
      <c r="H22" s="448"/>
      <c r="I22" s="447"/>
      <c r="J22" s="448"/>
      <c r="K22" s="1385"/>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28"/>
      <c r="B23" s="451" t="s">
        <v>2688</v>
      </c>
      <c r="C23" s="261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1814">
        <f t="shared" si="5"/>
        <v>1</v>
      </c>
    </row>
    <row r="24" spans="1:29" ht="15">
      <c r="A24" s="428"/>
      <c r="B24" s="1386"/>
      <c r="C24" s="447"/>
      <c r="D24" s="448"/>
      <c r="E24" s="2612"/>
      <c r="F24" s="449"/>
      <c r="G24" s="2611"/>
      <c r="H24" s="448"/>
      <c r="I24" s="2612"/>
      <c r="J24" s="448"/>
      <c r="K24" s="615"/>
      <c r="L24" s="1143"/>
      <c r="M24" s="1134"/>
      <c r="N24" s="1134"/>
      <c r="O24" s="1142"/>
      <c r="P24" s="3216"/>
      <c r="Q24" s="1813"/>
      <c r="R24" s="774"/>
      <c r="S24" s="775"/>
      <c r="T24" s="774"/>
      <c r="U24" s="775"/>
      <c r="V24" s="774"/>
      <c r="W24" s="775"/>
      <c r="X24" s="1816"/>
      <c r="Y24" s="3216"/>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3">
        <f>B25</f>
        <v>111</v>
      </c>
      <c r="R25" s="774" t="s">
        <v>17</v>
      </c>
      <c r="S25" s="775">
        <f>F25</f>
        <v>100</v>
      </c>
      <c r="T25" s="774" t="s">
        <v>17</v>
      </c>
      <c r="U25" s="775">
        <f>H25</f>
        <v>100</v>
      </c>
      <c r="V25" s="774" t="s">
        <v>17</v>
      </c>
      <c r="W25" s="775">
        <f>J25</f>
        <v>100</v>
      </c>
      <c r="X25" s="1816"/>
      <c r="Y25" s="3216"/>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3">
        <f t="shared" ref="Q26:Q40" si="11">B26</f>
        <v>111</v>
      </c>
      <c r="R26" s="774" t="s">
        <v>17</v>
      </c>
      <c r="S26" s="775">
        <f>F26</f>
        <v>100</v>
      </c>
      <c r="T26" s="774" t="s">
        <v>17</v>
      </c>
      <c r="U26" s="775">
        <f>H26</f>
        <v>100</v>
      </c>
      <c r="V26" s="774" t="s">
        <v>17</v>
      </c>
      <c r="W26" s="775">
        <f>J26</f>
        <v>100</v>
      </c>
      <c r="X26" s="1816"/>
      <c r="Y26" s="3216"/>
      <c r="Z26" s="1817">
        <f>Q26</f>
        <v>111</v>
      </c>
      <c r="AA26" s="1814">
        <f t="shared" si="3"/>
        <v>1</v>
      </c>
      <c r="AB26" s="1814">
        <f t="shared" si="4"/>
        <v>1</v>
      </c>
      <c r="AC26" s="1814">
        <f t="shared" si="5"/>
        <v>1</v>
      </c>
    </row>
    <row r="27" spans="1:29" s="116"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8">
        <f t="shared" si="11"/>
        <v>111</v>
      </c>
      <c r="R27" s="770" t="s">
        <v>17</v>
      </c>
      <c r="S27" s="771">
        <f>F27</f>
        <v>100</v>
      </c>
      <c r="T27" s="770" t="s">
        <v>17</v>
      </c>
      <c r="U27" s="771">
        <f>H27</f>
        <v>100</v>
      </c>
      <c r="V27" s="770" t="s">
        <v>17</v>
      </c>
      <c r="W27" s="771">
        <f>J27</f>
        <v>100</v>
      </c>
      <c r="X27" s="772"/>
      <c r="Y27" s="3216"/>
      <c r="Z27" s="54">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3">
        <f t="shared" si="11"/>
        <v>111</v>
      </c>
      <c r="R28" s="774" t="s">
        <v>17</v>
      </c>
      <c r="S28" s="775">
        <f t="shared" ref="S28:S40" si="12">F28</f>
        <v>100</v>
      </c>
      <c r="T28" s="774" t="s">
        <v>17</v>
      </c>
      <c r="U28" s="775">
        <f t="shared" ref="U28:U40" si="13">H28</f>
        <v>100</v>
      </c>
      <c r="V28" s="774" t="s">
        <v>17</v>
      </c>
      <c r="W28" s="775">
        <f t="shared" ref="W28:W40" si="14">J28</f>
        <v>100</v>
      </c>
      <c r="X28" s="1816"/>
      <c r="Y28" s="3216"/>
      <c r="Z28" s="1817">
        <f t="shared" ref="Z28:Z40" si="15">Q28</f>
        <v>111</v>
      </c>
      <c r="AA28" s="1814">
        <f t="shared" si="3"/>
        <v>1</v>
      </c>
      <c r="AB28" s="1814">
        <f t="shared" si="4"/>
        <v>1</v>
      </c>
      <c r="AC28" s="1814">
        <f t="shared" si="5"/>
        <v>1</v>
      </c>
    </row>
    <row r="29" spans="1:29" ht="15">
      <c r="A29" s="466" t="s">
        <v>2561</v>
      </c>
      <c r="B29" s="70" t="s">
        <v>2691</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68" t="s">
        <v>2563</v>
      </c>
      <c r="Q29" s="1813" t="str">
        <f t="shared" si="11"/>
        <v>建筑类型</v>
      </c>
      <c r="R29" s="774" t="s">
        <v>17</v>
      </c>
      <c r="S29" s="775">
        <f t="shared" si="12"/>
        <v>100</v>
      </c>
      <c r="T29" s="774" t="s">
        <v>17</v>
      </c>
      <c r="U29" s="775">
        <f t="shared" si="13"/>
        <v>100</v>
      </c>
      <c r="V29" s="774" t="s">
        <v>17</v>
      </c>
      <c r="W29" s="775">
        <f t="shared" si="14"/>
        <v>100</v>
      </c>
      <c r="X29" s="1816"/>
      <c r="Y29" s="3220" t="s">
        <v>2563</v>
      </c>
      <c r="Z29" s="1817" t="str">
        <f t="shared" si="15"/>
        <v>建筑类型</v>
      </c>
      <c r="AA29" s="1814">
        <f t="shared" si="3"/>
        <v>1</v>
      </c>
      <c r="AB29" s="1814">
        <f t="shared" si="4"/>
        <v>1</v>
      </c>
      <c r="AC29" s="1814">
        <f t="shared" si="5"/>
        <v>1</v>
      </c>
    </row>
    <row r="30" spans="1:29" s="471" customFormat="1" ht="15">
      <c r="A30" s="468"/>
      <c r="B30" s="422" t="s">
        <v>2564</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0"/>
      <c r="Q31" s="1813" t="str">
        <f t="shared" si="11"/>
        <v>建筑结构</v>
      </c>
      <c r="R31" s="774" t="s">
        <v>17</v>
      </c>
      <c r="S31" s="775">
        <f t="shared" si="12"/>
        <v>100</v>
      </c>
      <c r="T31" s="774" t="s">
        <v>17</v>
      </c>
      <c r="U31" s="775">
        <f t="shared" si="13"/>
        <v>100</v>
      </c>
      <c r="V31" s="774" t="s">
        <v>17</v>
      </c>
      <c r="W31" s="775">
        <f t="shared" si="14"/>
        <v>100</v>
      </c>
      <c r="X31" s="1816"/>
      <c r="Y31" s="3220"/>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0"/>
      <c r="Q32" s="1813" t="str">
        <f t="shared" si="11"/>
        <v>公共部分装修</v>
      </c>
      <c r="R32" s="774" t="s">
        <v>17</v>
      </c>
      <c r="S32" s="775">
        <f t="shared" si="12"/>
        <v>100</v>
      </c>
      <c r="T32" s="774" t="s">
        <v>17</v>
      </c>
      <c r="U32" s="775">
        <f t="shared" si="13"/>
        <v>100</v>
      </c>
      <c r="V32" s="774" t="s">
        <v>17</v>
      </c>
      <c r="W32" s="775">
        <f t="shared" si="14"/>
        <v>100</v>
      </c>
      <c r="X32" s="1816"/>
      <c r="Y32" s="3220"/>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0"/>
      <c r="Q33" s="1813" t="str">
        <f t="shared" si="11"/>
        <v>成新度</v>
      </c>
      <c r="R33" s="774" t="s">
        <v>17</v>
      </c>
      <c r="S33" s="775" t="e">
        <f t="shared" si="12"/>
        <v>#N/A</v>
      </c>
      <c r="T33" s="774" t="s">
        <v>17</v>
      </c>
      <c r="U33" s="775" t="e">
        <f t="shared" si="13"/>
        <v>#N/A</v>
      </c>
      <c r="V33" s="774" t="s">
        <v>17</v>
      </c>
      <c r="W33" s="775" t="e">
        <f t="shared" si="14"/>
        <v>#N/A</v>
      </c>
      <c r="X33" s="1816"/>
      <c r="Y33" s="3220"/>
      <c r="Z33" s="1817" t="str">
        <f t="shared" si="15"/>
        <v>成新度</v>
      </c>
      <c r="AA33" s="1814" t="e">
        <f t="shared" si="3"/>
        <v>#N/A</v>
      </c>
      <c r="AB33" s="1814" t="e">
        <f t="shared" si="4"/>
        <v>#N/A</v>
      </c>
      <c r="AC33" s="1814" t="e">
        <f t="shared" si="5"/>
        <v>#N/A</v>
      </c>
    </row>
    <row r="34" spans="1:29" s="116" customFormat="1" ht="15">
      <c r="A34" s="473"/>
      <c r="B34" s="422" t="s">
        <v>2693</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0"/>
      <c r="Q34" s="1798" t="str">
        <f t="shared" si="11"/>
        <v>物业管理</v>
      </c>
      <c r="R34" s="770" t="s">
        <v>17</v>
      </c>
      <c r="S34" s="771">
        <f t="shared" si="12"/>
        <v>100</v>
      </c>
      <c r="T34" s="770" t="s">
        <v>17</v>
      </c>
      <c r="U34" s="771">
        <f t="shared" si="13"/>
        <v>100</v>
      </c>
      <c r="V34" s="770" t="s">
        <v>17</v>
      </c>
      <c r="W34" s="771">
        <f t="shared" si="14"/>
        <v>100</v>
      </c>
      <c r="X34" s="772"/>
      <c r="Y34" s="3220"/>
      <c r="Z34" s="54"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0" t="s">
        <v>2563</v>
      </c>
      <c r="Q35" s="1813" t="str">
        <f t="shared" si="11"/>
        <v>市政基础设施</v>
      </c>
      <c r="R35" s="774" t="s">
        <v>17</v>
      </c>
      <c r="S35" s="775">
        <f t="shared" si="12"/>
        <v>100</v>
      </c>
      <c r="T35" s="774" t="s">
        <v>17</v>
      </c>
      <c r="U35" s="775">
        <f t="shared" si="13"/>
        <v>100</v>
      </c>
      <c r="V35" s="774" t="s">
        <v>17</v>
      </c>
      <c r="W35" s="775">
        <f t="shared" si="14"/>
        <v>100</v>
      </c>
      <c r="X35" s="1816"/>
      <c r="Y35" s="3220"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0"/>
      <c r="Q36" s="1813" t="str">
        <f t="shared" si="11"/>
        <v>内部装修</v>
      </c>
      <c r="R36" s="774" t="s">
        <v>17</v>
      </c>
      <c r="S36" s="775">
        <f t="shared" si="12"/>
        <v>100</v>
      </c>
      <c r="T36" s="774" t="s">
        <v>17</v>
      </c>
      <c r="U36" s="775">
        <f t="shared" si="13"/>
        <v>100</v>
      </c>
      <c r="V36" s="774" t="s">
        <v>17</v>
      </c>
      <c r="W36" s="775">
        <f t="shared" si="14"/>
        <v>100</v>
      </c>
      <c r="X36" s="1816"/>
      <c r="Y36" s="3220"/>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0"/>
      <c r="Q37" s="1813" t="str">
        <f t="shared" si="11"/>
        <v>内部装修状况</v>
      </c>
      <c r="R37" s="774" t="s">
        <v>17</v>
      </c>
      <c r="S37" s="775">
        <f t="shared" si="12"/>
        <v>100</v>
      </c>
      <c r="T37" s="774" t="s">
        <v>17</v>
      </c>
      <c r="U37" s="775">
        <f t="shared" si="13"/>
        <v>100</v>
      </c>
      <c r="V37" s="774" t="s">
        <v>17</v>
      </c>
      <c r="W37" s="775">
        <f t="shared" si="14"/>
        <v>100</v>
      </c>
      <c r="X37" s="1816"/>
      <c r="Y37" s="3220"/>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0"/>
      <c r="Q39" s="1813">
        <f t="shared" si="11"/>
        <v>111</v>
      </c>
      <c r="R39" s="774" t="s">
        <v>17</v>
      </c>
      <c r="S39" s="775">
        <f t="shared" si="12"/>
        <v>100</v>
      </c>
      <c r="T39" s="774" t="s">
        <v>17</v>
      </c>
      <c r="U39" s="775">
        <f t="shared" si="13"/>
        <v>100</v>
      </c>
      <c r="V39" s="774" t="s">
        <v>17</v>
      </c>
      <c r="W39" s="775">
        <f t="shared" si="14"/>
        <v>100</v>
      </c>
      <c r="X39" s="1816"/>
      <c r="Y39" s="3220"/>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1"/>
      <c r="Q40" s="1813">
        <f t="shared" si="11"/>
        <v>111</v>
      </c>
      <c r="R40" s="774" t="s">
        <v>17</v>
      </c>
      <c r="S40" s="775">
        <f t="shared" si="12"/>
        <v>100</v>
      </c>
      <c r="T40" s="774" t="s">
        <v>17</v>
      </c>
      <c r="U40" s="775">
        <f t="shared" si="13"/>
        <v>100</v>
      </c>
      <c r="V40" s="774" t="s">
        <v>17</v>
      </c>
      <c r="W40" s="775">
        <f t="shared" si="14"/>
        <v>100</v>
      </c>
      <c r="X40" s="1816"/>
      <c r="Y40" s="3221"/>
      <c r="Z40" s="1817">
        <f t="shared" si="15"/>
        <v>111</v>
      </c>
      <c r="AA40" s="1814">
        <f t="shared" si="3"/>
        <v>1</v>
      </c>
      <c r="AB40" s="1814">
        <f t="shared" si="4"/>
        <v>1</v>
      </c>
      <c r="AC40" s="1814">
        <f t="shared" si="5"/>
        <v>1</v>
      </c>
    </row>
    <row r="41" spans="1:29" ht="15">
      <c r="A41" s="479" t="s">
        <v>2575</v>
      </c>
      <c r="B41" s="480"/>
      <c r="C41" s="1409" t="s">
        <v>1</v>
      </c>
      <c r="D41" s="1410"/>
      <c r="E41" s="1411"/>
      <c r="F41" s="1412"/>
      <c r="G41" s="1413"/>
      <c r="H41" s="1414"/>
      <c r="I41" s="1411"/>
      <c r="J41" s="1414"/>
      <c r="K41" s="783"/>
      <c r="L41" s="1146"/>
      <c r="M41" s="1147"/>
      <c r="N41" s="1134"/>
      <c r="O41" s="1147"/>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75" thickBot="1">
      <c r="A42" s="486" t="s">
        <v>2667</v>
      </c>
      <c r="B42" s="487"/>
      <c r="C42" s="1415" t="e">
        <f>R43</f>
        <v>#DIV/0!</v>
      </c>
      <c r="D42" s="1416"/>
      <c r="E42" s="1417" t="e">
        <f>R42</f>
        <v>#DIV/0!</v>
      </c>
      <c r="F42" s="1417"/>
      <c r="G42" s="1415" t="e">
        <f>T42</f>
        <v>#DIV/0!</v>
      </c>
      <c r="H42" s="1416"/>
      <c r="I42" s="1417" t="e">
        <f>V42</f>
        <v>#DIV/0!</v>
      </c>
      <c r="J42" s="1416"/>
      <c r="K42" s="784"/>
      <c r="L42" s="1146"/>
      <c r="M42" s="1147"/>
      <c r="N42" s="1134"/>
      <c r="O42" s="1147"/>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2668</v>
      </c>
      <c r="B43" s="493"/>
      <c r="C43" s="1419" t="e">
        <f>R43</f>
        <v>#DIV/0!</v>
      </c>
      <c r="D43" s="1419"/>
      <c r="E43" s="1419"/>
      <c r="F43" s="1419"/>
      <c r="G43" s="1419"/>
      <c r="H43" s="1419"/>
      <c r="I43" s="1419"/>
      <c r="J43" s="1419"/>
      <c r="K43" s="785"/>
      <c r="L43" s="1146"/>
      <c r="M43" s="1147"/>
      <c r="N43" s="1147"/>
      <c r="O43" s="1147"/>
      <c r="P43" s="3265" t="str">
        <f>A43</f>
        <v>估价对象XX用房的比较价值（楼面单价，元/平方米）</v>
      </c>
      <c r="Q43" s="3266"/>
      <c r="R43" s="3267" t="e">
        <f>IF(F1="售价",ROUND(AVERAGE(R42:V42),0),ROUND(AVERAGE(R42:V42),1))</f>
        <v>#DIV/0!</v>
      </c>
      <c r="S43" s="3267"/>
      <c r="T43" s="3267"/>
      <c r="U43" s="3267"/>
      <c r="V43" s="3267"/>
      <c r="W43" s="326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2017-10</v>
      </c>
      <c r="D52" s="1578">
        <f>EDATE(C52,-1)</f>
        <v>42979</v>
      </c>
      <c r="E52" s="1578">
        <f t="shared" ref="E52:O52" si="16">EDATE(D52,-1)</f>
        <v>42948</v>
      </c>
      <c r="F52" s="1578">
        <f t="shared" si="16"/>
        <v>42917</v>
      </c>
      <c r="G52" s="1578">
        <f t="shared" si="16"/>
        <v>42887</v>
      </c>
      <c r="H52" s="1578">
        <f t="shared" si="16"/>
        <v>42856</v>
      </c>
      <c r="I52" s="1578">
        <f t="shared" si="16"/>
        <v>42826</v>
      </c>
      <c r="J52" s="1578">
        <f t="shared" si="16"/>
        <v>42795</v>
      </c>
      <c r="K52" s="1578">
        <f t="shared" si="16"/>
        <v>42767</v>
      </c>
      <c r="L52" s="1578">
        <f t="shared" si="16"/>
        <v>42736</v>
      </c>
      <c r="M52" s="1578">
        <f t="shared" si="16"/>
        <v>42705</v>
      </c>
      <c r="N52" s="1578">
        <f t="shared" si="16"/>
        <v>42675</v>
      </c>
      <c r="O52" s="1578">
        <f t="shared" si="16"/>
        <v>42644</v>
      </c>
      <c r="P52" s="507"/>
    </row>
    <row r="53" spans="1:17" s="116" customFormat="1" ht="15">
      <c r="A53" s="509"/>
      <c r="B53" s="510"/>
      <c r="C53" s="1576">
        <v>100</v>
      </c>
      <c r="D53" s="512"/>
      <c r="E53" s="512"/>
      <c r="F53" s="512"/>
      <c r="G53" s="512"/>
      <c r="H53" s="512"/>
      <c r="I53" s="512"/>
      <c r="J53" s="512"/>
      <c r="K53" s="512"/>
      <c r="L53" s="512"/>
      <c r="M53" s="513"/>
      <c r="N53" s="512"/>
      <c r="O53" s="514"/>
      <c r="P53" s="504"/>
    </row>
    <row r="54" spans="1:17" s="116" customFormat="1" ht="15.75" thickBot="1">
      <c r="A54" s="515" t="s">
        <v>2583</v>
      </c>
      <c r="B54" s="516"/>
      <c r="C54" s="517"/>
      <c r="D54" s="518"/>
      <c r="E54" s="518"/>
      <c r="F54" s="518"/>
      <c r="G54" s="518"/>
      <c r="H54" s="518"/>
      <c r="I54" s="518"/>
      <c r="J54" s="518"/>
      <c r="K54" s="518"/>
      <c r="L54" s="518"/>
      <c r="M54" s="519"/>
      <c r="N54" s="518"/>
      <c r="O54" s="520"/>
      <c r="P54" s="504"/>
      <c r="Q54" s="504"/>
    </row>
    <row r="55" spans="1:17" s="116" customFormat="1" ht="15">
      <c r="A55" s="521" t="s">
        <v>2548</v>
      </c>
      <c r="B55" s="510"/>
      <c r="C55" s="522" t="s">
        <v>2650</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4"/>
      <c r="Q57" s="504"/>
    </row>
    <row r="58" spans="1:17" ht="15.75" thickBot="1">
      <c r="A58" s="534"/>
      <c r="B58" s="535"/>
      <c r="C58" s="536">
        <v>100</v>
      </c>
      <c r="D58" s="536"/>
      <c r="E58" s="536"/>
      <c r="F58" s="536"/>
      <c r="G58" s="536"/>
      <c r="H58" s="536"/>
      <c r="I58" s="536"/>
      <c r="J58" s="536"/>
      <c r="K58" s="536"/>
      <c r="L58" s="536"/>
      <c r="M58" s="537"/>
      <c r="N58" s="1156"/>
      <c r="O58" s="1156"/>
      <c r="P58" s="44"/>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4"/>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4"/>
      <c r="Q61" s="504"/>
    </row>
    <row r="62" spans="1:17" ht="15">
      <c r="A62" s="534"/>
      <c r="B62" s="548"/>
      <c r="C62" s="549"/>
      <c r="D62" s="549"/>
      <c r="E62" s="549"/>
      <c r="F62" s="549"/>
      <c r="G62" s="549"/>
      <c r="H62" s="549"/>
      <c r="I62" s="549"/>
      <c r="J62" s="549"/>
      <c r="K62" s="550"/>
      <c r="L62" s="551"/>
      <c r="M62" s="552"/>
      <c r="N62" s="1155"/>
      <c r="O62" s="1155"/>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4"/>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2702</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4"/>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4"/>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4"/>
      <c r="Q75" s="504"/>
    </row>
    <row r="76" spans="1:17" ht="15.75" thickTop="1">
      <c r="A76" s="534"/>
      <c r="B76" s="546" t="s">
        <v>2687</v>
      </c>
      <c r="C76" s="660" t="s">
        <v>2673</v>
      </c>
      <c r="D76" s="660" t="s">
        <v>2674</v>
      </c>
      <c r="E76" s="660" t="s">
        <v>2675</v>
      </c>
      <c r="F76" s="660" t="s">
        <v>2676</v>
      </c>
      <c r="G76" s="660" t="s">
        <v>2677</v>
      </c>
      <c r="H76" s="539"/>
      <c r="I76" s="539"/>
      <c r="J76" s="539"/>
      <c r="K76" s="539"/>
      <c r="L76" s="539"/>
      <c r="M76" s="1384"/>
      <c r="N76" s="1156"/>
      <c r="O76" s="1156"/>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4"/>
      <c r="Q77" s="504"/>
    </row>
    <row r="78" spans="1:17" ht="15.75" thickTop="1">
      <c r="A78" s="534"/>
      <c r="B78" s="538" t="s">
        <v>2695</v>
      </c>
      <c r="C78" s="578" t="s">
        <v>2595</v>
      </c>
      <c r="D78" s="578" t="s">
        <v>2596</v>
      </c>
      <c r="E78" s="578" t="s">
        <v>2597</v>
      </c>
      <c r="F78" s="578" t="s">
        <v>2598</v>
      </c>
      <c r="G78" s="578" t="s">
        <v>2599</v>
      </c>
      <c r="H78" s="539"/>
      <c r="I78" s="539"/>
      <c r="J78" s="539"/>
      <c r="K78" s="540"/>
      <c r="L78" s="541"/>
      <c r="M78" s="542"/>
      <c r="N78" s="1155"/>
      <c r="O78" s="1155"/>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4"/>
      <c r="Q79" s="504"/>
    </row>
    <row r="80" spans="1:17" s="116" customFormat="1" ht="15.75" thickTop="1">
      <c r="A80" s="579"/>
      <c r="B80" s="538">
        <f>B25</f>
        <v>111</v>
      </c>
      <c r="C80" s="554"/>
      <c r="D80" s="554"/>
      <c r="E80" s="554"/>
      <c r="F80" s="554"/>
      <c r="G80" s="554"/>
      <c r="H80" s="554"/>
      <c r="I80" s="554"/>
      <c r="J80" s="554"/>
      <c r="K80" s="554"/>
      <c r="L80" s="580"/>
      <c r="M80" s="581"/>
      <c r="N80" s="1154"/>
      <c r="O80" s="1154"/>
      <c r="P80" s="44"/>
      <c r="Q80" s="504"/>
    </row>
    <row r="81" spans="1:17" s="116" customFormat="1" ht="15.75" thickBot="1">
      <c r="A81" s="579"/>
      <c r="B81" s="543"/>
      <c r="C81" s="560"/>
      <c r="D81" s="536"/>
      <c r="E81" s="536"/>
      <c r="F81" s="536"/>
      <c r="G81" s="536"/>
      <c r="H81" s="536"/>
      <c r="I81" s="536"/>
      <c r="J81" s="536"/>
      <c r="K81" s="536"/>
      <c r="L81" s="536"/>
      <c r="M81" s="537"/>
      <c r="N81" s="1156"/>
      <c r="O81" s="1156"/>
      <c r="P81" s="44"/>
      <c r="Q81" s="504"/>
    </row>
    <row r="82" spans="1:17" s="116" customFormat="1" ht="15.75" thickTop="1">
      <c r="A82" s="579"/>
      <c r="B82" s="538">
        <f>B26</f>
        <v>111</v>
      </c>
      <c r="C82" s="554"/>
      <c r="D82" s="554"/>
      <c r="E82" s="554"/>
      <c r="F82" s="554"/>
      <c r="G82" s="554"/>
      <c r="H82" s="554"/>
      <c r="I82" s="554"/>
      <c r="J82" s="554"/>
      <c r="K82" s="554"/>
      <c r="L82" s="580"/>
      <c r="M82" s="581"/>
      <c r="N82" s="1154"/>
      <c r="O82" s="1154"/>
      <c r="P82" s="44"/>
      <c r="Q82" s="504"/>
    </row>
    <row r="83" spans="1:17" s="116" customFormat="1" ht="15.75" thickBot="1">
      <c r="A83" s="579"/>
      <c r="B83" s="543"/>
      <c r="C83" s="560"/>
      <c r="D83" s="536"/>
      <c r="E83" s="536"/>
      <c r="F83" s="536"/>
      <c r="G83" s="536"/>
      <c r="H83" s="536"/>
      <c r="I83" s="536"/>
      <c r="J83" s="536"/>
      <c r="K83" s="536"/>
      <c r="L83" s="536"/>
      <c r="M83" s="537"/>
      <c r="N83" s="1156"/>
      <c r="O83" s="1156"/>
      <c r="P83" s="44"/>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4"/>
      <c r="Q86" s="504"/>
    </row>
    <row r="87" spans="1:17" ht="15.75" thickBot="1">
      <c r="A87" s="2643"/>
      <c r="B87" s="569"/>
      <c r="C87" s="570"/>
      <c r="D87" s="570"/>
      <c r="E87" s="570"/>
      <c r="F87" s="570"/>
      <c r="G87" s="591"/>
      <c r="H87" s="591"/>
      <c r="I87" s="591"/>
      <c r="J87" s="591"/>
      <c r="K87" s="591"/>
      <c r="L87" s="591"/>
      <c r="M87" s="592"/>
      <c r="N87" s="1156"/>
      <c r="O87" s="1156"/>
      <c r="P87" s="44"/>
      <c r="Q87" s="504"/>
    </row>
    <row r="88" spans="1:17">
      <c r="A88" s="527" t="s">
        <v>2561</v>
      </c>
      <c r="B88" s="528" t="s">
        <v>2610</v>
      </c>
      <c r="C88" s="530"/>
      <c r="D88" s="530"/>
      <c r="E88" s="530"/>
      <c r="F88" s="530"/>
      <c r="G88" s="530"/>
      <c r="H88" s="530"/>
      <c r="I88" s="530"/>
      <c r="J88" s="530"/>
      <c r="K88" s="531"/>
      <c r="L88" s="532"/>
      <c r="M88" s="533"/>
      <c r="N88" s="1155"/>
      <c r="O88" s="1155"/>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4"/>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4"/>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4"/>
      <c r="Q94" s="504"/>
    </row>
    <row r="95" spans="1:17" ht="15" thickTop="1">
      <c r="A95" s="599"/>
      <c r="B95" s="538" t="s">
        <v>2614</v>
      </c>
      <c r="C95" s="554"/>
      <c r="D95" s="554"/>
      <c r="E95" s="554"/>
      <c r="F95" s="583"/>
      <c r="G95" s="583"/>
      <c r="H95" s="583"/>
      <c r="I95" s="583"/>
      <c r="J95" s="583"/>
      <c r="K95" s="584"/>
      <c r="L95" s="585"/>
      <c r="M95" s="586"/>
      <c r="N95" s="1155"/>
      <c r="O95" s="1155"/>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4"/>
      <c r="Q97" s="504"/>
    </row>
    <row r="98" spans="1:17">
      <c r="A98" s="599"/>
      <c r="B98" s="546"/>
      <c r="C98" s="603">
        <v>0.5</v>
      </c>
      <c r="D98" s="603">
        <v>0.6</v>
      </c>
      <c r="E98" s="603">
        <v>0.7</v>
      </c>
      <c r="F98" s="603">
        <v>0.8</v>
      </c>
      <c r="G98" s="603">
        <v>0.9</v>
      </c>
      <c r="H98" s="603">
        <v>1.0001</v>
      </c>
      <c r="I98" s="623"/>
      <c r="J98" s="623"/>
      <c r="K98" s="624"/>
      <c r="L98" s="625"/>
      <c r="M98" s="626"/>
      <c r="N98" s="1155"/>
      <c r="O98" s="1155"/>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4"/>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4"/>
      <c r="Q103" s="504"/>
    </row>
    <row r="104" spans="1:17" ht="15" thickTop="1">
      <c r="A104" s="599"/>
      <c r="B104" s="538" t="s">
        <v>2618</v>
      </c>
      <c r="C104" s="554"/>
      <c r="D104" s="554"/>
      <c r="E104" s="554"/>
      <c r="F104" s="554"/>
      <c r="G104" s="554"/>
      <c r="H104" s="583"/>
      <c r="I104" s="583"/>
      <c r="J104" s="583"/>
      <c r="K104" s="584"/>
      <c r="L104" s="585"/>
      <c r="M104" s="586"/>
      <c r="N104" s="1155"/>
      <c r="O104" s="1155"/>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4"/>
      <c r="Q105" s="504"/>
    </row>
    <row r="106" spans="1:17" ht="15" thickTop="1">
      <c r="A106" s="599"/>
      <c r="B106" s="636" t="s">
        <v>2703</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4"/>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4"/>
      <c r="Q110" s="504"/>
    </row>
    <row r="111" spans="1:17" ht="15.75" thickBot="1">
      <c r="A111" s="534"/>
      <c r="B111" s="543"/>
      <c r="C111" s="560"/>
      <c r="D111" s="536"/>
      <c r="E111" s="536"/>
      <c r="F111" s="536"/>
      <c r="G111" s="560"/>
      <c r="H111" s="562"/>
      <c r="I111" s="562"/>
      <c r="J111" s="562"/>
      <c r="K111" s="562"/>
      <c r="L111" s="562"/>
      <c r="M111" s="563"/>
      <c r="N111" s="1156"/>
      <c r="O111" s="1156"/>
      <c r="P111" s="44"/>
      <c r="Q111" s="504"/>
    </row>
    <row r="112" spans="1:17" ht="15" thickTop="1">
      <c r="A112" s="599"/>
      <c r="B112" s="546">
        <f>B40</f>
        <v>111</v>
      </c>
      <c r="C112" s="523"/>
      <c r="D112" s="523"/>
      <c r="E112" s="523"/>
      <c r="F112" s="523"/>
      <c r="G112" s="587"/>
      <c r="H112" s="587"/>
      <c r="I112" s="587"/>
      <c r="J112" s="587"/>
      <c r="K112" s="523"/>
      <c r="L112" s="524"/>
      <c r="M112" s="590"/>
      <c r="N112" s="1155"/>
      <c r="O112" s="1155"/>
      <c r="P112" s="44"/>
      <c r="Q112" s="504"/>
    </row>
    <row r="113" spans="1:17" ht="15.75" thickBot="1">
      <c r="A113" s="2643"/>
      <c r="B113" s="569"/>
      <c r="C113" s="570"/>
      <c r="D113" s="570"/>
      <c r="E113" s="570"/>
      <c r="F113" s="570"/>
      <c r="G113" s="591"/>
      <c r="H113" s="591"/>
      <c r="I113" s="591"/>
      <c r="J113" s="591"/>
      <c r="K113" s="591"/>
      <c r="L113" s="591"/>
      <c r="M113" s="592"/>
      <c r="N113" s="1156"/>
      <c r="O113" s="1156"/>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估价对象为房地产，为所有。根据《国有土地使用证》[]，估价对象（分摊）出让国有建设用地使用权面积为13150.41平方米，建筑面积为38306.6499999999平方米。</v>
      </c>
    </row>
    <row r="8" spans="1:1" ht="57.75">
      <c r="A8" s="1954" t="s">
        <v>1616</v>
      </c>
    </row>
    <row r="9" spans="1:1" ht="18.75">
      <c r="A9" s="1953" t="s">
        <v>1617</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估价对象为房地产,属开发建设的，该项目尚在开发建设中。根据《国有土地使用证》[]，估价对象（分摊）出让国有建设用地使用权面积为13150.41平方米，规划建筑面积为38306.6499999999平方米。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1620</v>
      </c>
    </row>
    <row r="15" spans="1:1" ht="18">
      <c r="A15" s="1957" t="str">
        <f>TEXT(项目基本情况!D3,"yyyy年m月d日;;")&amp;IF(项目基本情况!D3=项目基本情况!B3,"（评估专业人员实地查勘之日）","")</f>
        <v>2017年10月25日（评估专业人员实地查勘之日）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2528</v>
      </c>
      <c r="D1" s="1624"/>
      <c r="E1" s="1625"/>
      <c r="F1" s="2591"/>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0" t="e">
        <f ca="1">IF(C2="——",IF(B37="元/平方米",ROUND(C39*D3/10000,0),ROUND(F3*C39/10000,0)),IF(B37="元/平方米",ROUND(C39*D3/10000,0),ROUND(F3*C39/10000,0))-D2)</f>
        <v>#DIV/0!</v>
      </c>
      <c r="C2" s="2593"/>
      <c r="D2" s="1127" t="e">
        <f ca="1">SUMIF(INDIRECT("'"&amp;F2&amp;"'"&amp;"!A:A"),"承租人权益价值",INDIRECT("'"&amp;F2&amp;"'"&amp;"!c:c"))</f>
        <v>#REF!</v>
      </c>
      <c r="E2" s="2594" t="s">
        <v>2326</v>
      </c>
      <c r="F2" s="2595"/>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7" t="s">
        <v>2547</v>
      </c>
      <c r="Q7" s="3212"/>
      <c r="R7" s="770" t="s">
        <v>17</v>
      </c>
      <c r="S7" s="771">
        <f t="shared" ref="S7:S14" si="0">F7</f>
        <v>0</v>
      </c>
      <c r="T7" s="770" t="s">
        <v>17</v>
      </c>
      <c r="U7" s="771">
        <f t="shared" ref="U7:U14" si="1">H7</f>
        <v>0</v>
      </c>
      <c r="V7" s="770" t="s">
        <v>17</v>
      </c>
      <c r="W7" s="771">
        <f t="shared" ref="W7:W14" si="2">J7</f>
        <v>0</v>
      </c>
      <c r="X7" s="772"/>
      <c r="Y7" s="3177" t="s">
        <v>2547</v>
      </c>
      <c r="Z7" s="3178"/>
      <c r="AA7" s="773" t="e">
        <f>D7/F7</f>
        <v>#DIV/0!</v>
      </c>
      <c r="AB7" s="773" t="e">
        <f>D7/H7</f>
        <v>#DIV/0!</v>
      </c>
      <c r="AC7" s="773" t="e">
        <f>D7/J7</f>
        <v>#DIV/0!</v>
      </c>
    </row>
    <row r="8" spans="1:29" s="116"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36" si="3">D8/F8</f>
        <v>#DIV/0!</v>
      </c>
      <c r="AB8" s="773" t="e">
        <f t="shared" ref="AB8:AB36" si="4">D8/H8</f>
        <v>#DIV/0!</v>
      </c>
      <c r="AC8" s="773" t="e">
        <f t="shared" ref="AC8:AC36" si="5">D8/J8</f>
        <v>#DIV/0!</v>
      </c>
    </row>
    <row r="9" spans="1:29" s="116" customFormat="1">
      <c r="A9" s="67" t="s">
        <v>2551</v>
      </c>
      <c r="B9" s="640" t="s">
        <v>2552</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22" t="s">
        <v>2553</v>
      </c>
      <c r="Q9" s="1798" t="str">
        <f t="shared" ref="Q9:Q14" si="6">B9</f>
        <v>用途</v>
      </c>
      <c r="R9" s="770" t="s">
        <v>17</v>
      </c>
      <c r="S9" s="771">
        <f t="shared" si="0"/>
        <v>100</v>
      </c>
      <c r="T9" s="770" t="s">
        <v>17</v>
      </c>
      <c r="U9" s="771">
        <f t="shared" si="1"/>
        <v>100</v>
      </c>
      <c r="V9" s="770" t="s">
        <v>17</v>
      </c>
      <c r="W9" s="771">
        <f t="shared" si="2"/>
        <v>100</v>
      </c>
      <c r="X9" s="772"/>
      <c r="Y9" s="3047" t="s">
        <v>2554</v>
      </c>
      <c r="Z9" s="54" t="str">
        <f t="shared" ref="Z9:Z14" si="7">Q9</f>
        <v>用途</v>
      </c>
      <c r="AA9" s="773">
        <f t="shared" si="3"/>
        <v>1</v>
      </c>
      <c r="AB9" s="773">
        <f t="shared" si="4"/>
        <v>1</v>
      </c>
      <c r="AC9" s="773">
        <f t="shared" si="5"/>
        <v>1</v>
      </c>
    </row>
    <row r="10" spans="1:29" s="427" customFormat="1" ht="27">
      <c r="A10" s="641"/>
      <c r="B10" s="642" t="s">
        <v>2555</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22"/>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22"/>
      <c r="Q11" s="1798">
        <f t="shared" si="6"/>
        <v>111</v>
      </c>
      <c r="R11" s="770" t="s">
        <v>17</v>
      </c>
      <c r="S11" s="771">
        <f t="shared" si="0"/>
        <v>100</v>
      </c>
      <c r="T11" s="770" t="s">
        <v>17</v>
      </c>
      <c r="U11" s="771">
        <f t="shared" si="1"/>
        <v>100</v>
      </c>
      <c r="V11" s="770" t="s">
        <v>17</v>
      </c>
      <c r="W11" s="771">
        <f t="shared" si="2"/>
        <v>100</v>
      </c>
      <c r="X11" s="772"/>
      <c r="Y11" s="3047"/>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22"/>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
      <c r="A14" s="401" t="s">
        <v>2557</v>
      </c>
      <c r="B14" s="629" t="s">
        <v>2706</v>
      </c>
      <c r="C14" s="270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2558</v>
      </c>
      <c r="Q14" s="1813" t="str">
        <f t="shared" si="6"/>
        <v>交通便捷度</v>
      </c>
      <c r="R14" s="774" t="s">
        <v>17</v>
      </c>
      <c r="S14" s="775">
        <f t="shared" si="0"/>
        <v>100</v>
      </c>
      <c r="T14" s="774" t="s">
        <v>17</v>
      </c>
      <c r="U14" s="775">
        <f t="shared" si="1"/>
        <v>100</v>
      </c>
      <c r="V14" s="774" t="s">
        <v>17</v>
      </c>
      <c r="W14" s="775">
        <f t="shared" si="2"/>
        <v>100</v>
      </c>
      <c r="X14" s="1816"/>
      <c r="Y14" s="3215"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6"/>
      <c r="Q15" s="1813"/>
      <c r="R15" s="774"/>
      <c r="S15" s="775"/>
      <c r="T15" s="774"/>
      <c r="U15" s="775"/>
      <c r="V15" s="774"/>
      <c r="W15" s="775"/>
      <c r="X15" s="1816"/>
      <c r="Y15" s="3216"/>
      <c r="Z15" s="1817"/>
      <c r="AA15" s="1814">
        <v>1</v>
      </c>
      <c r="AB15" s="1814">
        <v>1</v>
      </c>
      <c r="AC15" s="1814">
        <v>1</v>
      </c>
    </row>
    <row r="16" spans="1:29" ht="15">
      <c r="A16" s="404"/>
      <c r="B16" s="631" t="s">
        <v>2686</v>
      </c>
      <c r="C16" s="261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16"/>
      <c r="Q17" s="1813"/>
      <c r="R17" s="774"/>
      <c r="S17" s="775"/>
      <c r="T17" s="774"/>
      <c r="U17" s="775"/>
      <c r="V17" s="774"/>
      <c r="W17" s="775"/>
      <c r="X17" s="1816"/>
      <c r="Y17" s="3216"/>
      <c r="Z17" s="1817"/>
      <c r="AA17" s="1814">
        <v>1</v>
      </c>
      <c r="AB17" s="1814">
        <v>1</v>
      </c>
      <c r="AC17" s="1814">
        <v>1</v>
      </c>
    </row>
    <row r="18" spans="1:29" ht="15">
      <c r="A18" s="404"/>
      <c r="B18" s="633" t="s">
        <v>2687</v>
      </c>
      <c r="C18" s="261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5"/>
      <c r="L19" s="1143"/>
      <c r="M19" s="1134"/>
      <c r="N19" s="1134"/>
      <c r="O19" s="1134"/>
      <c r="P19" s="3216"/>
      <c r="Q19" s="1813"/>
      <c r="R19" s="774"/>
      <c r="S19" s="775"/>
      <c r="T19" s="774"/>
      <c r="U19" s="775"/>
      <c r="V19" s="774"/>
      <c r="W19" s="775"/>
      <c r="X19" s="1816"/>
      <c r="Y19" s="3216"/>
      <c r="Z19" s="1817"/>
      <c r="AA19" s="1814">
        <v>1</v>
      </c>
      <c r="AB19" s="1814">
        <v>1</v>
      </c>
      <c r="AC19" s="1814">
        <v>1</v>
      </c>
    </row>
    <row r="20" spans="1:29" ht="15">
      <c r="A20" s="404"/>
      <c r="B20" s="631" t="s">
        <v>2707</v>
      </c>
      <c r="C20" s="261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6"/>
      <c r="Q21" s="1813"/>
      <c r="R21" s="774"/>
      <c r="S21" s="775"/>
      <c r="T21" s="774"/>
      <c r="U21" s="775"/>
      <c r="V21" s="774"/>
      <c r="W21" s="775"/>
      <c r="X21" s="1816"/>
      <c r="Y21" s="3216"/>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3">
        <f t="shared" ref="Q24:Q36"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8">
        <f t="shared" si="11"/>
        <v>111</v>
      </c>
      <c r="R25" s="770" t="s">
        <v>17</v>
      </c>
      <c r="S25" s="771">
        <f>F25</f>
        <v>100</v>
      </c>
      <c r="T25" s="770" t="s">
        <v>17</v>
      </c>
      <c r="U25" s="771">
        <f>H25</f>
        <v>100</v>
      </c>
      <c r="V25" s="770" t="s">
        <v>17</v>
      </c>
      <c r="W25" s="771">
        <f>J25</f>
        <v>100</v>
      </c>
      <c r="X25" s="772"/>
      <c r="Y25" s="3216"/>
      <c r="Z25" s="54">
        <f>Q25</f>
        <v>111</v>
      </c>
      <c r="AA25" s="1814">
        <f>D25/F25</f>
        <v>1</v>
      </c>
      <c r="AB25" s="1814">
        <f>D25/H25</f>
        <v>1</v>
      </c>
      <c r="AC25" s="1814">
        <f>D25/J25</f>
        <v>1</v>
      </c>
    </row>
    <row r="26" spans="1:29" ht="15">
      <c r="A26" s="652" t="s">
        <v>2561</v>
      </c>
      <c r="B26" s="69" t="s">
        <v>2709</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8"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0" t="s">
        <v>2563</v>
      </c>
      <c r="Z26" s="1817" t="str">
        <f t="shared" ref="Z26:Z36" si="15">Q26</f>
        <v>配套类型</v>
      </c>
      <c r="AA26" s="1814">
        <f t="shared" si="3"/>
        <v>1</v>
      </c>
      <c r="AB26" s="1814">
        <f t="shared" si="4"/>
        <v>1</v>
      </c>
      <c r="AC26" s="1814">
        <f t="shared" si="5"/>
        <v>1</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0"/>
      <c r="Q28" s="1813" t="str">
        <f t="shared" si="11"/>
        <v>公共部分装修</v>
      </c>
      <c r="R28" s="774" t="s">
        <v>17</v>
      </c>
      <c r="S28" s="775">
        <f t="shared" si="12"/>
        <v>100</v>
      </c>
      <c r="T28" s="774" t="s">
        <v>17</v>
      </c>
      <c r="U28" s="775">
        <f t="shared" si="13"/>
        <v>100</v>
      </c>
      <c r="V28" s="774" t="s">
        <v>17</v>
      </c>
      <c r="W28" s="775">
        <f t="shared" si="14"/>
        <v>100</v>
      </c>
      <c r="X28" s="1816"/>
      <c r="Y28" s="3220"/>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0"/>
      <c r="Q29" s="1813" t="str">
        <f t="shared" si="11"/>
        <v>成新率</v>
      </c>
      <c r="R29" s="774" t="s">
        <v>17</v>
      </c>
      <c r="S29" s="775" t="e">
        <f t="shared" si="12"/>
        <v>#N/A</v>
      </c>
      <c r="T29" s="774" t="s">
        <v>17</v>
      </c>
      <c r="U29" s="775" t="e">
        <f t="shared" si="13"/>
        <v>#N/A</v>
      </c>
      <c r="V29" s="774" t="s">
        <v>17</v>
      </c>
      <c r="W29" s="775" t="e">
        <f t="shared" si="14"/>
        <v>#N/A</v>
      </c>
      <c r="X29" s="1816"/>
      <c r="Y29" s="3220"/>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0"/>
      <c r="Q30" s="1813" t="str">
        <f t="shared" si="11"/>
        <v>物业等级</v>
      </c>
      <c r="R30" s="774" t="s">
        <v>17</v>
      </c>
      <c r="S30" s="775">
        <f t="shared" si="12"/>
        <v>100</v>
      </c>
      <c r="T30" s="774" t="s">
        <v>17</v>
      </c>
      <c r="U30" s="775">
        <f t="shared" si="13"/>
        <v>100</v>
      </c>
      <c r="V30" s="774" t="s">
        <v>17</v>
      </c>
      <c r="W30" s="775">
        <f t="shared" si="14"/>
        <v>100</v>
      </c>
      <c r="X30" s="1816"/>
      <c r="Y30" s="3220"/>
      <c r="Z30" s="1817" t="str">
        <f t="shared" si="15"/>
        <v>物业等级</v>
      </c>
      <c r="AA30" s="1814">
        <f t="shared" si="3"/>
        <v>1</v>
      </c>
      <c r="AB30" s="1814">
        <f t="shared" si="4"/>
        <v>1</v>
      </c>
      <c r="AC30" s="1814">
        <f t="shared" si="5"/>
        <v>1</v>
      </c>
    </row>
    <row r="31" spans="1:29" s="116" customFormat="1" ht="15">
      <c r="A31" s="658"/>
      <c r="B31" s="654" t="s">
        <v>2714</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0"/>
      <c r="Q31" s="1798" t="str">
        <f t="shared" si="11"/>
        <v>停车位面积</v>
      </c>
      <c r="R31" s="770" t="s">
        <v>17</v>
      </c>
      <c r="S31" s="771" t="e">
        <f t="shared" si="12"/>
        <v>#N/A</v>
      </c>
      <c r="T31" s="770" t="s">
        <v>17</v>
      </c>
      <c r="U31" s="771" t="e">
        <f t="shared" si="13"/>
        <v>#N/A</v>
      </c>
      <c r="V31" s="770" t="s">
        <v>17</v>
      </c>
      <c r="W31" s="771" t="e">
        <f t="shared" si="14"/>
        <v>#N/A</v>
      </c>
      <c r="X31" s="772"/>
      <c r="Y31" s="3220"/>
      <c r="Z31" s="54"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0" t="s">
        <v>2563</v>
      </c>
      <c r="Q32" s="1813" t="str">
        <f t="shared" si="11"/>
        <v>车位类型</v>
      </c>
      <c r="R32" s="774" t="s">
        <v>17</v>
      </c>
      <c r="S32" s="775">
        <f t="shared" si="12"/>
        <v>100</v>
      </c>
      <c r="T32" s="774" t="s">
        <v>17</v>
      </c>
      <c r="U32" s="775">
        <f t="shared" si="13"/>
        <v>100</v>
      </c>
      <c r="V32" s="774" t="s">
        <v>17</v>
      </c>
      <c r="W32" s="775">
        <f t="shared" si="14"/>
        <v>100</v>
      </c>
      <c r="X32" s="1816"/>
      <c r="Y32" s="3220" t="s">
        <v>2563</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0"/>
      <c r="Q33" s="1813" t="str">
        <f t="shared" si="11"/>
        <v>是否直接入户</v>
      </c>
      <c r="R33" s="774" t="s">
        <v>17</v>
      </c>
      <c r="S33" s="775">
        <f t="shared" si="12"/>
        <v>100</v>
      </c>
      <c r="T33" s="774" t="s">
        <v>17</v>
      </c>
      <c r="U33" s="775">
        <f t="shared" si="13"/>
        <v>100</v>
      </c>
      <c r="V33" s="774" t="s">
        <v>17</v>
      </c>
      <c r="W33" s="775">
        <f t="shared" si="14"/>
        <v>100</v>
      </c>
      <c r="X33" s="1816"/>
      <c r="Y33" s="322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0"/>
      <c r="Q36" s="1813">
        <f t="shared" si="11"/>
        <v>111</v>
      </c>
      <c r="R36" s="774" t="s">
        <v>17</v>
      </c>
      <c r="S36" s="775">
        <f t="shared" si="12"/>
        <v>100</v>
      </c>
      <c r="T36" s="774" t="s">
        <v>17</v>
      </c>
      <c r="U36" s="775">
        <f t="shared" si="13"/>
        <v>100</v>
      </c>
      <c r="V36" s="774" t="s">
        <v>17</v>
      </c>
      <c r="W36" s="775">
        <f t="shared" si="14"/>
        <v>100</v>
      </c>
      <c r="X36" s="1816"/>
      <c r="Y36" s="3220"/>
      <c r="Z36" s="1817">
        <f t="shared" si="15"/>
        <v>111</v>
      </c>
      <c r="AA36" s="1814">
        <f t="shared" si="3"/>
        <v>1</v>
      </c>
      <c r="AB36" s="1814">
        <f t="shared" si="4"/>
        <v>1</v>
      </c>
      <c r="AC36" s="1814">
        <f t="shared" si="5"/>
        <v>1</v>
      </c>
    </row>
    <row r="37" spans="1:29" ht="15">
      <c r="A37" s="479" t="s">
        <v>2717</v>
      </c>
      <c r="B37" s="2702" t="s">
        <v>2718</v>
      </c>
      <c r="C37" s="1409" t="s">
        <v>1</v>
      </c>
      <c r="D37" s="1410"/>
      <c r="E37" s="1411"/>
      <c r="F37" s="1412"/>
      <c r="G37" s="1413"/>
      <c r="H37" s="1414"/>
      <c r="I37" s="1411"/>
      <c r="J37" s="1414"/>
      <c r="K37" s="619"/>
      <c r="L37" s="1146"/>
      <c r="M37" s="1147"/>
      <c r="N37" s="1134"/>
      <c r="O37" s="1147"/>
      <c r="P37" s="3222" t="str">
        <f>A37</f>
        <v>成交单价</v>
      </c>
      <c r="Q37" s="3222"/>
      <c r="R37" s="3223">
        <f>E37</f>
        <v>0</v>
      </c>
      <c r="S37" s="3223"/>
      <c r="T37" s="3223">
        <f>G37</f>
        <v>0</v>
      </c>
      <c r="U37" s="3223"/>
      <c r="V37" s="3223">
        <f>I37</f>
        <v>0</v>
      </c>
      <c r="W37" s="3223"/>
      <c r="X37" s="759"/>
      <c r="Y37" s="781"/>
      <c r="Z37" s="759"/>
      <c r="AA37" s="759"/>
      <c r="AB37" s="759"/>
      <c r="AC37" s="759"/>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2720</v>
      </c>
      <c r="B39" s="493"/>
      <c r="C39" s="1419" t="e">
        <f>R39</f>
        <v>#DIV/0!</v>
      </c>
      <c r="D39" s="1419"/>
      <c r="E39" s="1419"/>
      <c r="F39" s="1419"/>
      <c r="G39" s="1419"/>
      <c r="H39" s="1419"/>
      <c r="I39" s="1419"/>
      <c r="J39" s="1419"/>
      <c r="K39" s="621"/>
      <c r="L39" s="1146"/>
      <c r="M39" s="1147"/>
      <c r="N39" s="1147"/>
      <c r="O39" s="1147"/>
      <c r="P39" s="3265" t="str">
        <f>A39</f>
        <v>估价对象XX用房的比较价值（楼面单价，元/平方米）</v>
      </c>
      <c r="Q39" s="3266"/>
      <c r="R39" s="3267" t="e">
        <f>IF(F1="售价",ROUND(AVERAGE(R38:V38),0),ROUND(AVERAGE(R38:V38),1))</f>
        <v>#DIV/0!</v>
      </c>
      <c r="S39" s="3267"/>
      <c r="T39" s="3267"/>
      <c r="U39" s="3267"/>
      <c r="V39" s="3267"/>
      <c r="W39" s="326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2724</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2017-10</v>
      </c>
      <c r="D48" s="1578">
        <f>EDATE(C48,-1)</f>
        <v>42979</v>
      </c>
      <c r="E48" s="1578">
        <f t="shared" ref="E48:O48" si="16">EDATE(D48,-1)</f>
        <v>42948</v>
      </c>
      <c r="F48" s="1578">
        <f t="shared" si="16"/>
        <v>42917</v>
      </c>
      <c r="G48" s="1578">
        <f t="shared" si="16"/>
        <v>42887</v>
      </c>
      <c r="H48" s="1578">
        <f t="shared" si="16"/>
        <v>42856</v>
      </c>
      <c r="I48" s="1578">
        <f t="shared" si="16"/>
        <v>42826</v>
      </c>
      <c r="J48" s="1578">
        <f t="shared" si="16"/>
        <v>42795</v>
      </c>
      <c r="K48" s="1578">
        <f t="shared" si="16"/>
        <v>42767</v>
      </c>
      <c r="L48" s="1578">
        <f t="shared" si="16"/>
        <v>42736</v>
      </c>
      <c r="M48" s="1578">
        <f t="shared" si="16"/>
        <v>42705</v>
      </c>
      <c r="N48" s="1578">
        <f t="shared" si="16"/>
        <v>42675</v>
      </c>
      <c r="O48" s="1578">
        <f t="shared" si="16"/>
        <v>42644</v>
      </c>
      <c r="P48" s="1440"/>
      <c r="Q48" s="1441"/>
      <c r="R48" s="1441"/>
      <c r="S48" s="1441"/>
      <c r="T48" s="1441"/>
      <c r="U48" s="1441"/>
      <c r="V48" s="1441"/>
      <c r="W48" s="1441"/>
      <c r="X48" s="1441"/>
      <c r="Y48" s="1441"/>
      <c r="Z48" s="1441"/>
      <c r="AA48" s="1441"/>
      <c r="AB48" s="1441"/>
      <c r="AC48" s="1441"/>
    </row>
    <row r="49" spans="1:29" s="116"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6"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6" customFormat="1" ht="15">
      <c r="A51" s="521" t="s">
        <v>2548</v>
      </c>
      <c r="B51" s="510"/>
      <c r="C51" s="522" t="s">
        <v>2650</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6"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6"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6"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6"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2561</v>
      </c>
      <c r="B79" s="528" t="s">
        <v>2727</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2528</v>
      </c>
      <c r="D1" s="1624"/>
      <c r="E1" s="1633"/>
      <c r="F1" s="2591"/>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0" t="e">
        <f ca="1">IF(C2="——",ROUND(C37*D3/10000,0),ROUND(C37*D3/10000,0)-D2)</f>
        <v>#DIV/0!</v>
      </c>
      <c r="C2" s="2593"/>
      <c r="D2" s="1127" t="e">
        <f ca="1">SUMIF(INDIRECT("'"&amp;F2&amp;"'"&amp;"!A:A"),"承租人权益价值",INDIRECT("'"&amp;F2&amp;"'"&amp;"!c:c"))</f>
        <v>#REF!</v>
      </c>
      <c r="E2" s="2594" t="s">
        <v>2326</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77" t="s">
        <v>2547</v>
      </c>
      <c r="Q7" s="3212"/>
      <c r="R7" s="770" t="s">
        <v>17</v>
      </c>
      <c r="S7" s="771">
        <f t="shared" ref="S7:S14" si="0">F7</f>
        <v>0</v>
      </c>
      <c r="T7" s="770" t="s">
        <v>17</v>
      </c>
      <c r="U7" s="771">
        <f t="shared" ref="U7:U14" si="1">H7</f>
        <v>0</v>
      </c>
      <c r="V7" s="770" t="s">
        <v>17</v>
      </c>
      <c r="W7" s="771">
        <f t="shared" ref="W7:W14" si="2">J7</f>
        <v>0</v>
      </c>
      <c r="X7" s="772"/>
      <c r="Y7" s="3177" t="s">
        <v>2547</v>
      </c>
      <c r="Z7" s="3178"/>
      <c r="AA7" s="773" t="e">
        <f>D7/F7</f>
        <v>#DIV/0!</v>
      </c>
      <c r="AB7" s="773" t="e">
        <f>D7/H7</f>
        <v>#DIV/0!</v>
      </c>
      <c r="AC7" s="773" t="e">
        <f>D7/J7</f>
        <v>#DIV/0!</v>
      </c>
    </row>
    <row r="8" spans="1:29" s="116"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34" si="3">D8/F8</f>
        <v>#DIV/0!</v>
      </c>
      <c r="AB8" s="773" t="e">
        <f t="shared" ref="AB8:AB34" si="4">D8/H8</f>
        <v>#DIV/0!</v>
      </c>
      <c r="AC8" s="773" t="e">
        <f t="shared" ref="AC8:AC34" si="5">D8/J8</f>
        <v>#DIV/0!</v>
      </c>
    </row>
    <row r="9" spans="1:29" s="116" customFormat="1">
      <c r="A9" s="415" t="s">
        <v>2551</v>
      </c>
      <c r="B9" s="70" t="s">
        <v>2552</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22" t="s">
        <v>2553</v>
      </c>
      <c r="Q9" s="1798" t="str">
        <f t="shared" ref="Q9:Q14" si="6">B9</f>
        <v>用途</v>
      </c>
      <c r="R9" s="770" t="s">
        <v>17</v>
      </c>
      <c r="S9" s="771">
        <f t="shared" si="0"/>
        <v>100</v>
      </c>
      <c r="T9" s="770" t="s">
        <v>17</v>
      </c>
      <c r="U9" s="771">
        <f t="shared" si="1"/>
        <v>100</v>
      </c>
      <c r="V9" s="770" t="s">
        <v>17</v>
      </c>
      <c r="W9" s="771">
        <f t="shared" si="2"/>
        <v>100</v>
      </c>
      <c r="X9" s="772"/>
      <c r="Y9" s="3047" t="s">
        <v>2554</v>
      </c>
      <c r="Z9" s="54" t="str">
        <f t="shared" ref="Z9:Z14" si="7">Q9</f>
        <v>用途</v>
      </c>
      <c r="AA9" s="773">
        <f t="shared" si="3"/>
        <v>1</v>
      </c>
      <c r="AB9" s="773">
        <f t="shared" si="4"/>
        <v>1</v>
      </c>
      <c r="AC9" s="773">
        <f t="shared" si="5"/>
        <v>1</v>
      </c>
    </row>
    <row r="10" spans="1:29" s="427" customFormat="1" ht="27">
      <c r="A10" s="421"/>
      <c r="B10" s="422" t="s">
        <v>2555</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428"/>
      <c r="B11" s="2607">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22"/>
      <c r="Q11" s="1798">
        <f t="shared" si="6"/>
        <v>111</v>
      </c>
      <c r="R11" s="770" t="s">
        <v>17</v>
      </c>
      <c r="S11" s="771">
        <f t="shared" si="0"/>
        <v>100</v>
      </c>
      <c r="T11" s="770" t="s">
        <v>17</v>
      </c>
      <c r="U11" s="771">
        <f t="shared" si="1"/>
        <v>100</v>
      </c>
      <c r="V11" s="770" t="s">
        <v>17</v>
      </c>
      <c r="W11" s="771">
        <f t="shared" si="2"/>
        <v>100</v>
      </c>
      <c r="X11" s="772"/>
      <c r="Y11" s="3047"/>
      <c r="Z11" s="54">
        <f t="shared" si="7"/>
        <v>111</v>
      </c>
      <c r="AA11" s="773">
        <f t="shared" si="3"/>
        <v>1</v>
      </c>
      <c r="AB11" s="773">
        <f t="shared" si="4"/>
        <v>1</v>
      </c>
      <c r="AC11" s="773">
        <f t="shared" si="5"/>
        <v>1</v>
      </c>
    </row>
    <row r="12" spans="1:29" s="116" customFormat="1" ht="15">
      <c r="A12" s="431"/>
      <c r="B12" s="2607">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
      <c r="A14" s="440" t="s">
        <v>2557</v>
      </c>
      <c r="B14" s="68" t="s">
        <v>2706</v>
      </c>
      <c r="C14" s="270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2558</v>
      </c>
      <c r="Q14" s="1813" t="str">
        <f t="shared" si="6"/>
        <v>交通便捷度</v>
      </c>
      <c r="R14" s="774" t="s">
        <v>17</v>
      </c>
      <c r="S14" s="775">
        <f t="shared" si="0"/>
        <v>100</v>
      </c>
      <c r="T14" s="774" t="s">
        <v>17</v>
      </c>
      <c r="U14" s="775">
        <f t="shared" si="1"/>
        <v>100</v>
      </c>
      <c r="V14" s="774" t="s">
        <v>17</v>
      </c>
      <c r="W14" s="775">
        <f t="shared" si="2"/>
        <v>100</v>
      </c>
      <c r="X14" s="1816"/>
      <c r="Y14" s="3215"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6"/>
      <c r="Q15" s="1813"/>
      <c r="R15" s="774"/>
      <c r="S15" s="775"/>
      <c r="T15" s="774"/>
      <c r="U15" s="775"/>
      <c r="V15" s="774"/>
      <c r="W15" s="775"/>
      <c r="X15" s="1816"/>
      <c r="Y15" s="3216"/>
      <c r="Z15" s="1817"/>
      <c r="AA15" s="1814">
        <v>1</v>
      </c>
      <c r="AB15" s="1814">
        <v>1</v>
      </c>
      <c r="AC15" s="1814">
        <v>1</v>
      </c>
    </row>
    <row r="16" spans="1:29" ht="15">
      <c r="A16" s="428"/>
      <c r="B16" s="451" t="s">
        <v>2686</v>
      </c>
      <c r="C16" s="261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16"/>
      <c r="Q17" s="1813"/>
      <c r="R17" s="774"/>
      <c r="S17" s="775"/>
      <c r="T17" s="774"/>
      <c r="U17" s="775"/>
      <c r="V17" s="774"/>
      <c r="W17" s="775"/>
      <c r="X17" s="1816"/>
      <c r="Y17" s="3216"/>
      <c r="Z17" s="1817"/>
      <c r="AA17" s="1814">
        <v>1</v>
      </c>
      <c r="AB17" s="1814">
        <v>1</v>
      </c>
      <c r="AC17" s="1814">
        <v>1</v>
      </c>
    </row>
    <row r="18" spans="1:29" ht="15">
      <c r="A18" s="428"/>
      <c r="B18" s="1386" t="s">
        <v>2687</v>
      </c>
      <c r="C18" s="261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28"/>
      <c r="B19" s="1386"/>
      <c r="C19" s="2615"/>
      <c r="D19" s="450"/>
      <c r="E19" s="2615"/>
      <c r="F19" s="453"/>
      <c r="G19" s="2615"/>
      <c r="H19" s="448"/>
      <c r="I19" s="447"/>
      <c r="J19" s="448"/>
      <c r="K19" s="1385"/>
      <c r="L19" s="1143"/>
      <c r="M19" s="1134"/>
      <c r="N19" s="1134"/>
      <c r="O19" s="1142"/>
      <c r="P19" s="3216"/>
      <c r="Q19" s="1813"/>
      <c r="R19" s="774"/>
      <c r="S19" s="775"/>
      <c r="T19" s="774"/>
      <c r="U19" s="775"/>
      <c r="V19" s="774"/>
      <c r="W19" s="775"/>
      <c r="X19" s="1816"/>
      <c r="Y19" s="3216"/>
      <c r="Z19" s="1817"/>
      <c r="AA19" s="1814">
        <v>1</v>
      </c>
      <c r="AB19" s="1814">
        <v>1</v>
      </c>
      <c r="AC19" s="1814">
        <v>1</v>
      </c>
    </row>
    <row r="20" spans="1:29" ht="15">
      <c r="A20" s="428"/>
      <c r="B20" s="451" t="s">
        <v>2707</v>
      </c>
      <c r="C20" s="261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6"/>
      <c r="Q21" s="1813"/>
      <c r="R21" s="774"/>
      <c r="S21" s="775"/>
      <c r="T21" s="774"/>
      <c r="U21" s="775"/>
      <c r="V21" s="774"/>
      <c r="W21" s="775"/>
      <c r="X21" s="1816"/>
      <c r="Y21" s="3216"/>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3">
        <f t="shared" ref="Q24:Q34"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6"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16"/>
      <c r="Q25" s="1798">
        <f t="shared" si="11"/>
        <v>111</v>
      </c>
      <c r="R25" s="770" t="s">
        <v>17</v>
      </c>
      <c r="S25" s="771">
        <f>F25</f>
        <v>100</v>
      </c>
      <c r="T25" s="770" t="s">
        <v>17</v>
      </c>
      <c r="U25" s="771">
        <f>H25</f>
        <v>100</v>
      </c>
      <c r="V25" s="770" t="s">
        <v>17</v>
      </c>
      <c r="W25" s="771">
        <f>J25</f>
        <v>100</v>
      </c>
      <c r="X25" s="772"/>
      <c r="Y25" s="3216"/>
      <c r="Z25" s="54">
        <f>Q25</f>
        <v>111</v>
      </c>
      <c r="AA25" s="1814">
        <f>D25/F25</f>
        <v>1</v>
      </c>
      <c r="AB25" s="1814">
        <f>D25/H25</f>
        <v>1</v>
      </c>
      <c r="AC25" s="1814">
        <f>D25/J25</f>
        <v>1</v>
      </c>
    </row>
    <row r="26" spans="1:29" ht="15">
      <c r="A26" s="466" t="s">
        <v>2561</v>
      </c>
      <c r="B26" s="70" t="s">
        <v>2711</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68"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0" t="s">
        <v>2563</v>
      </c>
      <c r="Z26" s="1817" t="str">
        <f t="shared" ref="Z26:Z34" si="15">Q26</f>
        <v>公共部分装修</v>
      </c>
      <c r="AA26" s="1814">
        <f t="shared" si="3"/>
        <v>1</v>
      </c>
      <c r="AB26" s="1814">
        <f t="shared" si="4"/>
        <v>1</v>
      </c>
      <c r="AC26" s="1814">
        <f t="shared" si="5"/>
        <v>1</v>
      </c>
    </row>
    <row r="27" spans="1:29" s="471" customFormat="1" ht="15">
      <c r="A27" s="468"/>
      <c r="B27" s="422" t="s">
        <v>2712</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0"/>
      <c r="Q28" s="1813" t="str">
        <f t="shared" si="11"/>
        <v>物业等级</v>
      </c>
      <c r="R28" s="774" t="s">
        <v>17</v>
      </c>
      <c r="S28" s="775">
        <f t="shared" si="12"/>
        <v>100</v>
      </c>
      <c r="T28" s="774" t="s">
        <v>17</v>
      </c>
      <c r="U28" s="775">
        <f t="shared" si="13"/>
        <v>100</v>
      </c>
      <c r="V28" s="774" t="s">
        <v>17</v>
      </c>
      <c r="W28" s="775">
        <f t="shared" si="14"/>
        <v>100</v>
      </c>
      <c r="X28" s="1816"/>
      <c r="Y28" s="3220"/>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0"/>
      <c r="Q29" s="1813" t="str">
        <f t="shared" si="11"/>
        <v>有无电梯</v>
      </c>
      <c r="R29" s="774" t="s">
        <v>17</v>
      </c>
      <c r="S29" s="775">
        <f t="shared" si="12"/>
        <v>100</v>
      </c>
      <c r="T29" s="774" t="s">
        <v>17</v>
      </c>
      <c r="U29" s="775">
        <f t="shared" si="13"/>
        <v>100</v>
      </c>
      <c r="V29" s="774" t="s">
        <v>17</v>
      </c>
      <c r="W29" s="775">
        <f t="shared" si="14"/>
        <v>100</v>
      </c>
      <c r="X29" s="1816"/>
      <c r="Y29" s="3220"/>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0"/>
      <c r="Q30" s="1813" t="str">
        <f t="shared" si="11"/>
        <v>建筑面积</v>
      </c>
      <c r="R30" s="774" t="s">
        <v>17</v>
      </c>
      <c r="S30" s="775" t="e">
        <f t="shared" si="12"/>
        <v>#N/A</v>
      </c>
      <c r="T30" s="774" t="s">
        <v>17</v>
      </c>
      <c r="U30" s="775" t="e">
        <f t="shared" si="13"/>
        <v>#N/A</v>
      </c>
      <c r="V30" s="774" t="s">
        <v>17</v>
      </c>
      <c r="W30" s="775" t="e">
        <f t="shared" si="14"/>
        <v>#N/A</v>
      </c>
      <c r="X30" s="1816"/>
      <c r="Y30" s="3220"/>
      <c r="Z30" s="1817" t="str">
        <f t="shared" si="15"/>
        <v>建筑面积</v>
      </c>
      <c r="AA30" s="1814" t="e">
        <f t="shared" si="3"/>
        <v>#N/A</v>
      </c>
      <c r="AB30" s="1814" t="e">
        <f t="shared" si="4"/>
        <v>#N/A</v>
      </c>
      <c r="AC30" s="1814" t="e">
        <f t="shared" si="5"/>
        <v>#N/A</v>
      </c>
    </row>
    <row r="31" spans="1:29" s="116" customFormat="1" ht="15">
      <c r="A31" s="473"/>
      <c r="B31" s="422" t="s">
        <v>2736</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0"/>
      <c r="Q31" s="1798" t="str">
        <f t="shared" si="11"/>
        <v>是否封闭</v>
      </c>
      <c r="R31" s="770" t="s">
        <v>17</v>
      </c>
      <c r="S31" s="771">
        <f t="shared" si="12"/>
        <v>100</v>
      </c>
      <c r="T31" s="770" t="s">
        <v>17</v>
      </c>
      <c r="U31" s="771">
        <f t="shared" si="13"/>
        <v>100</v>
      </c>
      <c r="V31" s="770" t="s">
        <v>17</v>
      </c>
      <c r="W31" s="771">
        <f t="shared" si="14"/>
        <v>100</v>
      </c>
      <c r="X31" s="772"/>
      <c r="Y31" s="3220"/>
      <c r="Z31" s="54"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0" t="s">
        <v>2563</v>
      </c>
      <c r="Q32" s="1813">
        <f t="shared" si="11"/>
        <v>111</v>
      </c>
      <c r="R32" s="774" t="s">
        <v>17</v>
      </c>
      <c r="S32" s="775">
        <f t="shared" si="12"/>
        <v>100</v>
      </c>
      <c r="T32" s="774" t="s">
        <v>17</v>
      </c>
      <c r="U32" s="775">
        <f t="shared" si="13"/>
        <v>100</v>
      </c>
      <c r="V32" s="774" t="s">
        <v>17</v>
      </c>
      <c r="W32" s="775">
        <f t="shared" si="14"/>
        <v>100</v>
      </c>
      <c r="X32" s="1816"/>
      <c r="Y32" s="3220" t="s">
        <v>2563</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0"/>
      <c r="Q33" s="1813">
        <f t="shared" si="11"/>
        <v>111</v>
      </c>
      <c r="R33" s="774" t="s">
        <v>17</v>
      </c>
      <c r="S33" s="775">
        <f t="shared" si="12"/>
        <v>100</v>
      </c>
      <c r="T33" s="774" t="s">
        <v>17</v>
      </c>
      <c r="U33" s="775">
        <f t="shared" si="13"/>
        <v>100</v>
      </c>
      <c r="V33" s="774" t="s">
        <v>17</v>
      </c>
      <c r="W33" s="775">
        <f t="shared" si="14"/>
        <v>100</v>
      </c>
      <c r="X33" s="1816"/>
      <c r="Y33" s="3220"/>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ht="15">
      <c r="A35" s="479" t="s">
        <v>2575</v>
      </c>
      <c r="B35" s="480"/>
      <c r="C35" s="1409" t="s">
        <v>1</v>
      </c>
      <c r="D35" s="1410"/>
      <c r="E35" s="1411"/>
      <c r="F35" s="1412"/>
      <c r="G35" s="1413"/>
      <c r="H35" s="1414"/>
      <c r="I35" s="1411"/>
      <c r="J35" s="1414"/>
      <c r="K35" s="783"/>
      <c r="L35" s="1146"/>
      <c r="M35" s="1147"/>
      <c r="N35" s="1134"/>
      <c r="O35" s="1147"/>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75" thickBot="1">
      <c r="A36" s="486" t="s">
        <v>2667</v>
      </c>
      <c r="B36" s="487"/>
      <c r="C36" s="1415" t="e">
        <f>R37</f>
        <v>#DIV/0!</v>
      </c>
      <c r="D36" s="1416"/>
      <c r="E36" s="1417" t="e">
        <f>R36</f>
        <v>#DIV/0!</v>
      </c>
      <c r="F36" s="1417"/>
      <c r="G36" s="1415" t="e">
        <f>T36</f>
        <v>#DIV/0!</v>
      </c>
      <c r="H36" s="1416"/>
      <c r="I36" s="1417" t="e">
        <f>V36</f>
        <v>#DIV/0!</v>
      </c>
      <c r="J36" s="1416"/>
      <c r="K36" s="784"/>
      <c r="L36" s="1146"/>
      <c r="M36" s="1147"/>
      <c r="N36" s="1134"/>
      <c r="O36" s="1147"/>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2668</v>
      </c>
      <c r="B37" s="493"/>
      <c r="C37" s="1419" t="e">
        <f>R37</f>
        <v>#DIV/0!</v>
      </c>
      <c r="D37" s="1419"/>
      <c r="E37" s="1419"/>
      <c r="F37" s="1419"/>
      <c r="G37" s="1419"/>
      <c r="H37" s="1419"/>
      <c r="I37" s="1419"/>
      <c r="J37" s="1419"/>
      <c r="K37" s="785"/>
      <c r="L37" s="1146"/>
      <c r="M37" s="1147"/>
      <c r="N37" s="1147"/>
      <c r="O37" s="1147"/>
      <c r="P37" s="3265" t="str">
        <f>A37</f>
        <v>估价对象XX用房的比较价值（楼面单价，元/平方米）</v>
      </c>
      <c r="Q37" s="3266"/>
      <c r="R37" s="3267" t="e">
        <f>IF(F1="售价",ROUND(AVERAGE(R36:V36),0),ROUND(AVERAGE(R36:V36),1))</f>
        <v>#DIV/0!</v>
      </c>
      <c r="S37" s="3267"/>
      <c r="T37" s="3267"/>
      <c r="U37" s="3267"/>
      <c r="V37" s="3267"/>
      <c r="W37" s="326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2017-10</v>
      </c>
      <c r="D46" s="1578">
        <f>EDATE(C46,-1)</f>
        <v>42979</v>
      </c>
      <c r="E46" s="1578">
        <f t="shared" ref="E46:O46" si="16">EDATE(D46,-1)</f>
        <v>42948</v>
      </c>
      <c r="F46" s="1578">
        <f t="shared" si="16"/>
        <v>42917</v>
      </c>
      <c r="G46" s="1578">
        <f t="shared" si="16"/>
        <v>42887</v>
      </c>
      <c r="H46" s="1578">
        <f t="shared" si="16"/>
        <v>42856</v>
      </c>
      <c r="I46" s="1578">
        <f t="shared" si="16"/>
        <v>42826</v>
      </c>
      <c r="J46" s="1578">
        <f t="shared" si="16"/>
        <v>42795</v>
      </c>
      <c r="K46" s="1578">
        <f t="shared" si="16"/>
        <v>42767</v>
      </c>
      <c r="L46" s="1578">
        <f t="shared" si="16"/>
        <v>42736</v>
      </c>
      <c r="M46" s="1578">
        <f t="shared" si="16"/>
        <v>42705</v>
      </c>
      <c r="N46" s="1578">
        <f t="shared" si="16"/>
        <v>42675</v>
      </c>
      <c r="O46" s="1578">
        <f t="shared" si="16"/>
        <v>42644</v>
      </c>
      <c r="P46" s="507"/>
    </row>
    <row r="47" spans="1:29" s="116" customFormat="1" ht="15">
      <c r="A47" s="509"/>
      <c r="B47" s="510"/>
      <c r="C47" s="1576">
        <v>100</v>
      </c>
      <c r="D47" s="512"/>
      <c r="E47" s="512"/>
      <c r="F47" s="512"/>
      <c r="G47" s="512"/>
      <c r="H47" s="512"/>
      <c r="I47" s="512"/>
      <c r="J47" s="512"/>
      <c r="K47" s="512"/>
      <c r="L47" s="512"/>
      <c r="M47" s="513"/>
      <c r="N47" s="512"/>
      <c r="O47" s="514"/>
      <c r="P47" s="504"/>
    </row>
    <row r="48" spans="1:29" s="116" customFormat="1" ht="15.75" thickBot="1">
      <c r="A48" s="515" t="s">
        <v>2583</v>
      </c>
      <c r="B48" s="516"/>
      <c r="C48" s="517"/>
      <c r="D48" s="518"/>
      <c r="E48" s="518"/>
      <c r="F48" s="518"/>
      <c r="G48" s="518"/>
      <c r="H48" s="518"/>
      <c r="I48" s="518"/>
      <c r="J48" s="518"/>
      <c r="K48" s="518"/>
      <c r="L48" s="518"/>
      <c r="M48" s="519"/>
      <c r="N48" s="518"/>
      <c r="O48" s="520"/>
      <c r="P48" s="504"/>
      <c r="Q48" s="504"/>
    </row>
    <row r="49" spans="1:17" s="116" customFormat="1" ht="15">
      <c r="A49" s="521" t="s">
        <v>2548</v>
      </c>
      <c r="B49" s="510"/>
      <c r="C49" s="522" t="s">
        <v>2650</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4"/>
      <c r="Q51" s="504"/>
    </row>
    <row r="52" spans="1:17" ht="15.75" thickBot="1">
      <c r="A52" s="534"/>
      <c r="B52" s="535"/>
      <c r="C52" s="536">
        <v>100</v>
      </c>
      <c r="D52" s="536"/>
      <c r="E52" s="536"/>
      <c r="F52" s="536"/>
      <c r="G52" s="536"/>
      <c r="H52" s="536"/>
      <c r="I52" s="536"/>
      <c r="J52" s="536"/>
      <c r="K52" s="536"/>
      <c r="L52" s="536"/>
      <c r="M52" s="537"/>
      <c r="N52" s="1156"/>
      <c r="O52" s="1156"/>
      <c r="P52" s="44"/>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4"/>
      <c r="Q54" s="504"/>
    </row>
    <row r="55" spans="1:17" ht="15.75" thickTop="1">
      <c r="A55" s="534"/>
      <c r="B55" s="660">
        <f>B11</f>
        <v>111</v>
      </c>
      <c r="C55" s="549"/>
      <c r="D55" s="549"/>
      <c r="E55" s="549"/>
      <c r="F55" s="549"/>
      <c r="G55" s="549"/>
      <c r="H55" s="549"/>
      <c r="I55" s="549"/>
      <c r="J55" s="549"/>
      <c r="K55" s="550"/>
      <c r="L55" s="551"/>
      <c r="M55" s="552"/>
      <c r="N55" s="1155"/>
      <c r="O55" s="1155"/>
      <c r="P55" s="44"/>
      <c r="Q55" s="504"/>
    </row>
    <row r="56" spans="1:17" ht="15.75" thickBot="1">
      <c r="A56" s="534"/>
      <c r="B56" s="535"/>
      <c r="C56" s="560"/>
      <c r="D56" s="536"/>
      <c r="E56" s="536"/>
      <c r="F56" s="536"/>
      <c r="G56" s="536"/>
      <c r="H56" s="536"/>
      <c r="I56" s="536"/>
      <c r="J56" s="536"/>
      <c r="K56" s="536"/>
      <c r="L56" s="536"/>
      <c r="M56" s="537"/>
      <c r="N56" s="1156"/>
      <c r="O56" s="1156"/>
      <c r="P56" s="44"/>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4"/>
      <c r="Q62" s="504"/>
    </row>
    <row r="63" spans="1:17" ht="27.75" thickTop="1">
      <c r="A63" s="534"/>
      <c r="B63" s="538" t="s">
        <v>2737</v>
      </c>
      <c r="C63" s="578" t="s">
        <v>2595</v>
      </c>
      <c r="D63" s="578" t="s">
        <v>2596</v>
      </c>
      <c r="E63" s="578" t="s">
        <v>2597</v>
      </c>
      <c r="F63" s="578" t="s">
        <v>2598</v>
      </c>
      <c r="G63" s="578" t="s">
        <v>2599</v>
      </c>
      <c r="H63" s="539"/>
      <c r="I63" s="539"/>
      <c r="J63" s="539"/>
      <c r="K63" s="540"/>
      <c r="L63" s="541"/>
      <c r="M63" s="542"/>
      <c r="N63" s="1155"/>
      <c r="O63" s="1155"/>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4"/>
      <c r="Q64" s="504"/>
    </row>
    <row r="65" spans="1:17" ht="15.75" thickTop="1">
      <c r="A65" s="534"/>
      <c r="B65" s="546" t="s">
        <v>2687</v>
      </c>
      <c r="C65" s="660" t="s">
        <v>2673</v>
      </c>
      <c r="D65" s="660" t="s">
        <v>2674</v>
      </c>
      <c r="E65" s="660" t="s">
        <v>2675</v>
      </c>
      <c r="F65" s="660" t="s">
        <v>2676</v>
      </c>
      <c r="G65" s="660" t="s">
        <v>2677</v>
      </c>
      <c r="H65" s="539"/>
      <c r="I65" s="539"/>
      <c r="J65" s="539"/>
      <c r="K65" s="539"/>
      <c r="L65" s="539"/>
      <c r="M65" s="1384"/>
      <c r="N65" s="1156"/>
      <c r="O65" s="1156"/>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4"/>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4"/>
      <c r="Q68" s="504"/>
    </row>
    <row r="69" spans="1:17" ht="15.75" thickTop="1">
      <c r="A69" s="534"/>
      <c r="B69" s="538" t="s">
        <v>2726</v>
      </c>
      <c r="C69" s="554"/>
      <c r="D69" s="554"/>
      <c r="E69" s="554"/>
      <c r="F69" s="554"/>
      <c r="G69" s="554"/>
      <c r="H69" s="583"/>
      <c r="I69" s="583"/>
      <c r="J69" s="583"/>
      <c r="K69" s="584"/>
      <c r="L69" s="585"/>
      <c r="M69" s="586"/>
      <c r="N69" s="1155"/>
      <c r="O69" s="1155"/>
      <c r="P69" s="44"/>
      <c r="Q69" s="504"/>
    </row>
    <row r="70" spans="1:17" ht="15.75" thickBot="1">
      <c r="A70" s="534"/>
      <c r="B70" s="543"/>
      <c r="C70" s="544">
        <v>100</v>
      </c>
      <c r="D70" s="544">
        <f>C70-$K22</f>
        <v>100</v>
      </c>
      <c r="E70" s="544"/>
      <c r="F70" s="544"/>
      <c r="G70" s="544"/>
      <c r="H70" s="544"/>
      <c r="I70" s="544"/>
      <c r="J70" s="544"/>
      <c r="K70" s="544"/>
      <c r="L70" s="544"/>
      <c r="M70" s="545"/>
      <c r="N70" s="1156"/>
      <c r="O70" s="1156"/>
      <c r="P70" s="44"/>
      <c r="Q70" s="504"/>
    </row>
    <row r="71" spans="1:17" s="116" customFormat="1" ht="15.75" thickTop="1">
      <c r="A71" s="579"/>
      <c r="B71" s="538">
        <f>B23</f>
        <v>111</v>
      </c>
      <c r="C71" s="549"/>
      <c r="D71" s="549"/>
      <c r="E71" s="549"/>
      <c r="F71" s="549"/>
      <c r="G71" s="554"/>
      <c r="H71" s="554"/>
      <c r="I71" s="554"/>
      <c r="J71" s="554"/>
      <c r="K71" s="554"/>
      <c r="L71" s="580"/>
      <c r="M71" s="581"/>
      <c r="N71" s="1154"/>
      <c r="O71" s="1154"/>
      <c r="P71" s="44"/>
      <c r="Q71" s="504"/>
    </row>
    <row r="72" spans="1:17" s="116" customFormat="1" ht="15.75" thickBot="1">
      <c r="A72" s="579"/>
      <c r="B72" s="543"/>
      <c r="C72" s="560"/>
      <c r="D72" s="536"/>
      <c r="E72" s="536"/>
      <c r="F72" s="536"/>
      <c r="G72" s="536"/>
      <c r="H72" s="536"/>
      <c r="I72" s="536"/>
      <c r="J72" s="536"/>
      <c r="K72" s="536"/>
      <c r="L72" s="536"/>
      <c r="M72" s="537"/>
      <c r="N72" s="1156"/>
      <c r="O72" s="1156"/>
      <c r="P72" s="44"/>
      <c r="Q72" s="504"/>
    </row>
    <row r="73" spans="1:17" s="116" customFormat="1" ht="15.75" thickTop="1">
      <c r="A73" s="579"/>
      <c r="B73" s="538">
        <f>B24</f>
        <v>111</v>
      </c>
      <c r="C73" s="549"/>
      <c r="D73" s="549"/>
      <c r="E73" s="549"/>
      <c r="F73" s="549"/>
      <c r="G73" s="554"/>
      <c r="H73" s="554"/>
      <c r="I73" s="554"/>
      <c r="J73" s="554"/>
      <c r="K73" s="554"/>
      <c r="L73" s="554"/>
      <c r="M73" s="581"/>
      <c r="N73" s="1154"/>
      <c r="O73" s="1154"/>
      <c r="P73" s="44"/>
      <c r="Q73" s="504"/>
    </row>
    <row r="74" spans="1:17" s="116" customFormat="1" ht="15.75" thickBot="1">
      <c r="A74" s="579"/>
      <c r="B74" s="543"/>
      <c r="C74" s="560"/>
      <c r="D74" s="536"/>
      <c r="E74" s="536"/>
      <c r="F74" s="536"/>
      <c r="G74" s="536"/>
      <c r="H74" s="536"/>
      <c r="I74" s="536"/>
      <c r="J74" s="536"/>
      <c r="K74" s="536"/>
      <c r="L74" s="536"/>
      <c r="M74" s="537"/>
      <c r="N74" s="1156"/>
      <c r="O74" s="1156"/>
      <c r="P74" s="44"/>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4"/>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4"/>
      <c r="Q79" s="504"/>
    </row>
    <row r="80" spans="1:17" ht="15">
      <c r="A80" s="534"/>
      <c r="B80" s="546"/>
      <c r="C80" s="603">
        <v>0.5</v>
      </c>
      <c r="D80" s="603">
        <v>0.6</v>
      </c>
      <c r="E80" s="603">
        <v>0.7</v>
      </c>
      <c r="F80" s="603">
        <v>0.8</v>
      </c>
      <c r="G80" s="603">
        <v>0.9</v>
      </c>
      <c r="H80" s="603">
        <v>1.0001</v>
      </c>
      <c r="I80" s="660"/>
      <c r="J80" s="660"/>
      <c r="K80" s="668"/>
      <c r="L80" s="669"/>
      <c r="M80" s="670"/>
      <c r="N80" s="1154"/>
      <c r="O80" s="1154"/>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4"/>
      <c r="Q83" s="504"/>
    </row>
    <row r="84" spans="1:17" ht="15" thickTop="1">
      <c r="A84" s="599"/>
      <c r="B84" s="538" t="s">
        <v>2738</v>
      </c>
      <c r="C84" s="554"/>
      <c r="D84" s="554"/>
      <c r="E84" s="554"/>
      <c r="F84" s="554"/>
      <c r="G84" s="554"/>
      <c r="H84" s="554"/>
      <c r="I84" s="583"/>
      <c r="J84" s="583"/>
      <c r="K84" s="584"/>
      <c r="L84" s="585"/>
      <c r="M84" s="586"/>
      <c r="N84" s="1155"/>
      <c r="O84" s="1155"/>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4"/>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4"/>
      <c r="Q86" s="504"/>
    </row>
    <row r="87" spans="1:17">
      <c r="A87" s="599"/>
      <c r="B87" s="546"/>
      <c r="C87" s="595"/>
      <c r="D87" s="595"/>
      <c r="E87" s="595"/>
      <c r="F87" s="595"/>
      <c r="G87" s="595"/>
      <c r="H87" s="595"/>
      <c r="I87" s="595"/>
      <c r="J87" s="596"/>
      <c r="K87" s="596"/>
      <c r="L87" s="597"/>
      <c r="M87" s="598"/>
      <c r="N87" s="1155"/>
      <c r="O87" s="1155"/>
      <c r="P87" s="44"/>
      <c r="Q87" s="504"/>
    </row>
    <row r="88" spans="1:17" ht="15.75" thickBot="1">
      <c r="A88" s="534"/>
      <c r="B88" s="543"/>
      <c r="C88" s="560"/>
      <c r="D88" s="536"/>
      <c r="E88" s="536"/>
      <c r="F88" s="536"/>
      <c r="G88" s="536"/>
      <c r="H88" s="536"/>
      <c r="I88" s="536"/>
      <c r="J88" s="536"/>
      <c r="K88" s="536"/>
      <c r="L88" s="536"/>
      <c r="M88" s="536"/>
      <c r="N88" s="1156"/>
      <c r="O88" s="1156"/>
      <c r="P88" s="44"/>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4"/>
      <c r="Q91" s="504"/>
    </row>
    <row r="92" spans="1:17" ht="15.75" thickBot="1">
      <c r="A92" s="534"/>
      <c r="B92" s="543"/>
      <c r="C92" s="560"/>
      <c r="D92" s="536"/>
      <c r="E92" s="536"/>
      <c r="F92" s="536"/>
      <c r="G92" s="560"/>
      <c r="H92" s="562"/>
      <c r="I92" s="562"/>
      <c r="J92" s="562"/>
      <c r="K92" s="562"/>
      <c r="L92" s="562"/>
      <c r="M92" s="563"/>
      <c r="N92" s="1156"/>
      <c r="O92" s="1156"/>
      <c r="P92" s="44"/>
      <c r="Q92" s="504"/>
    </row>
    <row r="93" spans="1:17" ht="15" thickTop="1">
      <c r="A93" s="599"/>
      <c r="B93" s="538">
        <f>B33</f>
        <v>111</v>
      </c>
      <c r="C93" s="549"/>
      <c r="D93" s="549"/>
      <c r="E93" s="549"/>
      <c r="F93" s="549"/>
      <c r="G93" s="554"/>
      <c r="H93" s="555"/>
      <c r="I93" s="555"/>
      <c r="J93" s="555"/>
      <c r="K93" s="555"/>
      <c r="L93" s="556"/>
      <c r="M93" s="557"/>
      <c r="N93" s="1155"/>
      <c r="O93" s="1155"/>
      <c r="P93" s="44"/>
      <c r="Q93" s="504"/>
    </row>
    <row r="94" spans="1:17" ht="15.75" thickBot="1">
      <c r="A94" s="534"/>
      <c r="B94" s="543"/>
      <c r="C94" s="560"/>
      <c r="D94" s="536"/>
      <c r="E94" s="536"/>
      <c r="F94" s="536"/>
      <c r="G94" s="560"/>
      <c r="H94" s="562"/>
      <c r="I94" s="562"/>
      <c r="J94" s="562"/>
      <c r="K94" s="562"/>
      <c r="L94" s="562"/>
      <c r="M94" s="563"/>
      <c r="N94" s="1156"/>
      <c r="O94" s="1156"/>
      <c r="P94" s="44"/>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4"/>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30"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30"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176"/>
      <c r="AC6" s="3176"/>
    </row>
    <row r="7" spans="1:30" s="116" customFormat="1" ht="15.75" thickBot="1">
      <c r="A7" s="408" t="s">
        <v>2546</v>
      </c>
      <c r="B7" s="409"/>
      <c r="C7" s="410">
        <f>'数据-取费表'!B2</f>
        <v>43033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77" t="s">
        <v>2547</v>
      </c>
      <c r="Q7" s="3212"/>
      <c r="R7" s="770" t="s">
        <v>17</v>
      </c>
      <c r="S7" s="771">
        <f t="shared" ref="S7:S15" si="0">F7</f>
        <v>0</v>
      </c>
      <c r="T7" s="770" t="s">
        <v>17</v>
      </c>
      <c r="U7" s="771">
        <f t="shared" ref="U7:U15" si="1">H7</f>
        <v>0</v>
      </c>
      <c r="V7" s="770" t="s">
        <v>17</v>
      </c>
      <c r="W7" s="771">
        <f t="shared" ref="W7:W15" si="2">J7</f>
        <v>0</v>
      </c>
      <c r="X7" s="772"/>
      <c r="Y7" s="3177" t="s">
        <v>2547</v>
      </c>
      <c r="Z7" s="3178"/>
      <c r="AA7" s="773" t="e">
        <f>D7/F7</f>
        <v>#DIV/0!</v>
      </c>
      <c r="AB7" s="773" t="e">
        <f>D7/H7</f>
        <v>#DIV/0!</v>
      </c>
      <c r="AC7" s="773" t="e">
        <f>D7/J7</f>
        <v>#DIV/0!</v>
      </c>
    </row>
    <row r="8" spans="1:30" s="116"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45" si="3">D8/F8</f>
        <v>#DIV/0!</v>
      </c>
      <c r="AB8" s="773" t="e">
        <f t="shared" ref="AB8:AB45" si="4">D8/H8</f>
        <v>#DIV/0!</v>
      </c>
      <c r="AC8" s="773" t="e">
        <f t="shared" ref="AC8:AC45" si="5">D8/J8</f>
        <v>#DIV/0!</v>
      </c>
    </row>
    <row r="9" spans="1:30" s="116" customFormat="1">
      <c r="A9" s="415" t="s">
        <v>2551</v>
      </c>
      <c r="B9" s="70" t="s">
        <v>2552</v>
      </c>
      <c r="C9" s="2706"/>
      <c r="D9" s="134">
        <v>100</v>
      </c>
      <c r="E9" s="2706"/>
      <c r="F9" s="134">
        <f>SUMIF(75:75,E9,76:76)-SUMIF(75:75,C9,76:76)+100</f>
        <v>100</v>
      </c>
      <c r="G9" s="2706"/>
      <c r="H9" s="134">
        <f>SUMIF(75:75,G9,76:76)-SUMIF(75:75,C9,76:76)+100</f>
        <v>100</v>
      </c>
      <c r="I9" s="2706"/>
      <c r="J9" s="134">
        <f>SUMIF(75:75,I9,76:76)-SUMIF(75:75,C9,76:76)+100</f>
        <v>100</v>
      </c>
      <c r="K9" s="611"/>
      <c r="L9" s="1135"/>
      <c r="M9" s="1136"/>
      <c r="N9" s="1136"/>
      <c r="O9" s="1137"/>
      <c r="P9" s="3222"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30" s="427" customFormat="1" ht="27">
      <c r="A10" s="421"/>
      <c r="B10" s="422" t="s">
        <v>2555</v>
      </c>
      <c r="C10" s="432"/>
      <c r="D10" s="135">
        <v>100</v>
      </c>
      <c r="E10" s="465"/>
      <c r="F10" s="135">
        <f>ROUND(100/'数据-取费表'!G16,0)</f>
        <v>106</v>
      </c>
      <c r="G10" s="463"/>
      <c r="H10" s="135">
        <f>ROUND(100/'数据-取费表'!G16,0)</f>
        <v>106</v>
      </c>
      <c r="I10" s="463"/>
      <c r="J10" s="135">
        <f>ROUND(100/'数据-取费表'!G16,0)</f>
        <v>106</v>
      </c>
      <c r="K10" s="672"/>
      <c r="L10" s="1138"/>
      <c r="M10" s="1139"/>
      <c r="N10" s="1139"/>
      <c r="O10" s="1140"/>
      <c r="P10" s="3222"/>
      <c r="Q10" s="1798" t="str">
        <f t="shared" si="6"/>
        <v>土地使用年限（年）</v>
      </c>
      <c r="R10" s="770" t="s">
        <v>17</v>
      </c>
      <c r="S10" s="771">
        <f t="shared" si="0"/>
        <v>106</v>
      </c>
      <c r="T10" s="770" t="s">
        <v>17</v>
      </c>
      <c r="U10" s="771">
        <f t="shared" si="1"/>
        <v>106</v>
      </c>
      <c r="V10" s="770" t="s">
        <v>17</v>
      </c>
      <c r="W10" s="771">
        <f t="shared" si="2"/>
        <v>106</v>
      </c>
      <c r="X10" s="772"/>
      <c r="Y10" s="3047"/>
      <c r="Z10" s="54" t="str">
        <f t="shared" si="7"/>
        <v>土地使用年限（年）</v>
      </c>
      <c r="AA10" s="773">
        <f t="shared" si="3"/>
        <v>0.94339622641509435</v>
      </c>
      <c r="AB10" s="773">
        <f t="shared" si="4"/>
        <v>0.94339622641509435</v>
      </c>
      <c r="AC10" s="773">
        <f t="shared" si="5"/>
        <v>0.94339622641509435</v>
      </c>
    </row>
    <row r="11" spans="1:30" ht="15">
      <c r="A11" s="428"/>
      <c r="B11" s="422" t="s">
        <v>2556</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47"/>
      <c r="Z11" s="54" t="str">
        <f t="shared" si="7"/>
        <v>容积率</v>
      </c>
      <c r="AA11" s="773" t="e">
        <f t="shared" si="3"/>
        <v>#N/A</v>
      </c>
      <c r="AB11" s="773" t="e">
        <f t="shared" si="4"/>
        <v>#N/A</v>
      </c>
      <c r="AC11" s="773" t="e">
        <f t="shared" si="5"/>
        <v>#N/A</v>
      </c>
    </row>
    <row r="12" spans="1:30" s="116" customFormat="1" ht="15">
      <c r="A12" s="431"/>
      <c r="B12" s="2607" t="s">
        <v>2744</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22"/>
      <c r="Q12" s="1798" t="str">
        <f t="shared" si="6"/>
        <v>配建</v>
      </c>
      <c r="R12" s="770" t="s">
        <v>17</v>
      </c>
      <c r="S12" s="771">
        <f t="shared" si="0"/>
        <v>100</v>
      </c>
      <c r="T12" s="770" t="s">
        <v>17</v>
      </c>
      <c r="U12" s="771">
        <f t="shared" si="1"/>
        <v>100</v>
      </c>
      <c r="V12" s="770" t="s">
        <v>17</v>
      </c>
      <c r="W12" s="771">
        <f t="shared" si="2"/>
        <v>100</v>
      </c>
      <c r="X12" s="772"/>
      <c r="Y12" s="3047"/>
      <c r="Z12" s="54" t="str">
        <f t="shared" si="7"/>
        <v>配建</v>
      </c>
      <c r="AA12" s="773">
        <f>D12/F12</f>
        <v>1</v>
      </c>
      <c r="AB12" s="773">
        <f>D12/H12</f>
        <v>1</v>
      </c>
      <c r="AC12" s="773">
        <f>D12/J12</f>
        <v>1</v>
      </c>
    </row>
    <row r="13" spans="1:30" ht="15">
      <c r="A13" s="428"/>
      <c r="B13" s="2607">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47"/>
      <c r="Z14" s="54">
        <f t="shared" si="7"/>
        <v>111</v>
      </c>
      <c r="AA14" s="773">
        <f>D14/F14</f>
        <v>1</v>
      </c>
      <c r="AB14" s="773">
        <f>D14/H14</f>
        <v>1</v>
      </c>
      <c r="AC14" s="773">
        <f>D14/J14</f>
        <v>1</v>
      </c>
    </row>
    <row r="15" spans="1:30" ht="15">
      <c r="A15" s="440" t="s">
        <v>2557</v>
      </c>
      <c r="B15" s="68" t="s">
        <v>2091</v>
      </c>
      <c r="C15" s="261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5" t="s">
        <v>2558</v>
      </c>
      <c r="Q15" s="1813" t="str">
        <f t="shared" si="6"/>
        <v>居住社区成熟度</v>
      </c>
      <c r="R15" s="774" t="s">
        <v>17</v>
      </c>
      <c r="S15" s="775">
        <f t="shared" si="0"/>
        <v>100</v>
      </c>
      <c r="T15" s="774" t="s">
        <v>17</v>
      </c>
      <c r="U15" s="775">
        <f t="shared" si="1"/>
        <v>100</v>
      </c>
      <c r="V15" s="774" t="s">
        <v>17</v>
      </c>
      <c r="W15" s="775">
        <f t="shared" si="2"/>
        <v>100</v>
      </c>
      <c r="X15" s="1816"/>
      <c r="Y15" s="3215" t="s">
        <v>2558</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15">
      <c r="A17" s="428"/>
      <c r="B17" s="451" t="s">
        <v>2651</v>
      </c>
      <c r="C17" s="267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6"/>
      <c r="Q17" s="1813" t="str">
        <f>B17</f>
        <v>商业繁华度</v>
      </c>
      <c r="R17" s="774" t="s">
        <v>17</v>
      </c>
      <c r="S17" s="775">
        <f>F17</f>
        <v>100</v>
      </c>
      <c r="T17" s="774" t="s">
        <v>17</v>
      </c>
      <c r="U17" s="775">
        <f>H17</f>
        <v>100</v>
      </c>
      <c r="V17" s="774" t="s">
        <v>17</v>
      </c>
      <c r="W17" s="775">
        <f>J17</f>
        <v>100</v>
      </c>
      <c r="X17" s="1816"/>
      <c r="Y17" s="3216"/>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451" t="s">
        <v>2685</v>
      </c>
      <c r="C19" s="267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6"/>
      <c r="Q19" s="1813" t="str">
        <f>B19</f>
        <v>办公集聚程度</v>
      </c>
      <c r="R19" s="774" t="s">
        <v>17</v>
      </c>
      <c r="S19" s="775">
        <f>F19</f>
        <v>100</v>
      </c>
      <c r="T19" s="774" t="s">
        <v>17</v>
      </c>
      <c r="U19" s="775">
        <f>H19</f>
        <v>100</v>
      </c>
      <c r="V19" s="774" t="s">
        <v>17</v>
      </c>
      <c r="W19" s="775">
        <f>J19</f>
        <v>100</v>
      </c>
      <c r="X19" s="1816"/>
      <c r="Y19" s="3216"/>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16"/>
      <c r="Q20" s="1813"/>
      <c r="R20" s="774"/>
      <c r="S20" s="775"/>
      <c r="T20" s="774"/>
      <c r="U20" s="775"/>
      <c r="V20" s="774"/>
      <c r="W20" s="775"/>
      <c r="X20" s="1816"/>
      <c r="Y20" s="3216"/>
      <c r="Z20" s="1817"/>
      <c r="AA20" s="1814">
        <v>1</v>
      </c>
      <c r="AB20" s="1814">
        <v>1</v>
      </c>
      <c r="AC20" s="1814">
        <v>1</v>
      </c>
    </row>
    <row r="21" spans="1:29" ht="15">
      <c r="A21" s="428"/>
      <c r="B21" s="451" t="s">
        <v>2706</v>
      </c>
      <c r="C21" s="2614">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6"/>
      <c r="Q21" s="1813" t="str">
        <f>B21</f>
        <v>交通便捷度</v>
      </c>
      <c r="R21" s="774" t="s">
        <v>17</v>
      </c>
      <c r="S21" s="775">
        <f>F21</f>
        <v>100</v>
      </c>
      <c r="T21" s="774" t="s">
        <v>17</v>
      </c>
      <c r="U21" s="775">
        <f>H21</f>
        <v>100</v>
      </c>
      <c r="V21" s="774" t="s">
        <v>17</v>
      </c>
      <c r="W21" s="775">
        <f>J21</f>
        <v>100</v>
      </c>
      <c r="X21" s="1816"/>
      <c r="Y21" s="3216"/>
      <c r="Z21" s="1817" t="str">
        <f>Q21</f>
        <v>交通便捷度</v>
      </c>
      <c r="AA21" s="1814">
        <f t="shared" si="3"/>
        <v>1</v>
      </c>
      <c r="AB21" s="1814">
        <f t="shared" si="4"/>
        <v>1</v>
      </c>
      <c r="AC21" s="1814">
        <f t="shared" si="5"/>
        <v>1</v>
      </c>
    </row>
    <row r="22" spans="1:29" ht="15">
      <c r="A22" s="428"/>
      <c r="B22" s="1386"/>
      <c r="C22" s="447"/>
      <c r="D22" s="450"/>
      <c r="E22" s="2612"/>
      <c r="F22" s="448"/>
      <c r="G22" s="2612"/>
      <c r="H22" s="448"/>
      <c r="I22" s="2611"/>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04"/>
      <c r="B23" s="451" t="s">
        <v>2745</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6"/>
      <c r="Q23" s="1813" t="str">
        <f t="shared" ref="Q23:Q37" si="8">B23</f>
        <v>区域土地利用方向</v>
      </c>
      <c r="R23" s="774" t="s">
        <v>17</v>
      </c>
      <c r="S23" s="775">
        <f>F23</f>
        <v>100</v>
      </c>
      <c r="T23" s="774" t="s">
        <v>17</v>
      </c>
      <c r="U23" s="775">
        <f>H23</f>
        <v>100</v>
      </c>
      <c r="V23" s="774" t="s">
        <v>17</v>
      </c>
      <c r="W23" s="775">
        <f>J23</f>
        <v>100</v>
      </c>
      <c r="X23" s="1816"/>
      <c r="Y23" s="3216"/>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16"/>
      <c r="Q24" s="1813"/>
      <c r="R24" s="774"/>
      <c r="S24" s="775"/>
      <c r="T24" s="774"/>
      <c r="U24" s="775"/>
      <c r="V24" s="774"/>
      <c r="W24" s="775"/>
      <c r="X24" s="1816"/>
      <c r="Y24" s="3216"/>
      <c r="Z24" s="1817"/>
      <c r="AA24" s="1814"/>
      <c r="AB24" s="1814"/>
      <c r="AC24" s="1814"/>
    </row>
    <row r="25" spans="1:29" ht="27">
      <c r="A25" s="404"/>
      <c r="B25" s="1386" t="s">
        <v>2746</v>
      </c>
      <c r="C25" s="2671">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6"/>
      <c r="Q25" s="1813" t="str">
        <f t="shared" si="8"/>
        <v>自然及人文环境状况</v>
      </c>
      <c r="R25" s="774" t="s">
        <v>17</v>
      </c>
      <c r="S25" s="775">
        <f>F25</f>
        <v>100</v>
      </c>
      <c r="T25" s="774" t="s">
        <v>17</v>
      </c>
      <c r="U25" s="775">
        <f>H25</f>
        <v>100</v>
      </c>
      <c r="V25" s="774" t="s">
        <v>17</v>
      </c>
      <c r="W25" s="775">
        <f>J25</f>
        <v>100</v>
      </c>
      <c r="X25" s="1816"/>
      <c r="Y25" s="3216"/>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16"/>
      <c r="Q26" s="1813"/>
      <c r="R26" s="774"/>
      <c r="S26" s="775"/>
      <c r="T26" s="774"/>
      <c r="U26" s="775"/>
      <c r="V26" s="774"/>
      <c r="W26" s="775"/>
      <c r="X26" s="1816"/>
      <c r="Y26" s="3216"/>
      <c r="Z26" s="1817"/>
      <c r="AA26" s="1814">
        <v>1</v>
      </c>
      <c r="AB26" s="1814">
        <v>1</v>
      </c>
      <c r="AC26" s="1814">
        <v>1</v>
      </c>
    </row>
    <row r="27" spans="1:29" s="116" customFormat="1" ht="15">
      <c r="A27" s="649"/>
      <c r="B27" s="1386" t="s">
        <v>2652</v>
      </c>
      <c r="C27" s="261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6"/>
      <c r="Q27" s="1798" t="str">
        <f t="shared" si="8"/>
        <v>公共配套设施</v>
      </c>
      <c r="R27" s="770" t="s">
        <v>17</v>
      </c>
      <c r="S27" s="771">
        <f>F27</f>
        <v>100</v>
      </c>
      <c r="T27" s="770" t="s">
        <v>17</v>
      </c>
      <c r="U27" s="771">
        <f>H27</f>
        <v>100</v>
      </c>
      <c r="V27" s="770" t="s">
        <v>17</v>
      </c>
      <c r="W27" s="771">
        <f>J27</f>
        <v>100</v>
      </c>
      <c r="X27" s="772"/>
      <c r="Y27" s="3216"/>
      <c r="Z27" s="54" t="str">
        <f>Q27</f>
        <v>公共配套设施</v>
      </c>
      <c r="AA27" s="1814">
        <f>D27/F27</f>
        <v>1</v>
      </c>
      <c r="AB27" s="1814">
        <f>D27/H27</f>
        <v>1</v>
      </c>
      <c r="AC27" s="1814">
        <f>D27/J27</f>
        <v>1</v>
      </c>
    </row>
    <row r="28" spans="1:29" s="116" customFormat="1" ht="15">
      <c r="A28" s="649"/>
      <c r="B28" s="456"/>
      <c r="C28" s="2707"/>
      <c r="D28" s="448"/>
      <c r="E28" s="2618"/>
      <c r="F28" s="448"/>
      <c r="G28" s="2618"/>
      <c r="H28" s="448"/>
      <c r="I28" s="447"/>
      <c r="J28" s="448"/>
      <c r="K28" s="672"/>
      <c r="L28" s="1135"/>
      <c r="M28" s="1136"/>
      <c r="N28" s="1136"/>
      <c r="O28" s="1137"/>
      <c r="P28" s="3216"/>
      <c r="Q28" s="1798"/>
      <c r="R28" s="770"/>
      <c r="S28" s="771"/>
      <c r="T28" s="770"/>
      <c r="U28" s="771"/>
      <c r="V28" s="770"/>
      <c r="W28" s="771"/>
      <c r="X28" s="772"/>
      <c r="Y28" s="3216"/>
      <c r="Z28" s="54"/>
      <c r="AA28" s="1814">
        <v>1</v>
      </c>
      <c r="AB28" s="1814">
        <v>1</v>
      </c>
      <c r="AC28" s="1814">
        <v>1</v>
      </c>
    </row>
    <row r="29" spans="1:29" s="116" customFormat="1" ht="15">
      <c r="A29" s="649"/>
      <c r="B29" s="1386" t="s">
        <v>2653</v>
      </c>
      <c r="C29" s="261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6"/>
      <c r="Q29" s="1798" t="str">
        <f t="shared" ref="Q29" si="9">B29</f>
        <v>基础设施水平</v>
      </c>
      <c r="R29" s="770" t="s">
        <v>17</v>
      </c>
      <c r="S29" s="771">
        <f>F29</f>
        <v>100</v>
      </c>
      <c r="T29" s="770" t="s">
        <v>17</v>
      </c>
      <c r="U29" s="771">
        <f>H29</f>
        <v>100</v>
      </c>
      <c r="V29" s="770" t="s">
        <v>17</v>
      </c>
      <c r="W29" s="771">
        <f>J29</f>
        <v>100</v>
      </c>
      <c r="X29" s="772"/>
      <c r="Y29" s="3216"/>
      <c r="Z29" s="54" t="str">
        <f>Q29</f>
        <v>基础设施水平</v>
      </c>
      <c r="AA29" s="1814">
        <f>D29/F29</f>
        <v>1</v>
      </c>
      <c r="AB29" s="1814">
        <f>D29/H29</f>
        <v>1</v>
      </c>
      <c r="AC29" s="1814">
        <f>D29/J29</f>
        <v>1</v>
      </c>
    </row>
    <row r="30" spans="1:29" s="116" customFormat="1" ht="15">
      <c r="A30" s="649"/>
      <c r="B30" s="456"/>
      <c r="C30" s="2707"/>
      <c r="D30" s="448"/>
      <c r="E30" s="2708"/>
      <c r="F30" s="448"/>
      <c r="G30" s="2708"/>
      <c r="H30" s="448"/>
      <c r="I30" s="2708"/>
      <c r="J30" s="448"/>
      <c r="K30" s="672"/>
      <c r="L30" s="1135"/>
      <c r="M30" s="1136"/>
      <c r="N30" s="1136"/>
      <c r="O30" s="1137"/>
      <c r="P30" s="3216"/>
      <c r="Q30" s="1798"/>
      <c r="R30" s="770"/>
      <c r="S30" s="771"/>
      <c r="T30" s="770"/>
      <c r="U30" s="771"/>
      <c r="V30" s="770"/>
      <c r="W30" s="771"/>
      <c r="X30" s="772"/>
      <c r="Y30" s="3216"/>
      <c r="Z30" s="54"/>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6"/>
      <c r="Z31" s="1817" t="str">
        <f t="shared" ref="Z31:Z45" si="13">Q31</f>
        <v>临街状况</v>
      </c>
      <c r="AA31" s="1814">
        <f t="shared" si="3"/>
        <v>1</v>
      </c>
      <c r="AB31" s="1814">
        <f t="shared" si="4"/>
        <v>1</v>
      </c>
      <c r="AC31" s="1814">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6"/>
      <c r="Q32" s="1813" t="str">
        <f t="shared" si="8"/>
        <v>毗邻道路的类型与等级</v>
      </c>
      <c r="R32" s="774" t="s">
        <v>17</v>
      </c>
      <c r="S32" s="775">
        <f t="shared" si="10"/>
        <v>100</v>
      </c>
      <c r="T32" s="774" t="s">
        <v>17</v>
      </c>
      <c r="U32" s="775">
        <f t="shared" si="11"/>
        <v>100</v>
      </c>
      <c r="V32" s="774" t="s">
        <v>17</v>
      </c>
      <c r="W32" s="775">
        <f t="shared" si="12"/>
        <v>100</v>
      </c>
      <c r="X32" s="1816"/>
      <c r="Y32" s="3216"/>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16"/>
      <c r="Q33" s="1813"/>
      <c r="R33" s="774"/>
      <c r="S33" s="775"/>
      <c r="T33" s="774"/>
      <c r="U33" s="775"/>
      <c r="V33" s="774"/>
      <c r="W33" s="775"/>
      <c r="X33" s="1816"/>
      <c r="Y33" s="3216"/>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6"/>
      <c r="Q34" s="1813" t="str">
        <f t="shared" si="8"/>
        <v>土地级别</v>
      </c>
      <c r="R34" s="774" t="s">
        <v>17</v>
      </c>
      <c r="S34" s="775">
        <f t="shared" si="10"/>
        <v>100</v>
      </c>
      <c r="T34" s="774" t="s">
        <v>17</v>
      </c>
      <c r="U34" s="775">
        <f t="shared" si="11"/>
        <v>100</v>
      </c>
      <c r="V34" s="774" t="s">
        <v>17</v>
      </c>
      <c r="W34" s="775">
        <f t="shared" si="12"/>
        <v>100</v>
      </c>
      <c r="X34" s="1816"/>
      <c r="Y34" s="3216"/>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3">
        <f t="shared" si="8"/>
        <v>111</v>
      </c>
      <c r="R35" s="774" t="s">
        <v>17</v>
      </c>
      <c r="S35" s="775">
        <f t="shared" si="10"/>
        <v>100</v>
      </c>
      <c r="T35" s="774" t="s">
        <v>17</v>
      </c>
      <c r="U35" s="775">
        <f t="shared" si="11"/>
        <v>100</v>
      </c>
      <c r="V35" s="774" t="s">
        <v>17</v>
      </c>
      <c r="W35" s="775">
        <f t="shared" si="12"/>
        <v>100</v>
      </c>
      <c r="X35" s="1816"/>
      <c r="Y35" s="3216"/>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8" t="s">
        <v>2563</v>
      </c>
      <c r="Q36" s="1813">
        <f t="shared" si="8"/>
        <v>111</v>
      </c>
      <c r="R36" s="774" t="s">
        <v>17</v>
      </c>
      <c r="S36" s="775">
        <f t="shared" si="10"/>
        <v>100</v>
      </c>
      <c r="T36" s="774" t="s">
        <v>17</v>
      </c>
      <c r="U36" s="775">
        <f t="shared" si="11"/>
        <v>100</v>
      </c>
      <c r="V36" s="774" t="s">
        <v>17</v>
      </c>
      <c r="W36" s="775">
        <f t="shared" si="12"/>
        <v>100</v>
      </c>
      <c r="X36" s="1816"/>
      <c r="Y36" s="3220" t="s">
        <v>2563</v>
      </c>
      <c r="Z36" s="1817">
        <f t="shared" si="13"/>
        <v>111</v>
      </c>
      <c r="AA36" s="1814">
        <f t="shared" si="3"/>
        <v>1</v>
      </c>
      <c r="AB36" s="1814">
        <f t="shared" si="4"/>
        <v>1</v>
      </c>
      <c r="AC36" s="1814">
        <f t="shared" si="5"/>
        <v>1</v>
      </c>
    </row>
    <row r="37" spans="1:29" s="471" customFormat="1" ht="15.75" thickBot="1">
      <c r="A37" s="676"/>
      <c r="B37" s="1390">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0"/>
      <c r="Q37" s="1813">
        <f t="shared" si="8"/>
        <v>111</v>
      </c>
      <c r="R37" s="777" t="s">
        <v>17</v>
      </c>
      <c r="S37" s="778">
        <f t="shared" si="10"/>
        <v>100</v>
      </c>
      <c r="T37" s="777" t="s">
        <v>17</v>
      </c>
      <c r="U37" s="778">
        <f t="shared" si="11"/>
        <v>100</v>
      </c>
      <c r="V37" s="777" t="s">
        <v>17</v>
      </c>
      <c r="W37" s="778">
        <f t="shared" si="12"/>
        <v>100</v>
      </c>
      <c r="X37" s="779"/>
      <c r="Y37" s="3220"/>
      <c r="Z37" s="780">
        <f t="shared" si="13"/>
        <v>111</v>
      </c>
      <c r="AA37" s="1814">
        <f t="shared" si="3"/>
        <v>1</v>
      </c>
      <c r="AB37" s="1814">
        <f t="shared" si="4"/>
        <v>1</v>
      </c>
      <c r="AC37" s="1814">
        <f t="shared" si="5"/>
        <v>1</v>
      </c>
    </row>
    <row r="38" spans="1:29" ht="15">
      <c r="A38" s="472" t="s">
        <v>2561</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0"/>
      <c r="Q38" s="1813" t="str">
        <f>B38</f>
        <v>宗地面积</v>
      </c>
      <c r="R38" s="774" t="s">
        <v>17</v>
      </c>
      <c r="S38" s="775" t="e">
        <f t="shared" si="10"/>
        <v>#N/A</v>
      </c>
      <c r="T38" s="774" t="s">
        <v>17</v>
      </c>
      <c r="U38" s="775" t="e">
        <f t="shared" si="11"/>
        <v>#N/A</v>
      </c>
      <c r="V38" s="774" t="s">
        <v>17</v>
      </c>
      <c r="W38" s="775" t="e">
        <f t="shared" si="12"/>
        <v>#N/A</v>
      </c>
      <c r="X38" s="1816"/>
      <c r="Y38" s="3220"/>
      <c r="Z38" s="1817" t="str">
        <f t="shared" si="13"/>
        <v>宗地面积</v>
      </c>
      <c r="AA38" s="1814" t="e">
        <f t="shared" si="3"/>
        <v>#N/A</v>
      </c>
      <c r="AB38" s="1814" t="e">
        <f t="shared" si="4"/>
        <v>#N/A</v>
      </c>
      <c r="AC38" s="1814" t="e">
        <f t="shared" si="5"/>
        <v>#N/A</v>
      </c>
    </row>
    <row r="39" spans="1:29" ht="15">
      <c r="A39" s="472"/>
      <c r="B39" s="422" t="s">
        <v>2749</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20"/>
      <c r="Q39" s="1813" t="str">
        <f t="shared" ref="Q39:Q45" si="14">B39</f>
        <v>宗地形状</v>
      </c>
      <c r="R39" s="774" t="s">
        <v>17</v>
      </c>
      <c r="S39" s="775">
        <f t="shared" si="10"/>
        <v>100</v>
      </c>
      <c r="T39" s="774" t="s">
        <v>17</v>
      </c>
      <c r="U39" s="775">
        <f t="shared" si="11"/>
        <v>100</v>
      </c>
      <c r="V39" s="774" t="s">
        <v>17</v>
      </c>
      <c r="W39" s="775">
        <f t="shared" si="12"/>
        <v>100</v>
      </c>
      <c r="X39" s="1816"/>
      <c r="Y39" s="3220"/>
      <c r="Z39" s="1817" t="str">
        <f t="shared" si="13"/>
        <v>宗地形状</v>
      </c>
      <c r="AA39" s="1814">
        <f t="shared" si="3"/>
        <v>1</v>
      </c>
      <c r="AB39" s="1814">
        <f t="shared" si="4"/>
        <v>1</v>
      </c>
      <c r="AC39" s="1814">
        <f t="shared" si="5"/>
        <v>1</v>
      </c>
    </row>
    <row r="40" spans="1:29" ht="15">
      <c r="A40" s="472"/>
      <c r="B40" s="422" t="s">
        <v>2750</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20"/>
      <c r="Q40" s="1813" t="str">
        <f t="shared" si="14"/>
        <v>临街宽度及深度</v>
      </c>
      <c r="R40" s="774" t="s">
        <v>17</v>
      </c>
      <c r="S40" s="775">
        <f t="shared" si="10"/>
        <v>100</v>
      </c>
      <c r="T40" s="774" t="s">
        <v>17</v>
      </c>
      <c r="U40" s="775">
        <f t="shared" si="11"/>
        <v>100</v>
      </c>
      <c r="V40" s="774" t="s">
        <v>17</v>
      </c>
      <c r="W40" s="775">
        <f t="shared" si="12"/>
        <v>100</v>
      </c>
      <c r="X40" s="1816"/>
      <c r="Y40" s="3220"/>
      <c r="Z40" s="1817" t="str">
        <f t="shared" si="13"/>
        <v>临街宽度及深度</v>
      </c>
      <c r="AA40" s="1814">
        <f t="shared" si="3"/>
        <v>1</v>
      </c>
      <c r="AB40" s="1814">
        <f t="shared" si="4"/>
        <v>1</v>
      </c>
      <c r="AC40" s="1814">
        <f t="shared" si="5"/>
        <v>1</v>
      </c>
    </row>
    <row r="41" spans="1:29" s="116" customFormat="1" ht="15">
      <c r="A41" s="473"/>
      <c r="B41" s="422" t="s">
        <v>2751</v>
      </c>
      <c r="C41" s="2709"/>
      <c r="D41" s="135">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20"/>
      <c r="Q41" s="1813" t="str">
        <f t="shared" si="14"/>
        <v>宗地开发程度</v>
      </c>
      <c r="R41" s="770" t="s">
        <v>17</v>
      </c>
      <c r="S41" s="771">
        <f t="shared" si="10"/>
        <v>100</v>
      </c>
      <c r="T41" s="770" t="s">
        <v>17</v>
      </c>
      <c r="U41" s="771">
        <f t="shared" si="11"/>
        <v>100</v>
      </c>
      <c r="V41" s="770" t="s">
        <v>17</v>
      </c>
      <c r="W41" s="771">
        <f t="shared" si="12"/>
        <v>100</v>
      </c>
      <c r="X41" s="772"/>
      <c r="Y41" s="3220"/>
      <c r="Z41" s="54" t="str">
        <f t="shared" si="13"/>
        <v>宗地开发程度</v>
      </c>
      <c r="AA41" s="773">
        <f t="shared" si="3"/>
        <v>1</v>
      </c>
      <c r="AB41" s="773">
        <f t="shared" si="4"/>
        <v>1</v>
      </c>
      <c r="AC41" s="773">
        <f t="shared" si="5"/>
        <v>1</v>
      </c>
    </row>
    <row r="42" spans="1:29" ht="15">
      <c r="A42" s="472"/>
      <c r="B42" s="422" t="s">
        <v>2752</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20" t="s">
        <v>2563</v>
      </c>
      <c r="Q42" s="1813" t="str">
        <f t="shared" si="14"/>
        <v>工程地质条件</v>
      </c>
      <c r="R42" s="774" t="s">
        <v>17</v>
      </c>
      <c r="S42" s="775">
        <f t="shared" si="10"/>
        <v>100</v>
      </c>
      <c r="T42" s="774" t="s">
        <v>17</v>
      </c>
      <c r="U42" s="775">
        <f t="shared" si="11"/>
        <v>100</v>
      </c>
      <c r="V42" s="774" t="s">
        <v>17</v>
      </c>
      <c r="W42" s="775">
        <f t="shared" si="12"/>
        <v>100</v>
      </c>
      <c r="X42" s="1816"/>
      <c r="Y42" s="3220" t="s">
        <v>2563</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0"/>
      <c r="Q43" s="1813">
        <f t="shared" si="14"/>
        <v>111</v>
      </c>
      <c r="R43" s="774" t="s">
        <v>17</v>
      </c>
      <c r="S43" s="775">
        <f t="shared" si="10"/>
        <v>100</v>
      </c>
      <c r="T43" s="774" t="s">
        <v>17</v>
      </c>
      <c r="U43" s="775">
        <f t="shared" si="11"/>
        <v>100</v>
      </c>
      <c r="V43" s="774" t="s">
        <v>17</v>
      </c>
      <c r="W43" s="775">
        <f t="shared" si="12"/>
        <v>100</v>
      </c>
      <c r="X43" s="1816"/>
      <c r="Y43" s="3220"/>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0"/>
      <c r="Q44" s="1813">
        <f t="shared" si="14"/>
        <v>111</v>
      </c>
      <c r="R44" s="774" t="s">
        <v>17</v>
      </c>
      <c r="S44" s="775">
        <f t="shared" si="10"/>
        <v>100</v>
      </c>
      <c r="T44" s="774" t="s">
        <v>17</v>
      </c>
      <c r="U44" s="775">
        <f t="shared" si="11"/>
        <v>100</v>
      </c>
      <c r="V44" s="774" t="s">
        <v>17</v>
      </c>
      <c r="W44" s="775">
        <f t="shared" si="12"/>
        <v>100</v>
      </c>
      <c r="X44" s="1816"/>
      <c r="Y44" s="3220"/>
      <c r="Z44" s="1817">
        <f t="shared" si="13"/>
        <v>111</v>
      </c>
      <c r="AA44" s="1814">
        <f t="shared" si="3"/>
        <v>1</v>
      </c>
      <c r="AB44" s="1814">
        <f t="shared" si="4"/>
        <v>1</v>
      </c>
      <c r="AC44" s="1814">
        <f t="shared" si="5"/>
        <v>1</v>
      </c>
    </row>
    <row r="45" spans="1:29" s="471" customFormat="1" ht="15.75" thickBot="1">
      <c r="A45" s="468"/>
      <c r="B45" s="1389">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0"/>
      <c r="Q45" s="1813">
        <f t="shared" si="14"/>
        <v>111</v>
      </c>
      <c r="R45" s="777" t="s">
        <v>17</v>
      </c>
      <c r="S45" s="778">
        <f t="shared" si="10"/>
        <v>100</v>
      </c>
      <c r="T45" s="777" t="s">
        <v>17</v>
      </c>
      <c r="U45" s="778">
        <f t="shared" si="11"/>
        <v>100</v>
      </c>
      <c r="V45" s="777" t="s">
        <v>17</v>
      </c>
      <c r="W45" s="778">
        <f t="shared" si="12"/>
        <v>100</v>
      </c>
      <c r="X45" s="779"/>
      <c r="Y45" s="3220"/>
      <c r="Z45" s="780">
        <f t="shared" si="13"/>
        <v>111</v>
      </c>
      <c r="AA45" s="1814">
        <f t="shared" si="3"/>
        <v>1</v>
      </c>
      <c r="AB45" s="1814">
        <f t="shared" si="4"/>
        <v>1</v>
      </c>
      <c r="AC45" s="1814">
        <f t="shared" si="5"/>
        <v>1</v>
      </c>
    </row>
    <row r="46" spans="1:29" ht="15">
      <c r="A46" s="479" t="s">
        <v>2717</v>
      </c>
      <c r="B46" s="2711" t="s">
        <v>2753</v>
      </c>
      <c r="C46" s="682" t="s">
        <v>1</v>
      </c>
      <c r="D46" s="481"/>
      <c r="E46" s="482"/>
      <c r="F46" s="483"/>
      <c r="G46" s="484"/>
      <c r="H46" s="485"/>
      <c r="I46" s="482"/>
      <c r="J46" s="485"/>
      <c r="K46" s="783"/>
      <c r="L46" s="1146"/>
      <c r="M46" s="1147"/>
      <c r="N46" s="1134"/>
      <c r="O46" s="1147"/>
      <c r="P46" s="3222" t="str">
        <f>A46</f>
        <v>成交单价</v>
      </c>
      <c r="Q46" s="3222"/>
      <c r="R46" s="3210">
        <f>E46</f>
        <v>0</v>
      </c>
      <c r="S46" s="3210"/>
      <c r="T46" s="3210">
        <f>G46</f>
        <v>0</v>
      </c>
      <c r="U46" s="3210"/>
      <c r="V46" s="3210">
        <f>I46</f>
        <v>0</v>
      </c>
      <c r="W46" s="321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22" t="str">
        <f>A47</f>
        <v>比较价值（元/平方米）</v>
      </c>
      <c r="Q47" s="3222"/>
      <c r="R47" s="3269" t="e">
        <f>ROUND(PRODUCT(R46,AA7:AA45),0)</f>
        <v>#DIV/0!</v>
      </c>
      <c r="S47" s="3269"/>
      <c r="T47" s="3269" t="e">
        <f>ROUND(PRODUCT(T46,AB7:AB45),0)</f>
        <v>#DIV/0!</v>
      </c>
      <c r="U47" s="3269"/>
      <c r="V47" s="3269" t="e">
        <f>ROUND(PRODUCT(V46,AC7:AC45),0)</f>
        <v>#DIV/0!</v>
      </c>
      <c r="W47" s="3269"/>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65" t="str">
        <f>A48</f>
        <v>估价对象XX用房的比较价值（楼面单价，元/平方米）</v>
      </c>
      <c r="Q48" s="3266"/>
      <c r="R48" s="3270" t="e">
        <f>ROUND(AVERAGE(R47:V47),0)</f>
        <v>#DIV/0!</v>
      </c>
      <c r="S48" s="3270"/>
      <c r="T48" s="3270"/>
      <c r="U48" s="3270"/>
      <c r="V48" s="3270"/>
      <c r="W48" s="327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12" t="s">
        <v>2757</v>
      </c>
      <c r="D55" s="2713" t="s">
        <v>2758</v>
      </c>
      <c r="E55" s="686" t="s">
        <v>2759</v>
      </c>
      <c r="F55" s="1110" t="s">
        <v>2760</v>
      </c>
      <c r="G55" s="3197" t="s">
        <v>2761</v>
      </c>
      <c r="H55" s="3271"/>
      <c r="I55" s="143" t="s">
        <v>2762</v>
      </c>
      <c r="J55" s="2714">
        <f>项目基本情况!F35</f>
        <v>0</v>
      </c>
      <c r="K55" s="2715" t="s">
        <v>2763</v>
      </c>
      <c r="L55" s="1109"/>
      <c r="M55" s="1147"/>
      <c r="N55" s="1147"/>
      <c r="O55" s="1147"/>
    </row>
    <row r="56" spans="1:15" s="692" customFormat="1">
      <c r="A56" s="688" t="s">
        <v>2764</v>
      </c>
      <c r="B56" s="689" t="e">
        <f>C48</f>
        <v>#DIV/0!</v>
      </c>
      <c r="C56" s="690">
        <v>1</v>
      </c>
      <c r="D56" s="1166">
        <v>1</v>
      </c>
      <c r="E56" s="690">
        <f>'数据-汇总表'!E8+'数据-汇总表'!E9</f>
        <v>38306.649999999907</v>
      </c>
      <c r="F56" s="1106" t="e">
        <f t="shared" ref="F56:F65" si="15">ROUND(B56*E56/10000,0)</f>
        <v>#DIV/0!</v>
      </c>
      <c r="G56" s="3193"/>
      <c r="H56" s="3222"/>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72"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72"/>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72"/>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72"/>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6"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6"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7"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38306.649999999907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8" t="s">
        <v>2779</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6" customFormat="1" ht="30" customHeight="1">
      <c r="A71" s="2719" t="s">
        <v>2780</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0"/>
      <c r="N71" s="595"/>
      <c r="O71" s="1571"/>
      <c r="P71" s="504"/>
    </row>
    <row r="72" spans="1:17" s="116" customFormat="1" ht="15.75" thickBot="1">
      <c r="A72" s="515" t="s">
        <v>2583</v>
      </c>
      <c r="B72" s="516"/>
      <c r="C72" s="517"/>
      <c r="D72" s="518"/>
      <c r="E72" s="518"/>
      <c r="F72" s="518"/>
      <c r="G72" s="518"/>
      <c r="H72" s="518"/>
      <c r="I72" s="518"/>
      <c r="J72" s="518"/>
      <c r="K72" s="518"/>
      <c r="L72" s="518"/>
      <c r="M72" s="519"/>
      <c r="N72" s="518"/>
      <c r="O72" s="1165"/>
      <c r="P72" s="504"/>
      <c r="Q72" s="504"/>
    </row>
    <row r="73" spans="1:17" s="116" customFormat="1" ht="15">
      <c r="A73" s="521" t="s">
        <v>2548</v>
      </c>
      <c r="B73" s="510"/>
      <c r="C73" s="522" t="s">
        <v>2650</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4"/>
      <c r="Q75" s="504"/>
    </row>
    <row r="76" spans="1:17" ht="15.75" thickBot="1">
      <c r="A76" s="534"/>
      <c r="B76" s="535"/>
      <c r="C76" s="536"/>
      <c r="D76" s="536"/>
      <c r="E76" s="536"/>
      <c r="F76" s="536"/>
      <c r="G76" s="536"/>
      <c r="H76" s="536"/>
      <c r="I76" s="536"/>
      <c r="J76" s="536"/>
      <c r="K76" s="536"/>
      <c r="L76" s="536"/>
      <c r="M76" s="537"/>
      <c r="N76" s="1156"/>
      <c r="O76" s="1156"/>
      <c r="P76" s="44"/>
      <c r="Q76" s="504"/>
    </row>
    <row r="77" spans="1:17" ht="27.75" thickTop="1">
      <c r="A77" s="534"/>
      <c r="B77" s="538" t="s">
        <v>2555</v>
      </c>
      <c r="C77" s="539"/>
      <c r="D77" s="539"/>
      <c r="E77" s="539"/>
      <c r="F77" s="539"/>
      <c r="G77" s="539"/>
      <c r="H77" s="539"/>
      <c r="I77" s="539"/>
      <c r="J77" s="539"/>
      <c r="K77" s="540"/>
      <c r="L77" s="541"/>
      <c r="M77" s="542"/>
      <c r="N77" s="1155"/>
      <c r="O77" s="1155"/>
      <c r="P77" s="44"/>
      <c r="Q77" s="504"/>
    </row>
    <row r="78" spans="1:17" ht="15.75" thickBot="1">
      <c r="A78" s="534"/>
      <c r="B78" s="543"/>
      <c r="C78" s="544"/>
      <c r="D78" s="544"/>
      <c r="E78" s="544"/>
      <c r="F78" s="544"/>
      <c r="G78" s="544"/>
      <c r="H78" s="544"/>
      <c r="I78" s="544"/>
      <c r="J78" s="544"/>
      <c r="K78" s="544"/>
      <c r="L78" s="544"/>
      <c r="M78" s="545"/>
      <c r="N78" s="1156"/>
      <c r="O78" s="1156"/>
      <c r="P78" s="44"/>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4"/>
      <c r="Q79" s="504"/>
    </row>
    <row r="80" spans="1:17" ht="15">
      <c r="A80" s="534"/>
      <c r="B80" s="548"/>
      <c r="C80" s="549"/>
      <c r="D80" s="549"/>
      <c r="E80" s="549"/>
      <c r="F80" s="549"/>
      <c r="G80" s="549"/>
      <c r="H80" s="549"/>
      <c r="I80" s="549"/>
      <c r="J80" s="549"/>
      <c r="K80" s="550"/>
      <c r="L80" s="551"/>
      <c r="M80" s="552"/>
      <c r="N80" s="1155"/>
      <c r="O80" s="1155"/>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4"/>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4"/>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5"/>
      <c r="O90" s="1155"/>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4"/>
      <c r="Q91" s="504"/>
    </row>
    <row r="92" spans="1:17" ht="15.75" thickTop="1">
      <c r="A92" s="534"/>
      <c r="B92" s="538" t="s">
        <v>2694</v>
      </c>
      <c r="C92" s="578" t="s">
        <v>2595</v>
      </c>
      <c r="D92" s="578" t="s">
        <v>2596</v>
      </c>
      <c r="E92" s="578" t="s">
        <v>2597</v>
      </c>
      <c r="F92" s="578" t="s">
        <v>2598</v>
      </c>
      <c r="G92" s="578" t="s">
        <v>2599</v>
      </c>
      <c r="H92" s="539"/>
      <c r="I92" s="539"/>
      <c r="J92" s="539"/>
      <c r="K92" s="540"/>
      <c r="L92" s="541"/>
      <c r="M92" s="542"/>
      <c r="N92" s="1155"/>
      <c r="O92" s="1155"/>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4"/>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4"/>
      <c r="Q95" s="504"/>
    </row>
    <row r="96" spans="1:17" s="116" customFormat="1" ht="15.75" thickTop="1">
      <c r="A96" s="579"/>
      <c r="B96" s="538" t="s">
        <v>2782</v>
      </c>
      <c r="C96" s="578" t="s">
        <v>2595</v>
      </c>
      <c r="D96" s="578" t="s">
        <v>2596</v>
      </c>
      <c r="E96" s="578" t="s">
        <v>2597</v>
      </c>
      <c r="F96" s="578" t="s">
        <v>2598</v>
      </c>
      <c r="G96" s="578" t="s">
        <v>2599</v>
      </c>
      <c r="H96" s="578"/>
      <c r="I96" s="578"/>
      <c r="J96" s="578"/>
      <c r="K96" s="578"/>
      <c r="L96" s="698"/>
      <c r="M96" s="622"/>
      <c r="N96" s="1154"/>
      <c r="O96" s="1154"/>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4"/>
      <c r="Q97" s="504"/>
    </row>
    <row r="98" spans="1:17" s="116" customFormat="1" ht="27.75" thickTop="1">
      <c r="A98" s="579"/>
      <c r="B98" s="538" t="s">
        <v>2783</v>
      </c>
      <c r="C98" s="573" t="s">
        <v>2595</v>
      </c>
      <c r="D98" s="573" t="s">
        <v>2596</v>
      </c>
      <c r="E98" s="573" t="s">
        <v>2597</v>
      </c>
      <c r="F98" s="573" t="s">
        <v>2598</v>
      </c>
      <c r="G98" s="573" t="s">
        <v>2599</v>
      </c>
      <c r="H98" s="578"/>
      <c r="I98" s="578"/>
      <c r="J98" s="578"/>
      <c r="K98" s="578"/>
      <c r="L98" s="578"/>
      <c r="M98" s="622"/>
      <c r="N98" s="1154"/>
      <c r="O98" s="1154"/>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4"/>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4"/>
      <c r="Q105" s="504"/>
    </row>
    <row r="106" spans="1:17" ht="27.75" thickTop="1">
      <c r="A106" s="534"/>
      <c r="B106" s="538" t="s">
        <v>2689</v>
      </c>
      <c r="C106" s="554"/>
      <c r="D106" s="554"/>
      <c r="E106" s="554"/>
      <c r="F106" s="554"/>
      <c r="G106" s="554"/>
      <c r="H106" s="583"/>
      <c r="I106" s="583"/>
      <c r="J106" s="583"/>
      <c r="K106" s="584"/>
      <c r="L106" s="585"/>
      <c r="M106" s="586"/>
      <c r="N106" s="1155"/>
      <c r="O106" s="1155"/>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4"/>
      <c r="Q107" s="504"/>
    </row>
    <row r="108" spans="1:17" ht="15.75" thickTop="1">
      <c r="A108" s="534"/>
      <c r="B108" s="538" t="s">
        <v>2747</v>
      </c>
      <c r="C108" s="583"/>
      <c r="D108" s="583"/>
      <c r="E108" s="583"/>
      <c r="F108" s="583"/>
      <c r="G108" s="583"/>
      <c r="H108" s="583"/>
      <c r="I108" s="583"/>
      <c r="J108" s="583"/>
      <c r="K108" s="584"/>
      <c r="L108" s="585"/>
      <c r="M108" s="586"/>
      <c r="N108" s="1155"/>
      <c r="O108" s="1155"/>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4"/>
      <c r="Q109" s="504"/>
    </row>
    <row r="110" spans="1:17" ht="15.75" thickTop="1">
      <c r="A110" s="534"/>
      <c r="B110" s="546">
        <f>B35</f>
        <v>111</v>
      </c>
      <c r="C110" s="554"/>
      <c r="D110" s="554"/>
      <c r="E110" s="554"/>
      <c r="F110" s="554"/>
      <c r="G110" s="587"/>
      <c r="H110" s="587"/>
      <c r="I110" s="587"/>
      <c r="J110" s="587"/>
      <c r="K110" s="588"/>
      <c r="L110" s="589"/>
      <c r="M110" s="590"/>
      <c r="N110" s="1155"/>
      <c r="O110" s="1155"/>
      <c r="P110" s="44"/>
      <c r="Q110" s="504"/>
    </row>
    <row r="111" spans="1:17" ht="15.75" thickBot="1">
      <c r="A111" s="534"/>
      <c r="B111" s="569"/>
      <c r="C111" s="560"/>
      <c r="D111" s="560"/>
      <c r="E111" s="560"/>
      <c r="F111" s="560"/>
      <c r="G111" s="591"/>
      <c r="H111" s="591"/>
      <c r="I111" s="591"/>
      <c r="J111" s="591"/>
      <c r="K111" s="591"/>
      <c r="L111" s="591"/>
      <c r="M111" s="592"/>
      <c r="N111" s="1156"/>
      <c r="O111" s="1156"/>
      <c r="P111" s="44"/>
      <c r="Q111" s="504"/>
    </row>
    <row r="112" spans="1:17" ht="15" thickTop="1">
      <c r="A112" s="675"/>
      <c r="B112" s="538">
        <f>B36</f>
        <v>111</v>
      </c>
      <c r="C112" s="523"/>
      <c r="D112" s="523"/>
      <c r="E112" s="523"/>
      <c r="F112" s="523"/>
      <c r="G112" s="583"/>
      <c r="H112" s="583"/>
      <c r="I112" s="583"/>
      <c r="J112" s="583"/>
      <c r="K112" s="584"/>
      <c r="L112" s="585"/>
      <c r="M112" s="586"/>
      <c r="N112" s="1155"/>
      <c r="O112" s="1155"/>
      <c r="P112" s="44"/>
      <c r="Q112" s="504"/>
    </row>
    <row r="113" spans="1:17" ht="15.75" thickBot="1">
      <c r="A113" s="534"/>
      <c r="B113" s="543"/>
      <c r="C113" s="570"/>
      <c r="D113" s="570"/>
      <c r="E113" s="570"/>
      <c r="F113" s="570"/>
      <c r="G113" s="536"/>
      <c r="H113" s="536"/>
      <c r="I113" s="536"/>
      <c r="J113" s="536"/>
      <c r="K113" s="536"/>
      <c r="L113" s="536"/>
      <c r="M113" s="537"/>
      <c r="N113" s="1156"/>
      <c r="O113" s="1156"/>
      <c r="P113" s="44"/>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4"/>
      <c r="Q116" s="504"/>
    </row>
    <row r="117" spans="1:17" ht="15">
      <c r="A117" s="534"/>
      <c r="B117" s="546"/>
      <c r="C117" s="595"/>
      <c r="D117" s="595"/>
      <c r="E117" s="595"/>
      <c r="F117" s="595"/>
      <c r="G117" s="595"/>
      <c r="H117" s="595"/>
      <c r="I117" s="595"/>
      <c r="J117" s="596"/>
      <c r="K117" s="596"/>
      <c r="L117" s="597"/>
      <c r="M117" s="598"/>
      <c r="N117" s="1155"/>
      <c r="O117" s="1155"/>
      <c r="P117" s="44"/>
      <c r="Q117" s="504"/>
    </row>
    <row r="118" spans="1:17" ht="15.75" thickBot="1">
      <c r="A118" s="534"/>
      <c r="B118" s="543"/>
      <c r="C118" s="570"/>
      <c r="D118" s="591"/>
      <c r="E118" s="591"/>
      <c r="F118" s="591"/>
      <c r="G118" s="591"/>
      <c r="H118" s="591"/>
      <c r="I118" s="591"/>
      <c r="J118" s="591"/>
      <c r="K118" s="591"/>
      <c r="L118" s="591"/>
      <c r="M118" s="592"/>
      <c r="N118" s="1156"/>
      <c r="O118" s="1156"/>
      <c r="P118" s="44"/>
      <c r="Q118" s="504"/>
    </row>
    <row r="119" spans="1:17" ht="15" thickTop="1">
      <c r="A119" s="599"/>
      <c r="B119" s="538" t="s">
        <v>2789</v>
      </c>
      <c r="C119" s="583"/>
      <c r="D119" s="583"/>
      <c r="E119" s="583"/>
      <c r="F119" s="583"/>
      <c r="G119" s="583"/>
      <c r="H119" s="583"/>
      <c r="I119" s="583"/>
      <c r="J119" s="583"/>
      <c r="K119" s="584"/>
      <c r="L119" s="585"/>
      <c r="M119" s="586"/>
      <c r="N119" s="1155"/>
      <c r="O119" s="1155"/>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4"/>
      <c r="Q120" s="504"/>
    </row>
    <row r="121" spans="1:17" ht="15" thickTop="1">
      <c r="A121" s="599"/>
      <c r="B121" s="538" t="s">
        <v>2790</v>
      </c>
      <c r="C121" s="554"/>
      <c r="D121" s="554"/>
      <c r="E121" s="554"/>
      <c r="F121" s="583"/>
      <c r="G121" s="583"/>
      <c r="H121" s="583"/>
      <c r="I121" s="583"/>
      <c r="J121" s="583"/>
      <c r="K121" s="584"/>
      <c r="L121" s="585"/>
      <c r="M121" s="586"/>
      <c r="N121" s="1155"/>
      <c r="O121" s="1155"/>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4"/>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4"/>
      <c r="Q126" s="504"/>
    </row>
    <row r="127" spans="1:17" ht="15" thickTop="1">
      <c r="A127" s="599"/>
      <c r="B127" s="538">
        <f>B43</f>
        <v>111</v>
      </c>
      <c r="C127" s="554"/>
      <c r="D127" s="554"/>
      <c r="E127" s="554"/>
      <c r="F127" s="554"/>
      <c r="G127" s="554"/>
      <c r="H127" s="583"/>
      <c r="I127" s="583"/>
      <c r="J127" s="583"/>
      <c r="K127" s="584"/>
      <c r="L127" s="585"/>
      <c r="M127" s="586"/>
      <c r="N127" s="1155"/>
      <c r="O127" s="1155"/>
      <c r="P127" s="44"/>
      <c r="Q127" s="504"/>
    </row>
    <row r="128" spans="1:17" ht="15.75" thickBot="1">
      <c r="A128" s="534"/>
      <c r="B128" s="543"/>
      <c r="C128" s="560"/>
      <c r="D128" s="560"/>
      <c r="E128" s="560"/>
      <c r="F128" s="560"/>
      <c r="G128" s="536"/>
      <c r="H128" s="536"/>
      <c r="I128" s="536"/>
      <c r="J128" s="536"/>
      <c r="K128" s="536"/>
      <c r="L128" s="536"/>
      <c r="M128" s="537"/>
      <c r="N128" s="1156"/>
      <c r="O128" s="1156"/>
      <c r="P128" s="44"/>
      <c r="Q128" s="504"/>
    </row>
    <row r="129" spans="1:17" ht="15" thickTop="1">
      <c r="A129" s="599"/>
      <c r="B129" s="538">
        <f>B44</f>
        <v>111</v>
      </c>
      <c r="C129" s="523"/>
      <c r="D129" s="523"/>
      <c r="E129" s="523"/>
      <c r="F129" s="523"/>
      <c r="G129" s="583"/>
      <c r="H129" s="583"/>
      <c r="I129" s="583"/>
      <c r="J129" s="583"/>
      <c r="K129" s="584"/>
      <c r="L129" s="585"/>
      <c r="M129" s="586"/>
      <c r="N129" s="1155"/>
      <c r="O129" s="1155"/>
      <c r="P129" s="44"/>
      <c r="Q129" s="504"/>
    </row>
    <row r="130" spans="1:17" ht="15.75" thickBot="1">
      <c r="A130" s="534"/>
      <c r="B130" s="543"/>
      <c r="C130" s="570"/>
      <c r="D130" s="570"/>
      <c r="E130" s="570"/>
      <c r="F130" s="570"/>
      <c r="G130" s="536"/>
      <c r="H130" s="536"/>
      <c r="I130" s="536"/>
      <c r="J130" s="536"/>
      <c r="K130" s="536"/>
      <c r="L130" s="536"/>
      <c r="M130" s="537"/>
      <c r="N130" s="1156"/>
      <c r="O130" s="1156"/>
      <c r="P130" s="44"/>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273" t="s">
        <v>2794</v>
      </c>
      <c r="D6" s="3274"/>
      <c r="E6" s="3275" t="s">
        <v>2794</v>
      </c>
      <c r="F6" s="3276"/>
      <c r="G6" s="3273" t="s">
        <v>2794</v>
      </c>
      <c r="H6" s="3274"/>
      <c r="I6" s="3273" t="s">
        <v>2794</v>
      </c>
      <c r="J6" s="3274"/>
      <c r="K6" s="610"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77" t="s">
        <v>2547</v>
      </c>
      <c r="Q7" s="3212"/>
      <c r="R7" s="770" t="s">
        <v>17</v>
      </c>
      <c r="S7" s="771">
        <f t="shared" ref="S7:S15" si="0">F7</f>
        <v>0</v>
      </c>
      <c r="T7" s="770" t="s">
        <v>17</v>
      </c>
      <c r="U7" s="771">
        <f t="shared" ref="U7:U15" si="1">H7</f>
        <v>0</v>
      </c>
      <c r="V7" s="770" t="s">
        <v>17</v>
      </c>
      <c r="W7" s="771">
        <f t="shared" ref="W7:W15" si="2">J7</f>
        <v>0</v>
      </c>
      <c r="X7" s="772"/>
      <c r="Y7" s="3177" t="s">
        <v>2547</v>
      </c>
      <c r="Z7" s="3178"/>
      <c r="AA7" s="773" t="e">
        <f>D7/F7</f>
        <v>#DIV/0!</v>
      </c>
      <c r="AB7" s="773" t="e">
        <f>D7/H7</f>
        <v>#DIV/0!</v>
      </c>
      <c r="AC7" s="773" t="e">
        <f>D7/J7</f>
        <v>#DIV/0!</v>
      </c>
    </row>
    <row r="8" spans="1:29" s="116"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40" si="3">D8/F8</f>
        <v>#DIV/0!</v>
      </c>
      <c r="AB8" s="773" t="e">
        <f t="shared" ref="AB8:AB40" si="4">D8/H8</f>
        <v>#DIV/0!</v>
      </c>
      <c r="AC8" s="773" t="e">
        <f t="shared" ref="AC8:AC40" si="5">D8/J8</f>
        <v>#DIV/0!</v>
      </c>
    </row>
    <row r="9" spans="1:29" s="116" customFormat="1">
      <c r="A9" s="415" t="s">
        <v>2551</v>
      </c>
      <c r="B9" s="70" t="s">
        <v>2552</v>
      </c>
      <c r="C9" s="2706"/>
      <c r="D9" s="134">
        <v>100</v>
      </c>
      <c r="E9" s="2706"/>
      <c r="F9" s="134">
        <f>SUMIF(70:70,E9,71:71)-SUMIF(70:70,C9,71:71)+100</f>
        <v>100</v>
      </c>
      <c r="G9" s="2706"/>
      <c r="H9" s="134">
        <f>SUMIF(70:70,G9,71:71)-SUMIF(70:70,C9,71:71)+100</f>
        <v>100</v>
      </c>
      <c r="I9" s="2706"/>
      <c r="J9" s="134">
        <f>SUMIF(70:70,I9,71:71)-SUMIF(70:70,C9,71:71)+100</f>
        <v>100</v>
      </c>
      <c r="K9" s="611"/>
      <c r="L9" s="1135"/>
      <c r="M9" s="1136"/>
      <c r="N9" s="1136"/>
      <c r="O9" s="1137"/>
      <c r="P9" s="3222"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29" s="427" customFormat="1" ht="27">
      <c r="A10" s="421"/>
      <c r="B10" s="422" t="s">
        <v>2555</v>
      </c>
      <c r="C10" s="432"/>
      <c r="D10" s="135">
        <v>100</v>
      </c>
      <c r="E10" s="432"/>
      <c r="F10" s="135">
        <f>ROUND(100/'数据-取费表'!G16,0)</f>
        <v>106</v>
      </c>
      <c r="G10" s="432"/>
      <c r="H10" s="135">
        <f>ROUND(100/'数据-取费表'!G16,0)</f>
        <v>106</v>
      </c>
      <c r="I10" s="432"/>
      <c r="J10" s="135">
        <f>ROUND(100/'数据-取费表'!G16,0)</f>
        <v>106</v>
      </c>
      <c r="K10" s="672"/>
      <c r="L10" s="1138"/>
      <c r="M10" s="1139"/>
      <c r="N10" s="1139"/>
      <c r="O10" s="1140"/>
      <c r="P10" s="3222"/>
      <c r="Q10" s="1798" t="str">
        <f t="shared" si="6"/>
        <v>土地使用年限（年）</v>
      </c>
      <c r="R10" s="770" t="s">
        <v>17</v>
      </c>
      <c r="S10" s="771">
        <f t="shared" si="0"/>
        <v>106</v>
      </c>
      <c r="T10" s="770" t="s">
        <v>17</v>
      </c>
      <c r="U10" s="771">
        <f t="shared" si="1"/>
        <v>106</v>
      </c>
      <c r="V10" s="770" t="s">
        <v>17</v>
      </c>
      <c r="W10" s="771">
        <f t="shared" si="2"/>
        <v>106</v>
      </c>
      <c r="X10" s="772"/>
      <c r="Y10" s="3047"/>
      <c r="Z10" s="54" t="str">
        <f t="shared" si="7"/>
        <v>土地使用年限（年）</v>
      </c>
      <c r="AA10" s="773">
        <f t="shared" si="3"/>
        <v>0.94339622641509435</v>
      </c>
      <c r="AB10" s="773">
        <f t="shared" si="4"/>
        <v>0.94339622641509435</v>
      </c>
      <c r="AC10" s="773">
        <f t="shared" si="5"/>
        <v>0.94339622641509435</v>
      </c>
    </row>
    <row r="11" spans="1:29" ht="15">
      <c r="A11" s="428"/>
      <c r="B11" s="422" t="s">
        <v>2556</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47"/>
      <c r="Z11" s="54" t="str">
        <f t="shared" si="7"/>
        <v>容积率</v>
      </c>
      <c r="AA11" s="773" t="e">
        <f t="shared" si="3"/>
        <v>#N/A</v>
      </c>
      <c r="AB11" s="773" t="e">
        <f t="shared" si="4"/>
        <v>#N/A</v>
      </c>
      <c r="AC11" s="773" t="e">
        <f t="shared" si="5"/>
        <v>#N/A</v>
      </c>
    </row>
    <row r="12" spans="1:29" s="116" customFormat="1" ht="15">
      <c r="A12" s="431"/>
      <c r="B12" s="2607">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
      <c r="A13" s="428"/>
      <c r="B13" s="2607">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47"/>
      <c r="Z14" s="54">
        <f t="shared" si="7"/>
        <v>111</v>
      </c>
      <c r="AA14" s="773">
        <f t="shared" si="3"/>
        <v>1</v>
      </c>
      <c r="AB14" s="773">
        <f t="shared" si="4"/>
        <v>1</v>
      </c>
      <c r="AC14" s="773">
        <f t="shared" si="5"/>
        <v>1</v>
      </c>
    </row>
    <row r="15" spans="1:29" ht="15">
      <c r="A15" s="440" t="s">
        <v>2557</v>
      </c>
      <c r="B15" s="629" t="s">
        <v>2795</v>
      </c>
      <c r="C15" s="270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5" t="s">
        <v>2558</v>
      </c>
      <c r="Q15" s="1813" t="str">
        <f t="shared" si="6"/>
        <v>产业集聚程度</v>
      </c>
      <c r="R15" s="774" t="s">
        <v>17</v>
      </c>
      <c r="S15" s="775">
        <f t="shared" si="0"/>
        <v>100</v>
      </c>
      <c r="T15" s="774" t="s">
        <v>17</v>
      </c>
      <c r="U15" s="775">
        <f t="shared" si="1"/>
        <v>100</v>
      </c>
      <c r="V15" s="774" t="s">
        <v>17</v>
      </c>
      <c r="W15" s="775">
        <f t="shared" si="2"/>
        <v>100</v>
      </c>
      <c r="X15" s="1816"/>
      <c r="Y15" s="3215" t="s">
        <v>2558</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15">
      <c r="A17" s="428"/>
      <c r="B17" s="631" t="s">
        <v>2706</v>
      </c>
      <c r="C17" s="261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631" t="s">
        <v>2745</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6"/>
      <c r="Q19" s="1813" t="str">
        <f t="shared" ref="Q19:Q33" si="8">B19</f>
        <v>区域土地利用方向</v>
      </c>
      <c r="R19" s="774" t="s">
        <v>17</v>
      </c>
      <c r="S19" s="775">
        <f>F19</f>
        <v>100</v>
      </c>
      <c r="T19" s="774" t="s">
        <v>17</v>
      </c>
      <c r="U19" s="775">
        <f>H19</f>
        <v>100</v>
      </c>
      <c r="V19" s="774" t="s">
        <v>17</v>
      </c>
      <c r="W19" s="775">
        <f>J19</f>
        <v>100</v>
      </c>
      <c r="X19" s="1816"/>
      <c r="Y19" s="3216"/>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16"/>
      <c r="Q20" s="1813"/>
      <c r="R20" s="774"/>
      <c r="S20" s="775"/>
      <c r="T20" s="774"/>
      <c r="U20" s="775"/>
      <c r="V20" s="774"/>
      <c r="W20" s="775"/>
      <c r="X20" s="1816"/>
      <c r="Y20" s="3216"/>
      <c r="Z20" s="1817"/>
      <c r="AA20" s="1814"/>
      <c r="AB20" s="1814"/>
      <c r="AC20" s="1814"/>
    </row>
    <row r="21" spans="1:29" ht="15">
      <c r="A21" s="404"/>
      <c r="B21" s="631" t="s">
        <v>2796</v>
      </c>
      <c r="C21" s="261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6"/>
      <c r="Q21" s="1813" t="str">
        <f t="shared" si="8"/>
        <v>环境状况</v>
      </c>
      <c r="R21" s="774" t="s">
        <v>17</v>
      </c>
      <c r="S21" s="775">
        <f>F21</f>
        <v>100</v>
      </c>
      <c r="T21" s="774" t="s">
        <v>17</v>
      </c>
      <c r="U21" s="775">
        <f>H21</f>
        <v>100</v>
      </c>
      <c r="V21" s="774" t="s">
        <v>17</v>
      </c>
      <c r="W21" s="775">
        <f>J21</f>
        <v>100</v>
      </c>
      <c r="X21" s="1816"/>
      <c r="Y21" s="3216"/>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s="116" customFormat="1" ht="15">
      <c r="A23" s="649"/>
      <c r="B23" s="633" t="s">
        <v>2652</v>
      </c>
      <c r="C23" s="261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6"/>
      <c r="Q23" s="1798" t="str">
        <f t="shared" si="8"/>
        <v>公共配套设施</v>
      </c>
      <c r="R23" s="770" t="s">
        <v>17</v>
      </c>
      <c r="S23" s="771">
        <f>F23</f>
        <v>100</v>
      </c>
      <c r="T23" s="770" t="s">
        <v>17</v>
      </c>
      <c r="U23" s="771">
        <f>H23</f>
        <v>100</v>
      </c>
      <c r="V23" s="770" t="s">
        <v>17</v>
      </c>
      <c r="W23" s="771">
        <f>J23</f>
        <v>100</v>
      </c>
      <c r="X23" s="772"/>
      <c r="Y23" s="3216"/>
      <c r="Z23" s="54" t="str">
        <f>Q23</f>
        <v>公共配套设施</v>
      </c>
      <c r="AA23" s="1814">
        <f>D23/F23</f>
        <v>1</v>
      </c>
      <c r="AB23" s="1814">
        <f>D23/H23</f>
        <v>1</v>
      </c>
      <c r="AC23" s="1814">
        <f>D23/J23</f>
        <v>1</v>
      </c>
    </row>
    <row r="24" spans="1:29" s="116" customFormat="1" ht="15">
      <c r="A24" s="649"/>
      <c r="B24" s="632"/>
      <c r="C24" s="2707"/>
      <c r="D24" s="448"/>
      <c r="E24" s="2618"/>
      <c r="F24" s="448"/>
      <c r="G24" s="2618"/>
      <c r="H24" s="448"/>
      <c r="I24" s="447"/>
      <c r="J24" s="448"/>
      <c r="K24" s="672"/>
      <c r="L24" s="1135"/>
      <c r="M24" s="1136"/>
      <c r="N24" s="1136"/>
      <c r="O24" s="1137"/>
      <c r="P24" s="3216"/>
      <c r="Q24" s="1798"/>
      <c r="R24" s="770"/>
      <c r="S24" s="771"/>
      <c r="T24" s="770"/>
      <c r="U24" s="771"/>
      <c r="V24" s="770"/>
      <c r="W24" s="771"/>
      <c r="X24" s="772"/>
      <c r="Y24" s="3216"/>
      <c r="Z24" s="54"/>
      <c r="AA24" s="773">
        <v>1</v>
      </c>
      <c r="AB24" s="773">
        <v>1</v>
      </c>
      <c r="AC24" s="773">
        <v>1</v>
      </c>
    </row>
    <row r="25" spans="1:29" s="116" customFormat="1" ht="15">
      <c r="A25" s="649"/>
      <c r="B25" s="633" t="s">
        <v>2653</v>
      </c>
      <c r="C25" s="261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6"/>
      <c r="Q25" s="1798" t="str">
        <f t="shared" ref="Q25" si="9">B25</f>
        <v>基础设施水平</v>
      </c>
      <c r="R25" s="770" t="s">
        <v>17</v>
      </c>
      <c r="S25" s="771">
        <f>F25</f>
        <v>100</v>
      </c>
      <c r="T25" s="770" t="s">
        <v>17</v>
      </c>
      <c r="U25" s="771">
        <f>H25</f>
        <v>100</v>
      </c>
      <c r="V25" s="770" t="s">
        <v>17</v>
      </c>
      <c r="W25" s="771">
        <f>J25</f>
        <v>100</v>
      </c>
      <c r="X25" s="772"/>
      <c r="Y25" s="3216"/>
      <c r="Z25" s="54" t="str">
        <f>Q25</f>
        <v>基础设施水平</v>
      </c>
      <c r="AA25" s="1814">
        <f>D25/F25</f>
        <v>1</v>
      </c>
      <c r="AB25" s="1814">
        <f>D25/H25</f>
        <v>1</v>
      </c>
      <c r="AC25" s="1814">
        <f>D25/J25</f>
        <v>1</v>
      </c>
    </row>
    <row r="26" spans="1:29" s="116" customFormat="1" ht="15">
      <c r="A26" s="649"/>
      <c r="B26" s="632"/>
      <c r="C26" s="2707"/>
      <c r="D26" s="448"/>
      <c r="E26" s="2708"/>
      <c r="F26" s="448"/>
      <c r="G26" s="2708"/>
      <c r="H26" s="448"/>
      <c r="I26" s="2708"/>
      <c r="J26" s="448"/>
      <c r="K26" s="672"/>
      <c r="L26" s="1135"/>
      <c r="M26" s="1136"/>
      <c r="N26" s="1136"/>
      <c r="O26" s="1137"/>
      <c r="P26" s="3216"/>
      <c r="Q26" s="1798"/>
      <c r="R26" s="770"/>
      <c r="S26" s="771"/>
      <c r="T26" s="770"/>
      <c r="U26" s="771"/>
      <c r="V26" s="770"/>
      <c r="W26" s="771"/>
      <c r="X26" s="772"/>
      <c r="Y26" s="3216"/>
      <c r="Z26" s="54"/>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6"/>
      <c r="Z27" s="1817" t="str">
        <f t="shared" ref="Z27:Z40" si="13">Q27</f>
        <v>临街状况</v>
      </c>
      <c r="AA27" s="1814">
        <f t="shared" si="3"/>
        <v>1</v>
      </c>
      <c r="AB27" s="1814">
        <f t="shared" si="4"/>
        <v>1</v>
      </c>
      <c r="AC27" s="1814">
        <f t="shared" si="5"/>
        <v>1</v>
      </c>
    </row>
    <row r="28" spans="1:29" ht="27">
      <c r="A28" s="428"/>
      <c r="B28" s="633" t="s">
        <v>2689</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6"/>
      <c r="Q28" s="1813" t="str">
        <f t="shared" si="8"/>
        <v>毗邻道路的类型与等级</v>
      </c>
      <c r="R28" s="774" t="s">
        <v>17</v>
      </c>
      <c r="S28" s="775">
        <f t="shared" si="10"/>
        <v>100</v>
      </c>
      <c r="T28" s="774" t="s">
        <v>17</v>
      </c>
      <c r="U28" s="775">
        <f t="shared" si="11"/>
        <v>100</v>
      </c>
      <c r="V28" s="774" t="s">
        <v>17</v>
      </c>
      <c r="W28" s="775">
        <f t="shared" si="12"/>
        <v>100</v>
      </c>
      <c r="X28" s="1816"/>
      <c r="Y28" s="3216"/>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16"/>
      <c r="Q29" s="1813"/>
      <c r="R29" s="774"/>
      <c r="S29" s="775"/>
      <c r="T29" s="774"/>
      <c r="U29" s="775"/>
      <c r="V29" s="774"/>
      <c r="W29" s="775"/>
      <c r="X29" s="1816"/>
      <c r="Y29" s="3216"/>
      <c r="Z29" s="1817"/>
      <c r="AA29" s="1814">
        <v>1</v>
      </c>
      <c r="AB29" s="1814">
        <v>1</v>
      </c>
      <c r="AC29" s="1814">
        <v>1</v>
      </c>
    </row>
    <row r="30" spans="1:29" ht="15">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3" t="str">
        <f t="shared" si="8"/>
        <v>土地级别</v>
      </c>
      <c r="R30" s="774" t="s">
        <v>17</v>
      </c>
      <c r="S30" s="775">
        <f t="shared" si="10"/>
        <v>100</v>
      </c>
      <c r="T30" s="774" t="s">
        <v>17</v>
      </c>
      <c r="U30" s="775">
        <f t="shared" si="11"/>
        <v>100</v>
      </c>
      <c r="V30" s="774" t="s">
        <v>17</v>
      </c>
      <c r="W30" s="775">
        <f t="shared" si="12"/>
        <v>100</v>
      </c>
      <c r="X30" s="1816"/>
      <c r="Y30" s="3216"/>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3">
        <f t="shared" si="8"/>
        <v>111</v>
      </c>
      <c r="R31" s="774" t="s">
        <v>17</v>
      </c>
      <c r="S31" s="775">
        <f t="shared" si="10"/>
        <v>100</v>
      </c>
      <c r="T31" s="774" t="s">
        <v>17</v>
      </c>
      <c r="U31" s="775">
        <f t="shared" si="11"/>
        <v>100</v>
      </c>
      <c r="V31" s="774" t="s">
        <v>17</v>
      </c>
      <c r="W31" s="775">
        <f t="shared" si="12"/>
        <v>100</v>
      </c>
      <c r="X31" s="1816"/>
      <c r="Y31" s="3216"/>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8" t="s">
        <v>2563</v>
      </c>
      <c r="Q32" s="1813">
        <f t="shared" si="8"/>
        <v>111</v>
      </c>
      <c r="R32" s="774" t="s">
        <v>17</v>
      </c>
      <c r="S32" s="775">
        <f t="shared" si="10"/>
        <v>100</v>
      </c>
      <c r="T32" s="774" t="s">
        <v>17</v>
      </c>
      <c r="U32" s="775">
        <f t="shared" si="11"/>
        <v>100</v>
      </c>
      <c r="V32" s="774" t="s">
        <v>17</v>
      </c>
      <c r="W32" s="775">
        <f t="shared" si="12"/>
        <v>100</v>
      </c>
      <c r="X32" s="1816"/>
      <c r="Y32" s="3220" t="s">
        <v>2563</v>
      </c>
      <c r="Z32" s="1817">
        <f t="shared" si="13"/>
        <v>111</v>
      </c>
      <c r="AA32" s="1814">
        <f t="shared" si="3"/>
        <v>1</v>
      </c>
      <c r="AB32" s="1814">
        <f t="shared" si="4"/>
        <v>1</v>
      </c>
      <c r="AC32" s="1814">
        <f t="shared" si="5"/>
        <v>1</v>
      </c>
    </row>
    <row r="33" spans="1:29" s="471" customFormat="1" ht="15.75" thickBot="1">
      <c r="A33" s="676"/>
      <c r="B33" s="2722">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0"/>
      <c r="Q33" s="1813">
        <f t="shared" si="8"/>
        <v>111</v>
      </c>
      <c r="R33" s="777" t="s">
        <v>17</v>
      </c>
      <c r="S33" s="778">
        <f t="shared" si="10"/>
        <v>100</v>
      </c>
      <c r="T33" s="777" t="s">
        <v>17</v>
      </c>
      <c r="U33" s="778">
        <f t="shared" si="11"/>
        <v>100</v>
      </c>
      <c r="V33" s="777" t="s">
        <v>17</v>
      </c>
      <c r="W33" s="778">
        <f t="shared" si="12"/>
        <v>100</v>
      </c>
      <c r="X33" s="779"/>
      <c r="Y33" s="3220"/>
      <c r="Z33" s="780">
        <f t="shared" si="13"/>
        <v>111</v>
      </c>
      <c r="AA33" s="1814">
        <f t="shared" si="3"/>
        <v>1</v>
      </c>
      <c r="AB33" s="1814">
        <f t="shared" si="4"/>
        <v>1</v>
      </c>
      <c r="AC33" s="1814">
        <f t="shared" si="5"/>
        <v>1</v>
      </c>
    </row>
    <row r="34" spans="1:29" ht="15">
      <c r="A34" s="440" t="s">
        <v>2561</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0"/>
      <c r="Q34" s="1813" t="str">
        <f>B34</f>
        <v>宗地面积</v>
      </c>
      <c r="R34" s="774" t="s">
        <v>17</v>
      </c>
      <c r="S34" s="775" t="e">
        <f t="shared" si="10"/>
        <v>#N/A</v>
      </c>
      <c r="T34" s="774" t="s">
        <v>17</v>
      </c>
      <c r="U34" s="775" t="e">
        <f t="shared" si="11"/>
        <v>#N/A</v>
      </c>
      <c r="V34" s="774" t="s">
        <v>17</v>
      </c>
      <c r="W34" s="775" t="e">
        <f t="shared" si="12"/>
        <v>#N/A</v>
      </c>
      <c r="X34" s="1816"/>
      <c r="Y34" s="3220"/>
      <c r="Z34" s="1817" t="str">
        <f t="shared" si="13"/>
        <v>宗地面积</v>
      </c>
      <c r="AA34" s="1814" t="e">
        <f t="shared" si="3"/>
        <v>#N/A</v>
      </c>
      <c r="AB34" s="1814" t="e">
        <f t="shared" si="4"/>
        <v>#N/A</v>
      </c>
      <c r="AC34" s="1814" t="e">
        <f t="shared" si="5"/>
        <v>#N/A</v>
      </c>
    </row>
    <row r="35" spans="1:29" ht="15">
      <c r="A35" s="472"/>
      <c r="B35" s="422" t="s">
        <v>2749</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20"/>
      <c r="Q35" s="1813" t="str">
        <f t="shared" ref="Q35:Q40" si="14">B35</f>
        <v>宗地形状</v>
      </c>
      <c r="R35" s="774" t="s">
        <v>17</v>
      </c>
      <c r="S35" s="775">
        <f t="shared" si="10"/>
        <v>100</v>
      </c>
      <c r="T35" s="774" t="s">
        <v>17</v>
      </c>
      <c r="U35" s="775">
        <f t="shared" si="11"/>
        <v>100</v>
      </c>
      <c r="V35" s="774" t="s">
        <v>17</v>
      </c>
      <c r="W35" s="775">
        <f t="shared" si="12"/>
        <v>100</v>
      </c>
      <c r="X35" s="1816"/>
      <c r="Y35" s="3220"/>
      <c r="Z35" s="1817" t="str">
        <f t="shared" si="13"/>
        <v>宗地形状</v>
      </c>
      <c r="AA35" s="1814">
        <f t="shared" si="3"/>
        <v>1</v>
      </c>
      <c r="AB35" s="1814">
        <f t="shared" si="4"/>
        <v>1</v>
      </c>
      <c r="AC35" s="1814">
        <f t="shared" si="5"/>
        <v>1</v>
      </c>
    </row>
    <row r="36" spans="1:29" s="116" customFormat="1" ht="15">
      <c r="A36" s="473"/>
      <c r="B36" s="422" t="s">
        <v>2751</v>
      </c>
      <c r="C36" s="2709"/>
      <c r="D36" s="135">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20"/>
      <c r="Q36" s="1813" t="str">
        <f t="shared" si="14"/>
        <v>宗地开发程度</v>
      </c>
      <c r="R36" s="770" t="s">
        <v>17</v>
      </c>
      <c r="S36" s="771">
        <f t="shared" si="10"/>
        <v>100</v>
      </c>
      <c r="T36" s="770" t="s">
        <v>17</v>
      </c>
      <c r="U36" s="771">
        <f t="shared" si="11"/>
        <v>100</v>
      </c>
      <c r="V36" s="770" t="s">
        <v>17</v>
      </c>
      <c r="W36" s="771">
        <f t="shared" si="12"/>
        <v>100</v>
      </c>
      <c r="X36" s="772"/>
      <c r="Y36" s="3220"/>
      <c r="Z36" s="54" t="str">
        <f t="shared" si="13"/>
        <v>宗地开发程度</v>
      </c>
      <c r="AA36" s="773">
        <f t="shared" si="3"/>
        <v>1</v>
      </c>
      <c r="AB36" s="773">
        <f t="shared" si="4"/>
        <v>1</v>
      </c>
      <c r="AC36" s="773">
        <f t="shared" si="5"/>
        <v>1</v>
      </c>
    </row>
    <row r="37" spans="1:29" ht="15">
      <c r="A37" s="472"/>
      <c r="B37" s="422" t="s">
        <v>2752</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20" t="s">
        <v>2563</v>
      </c>
      <c r="Q37" s="1813" t="str">
        <f t="shared" si="14"/>
        <v>工程地质条件</v>
      </c>
      <c r="R37" s="774" t="s">
        <v>17</v>
      </c>
      <c r="S37" s="775">
        <f t="shared" si="10"/>
        <v>100</v>
      </c>
      <c r="T37" s="774" t="s">
        <v>17</v>
      </c>
      <c r="U37" s="775">
        <f t="shared" si="11"/>
        <v>100</v>
      </c>
      <c r="V37" s="774" t="s">
        <v>17</v>
      </c>
      <c r="W37" s="775">
        <f t="shared" si="12"/>
        <v>100</v>
      </c>
      <c r="X37" s="1816"/>
      <c r="Y37" s="3220" t="s">
        <v>2563</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0"/>
      <c r="Q38" s="1813">
        <f t="shared" si="14"/>
        <v>111</v>
      </c>
      <c r="R38" s="774" t="s">
        <v>17</v>
      </c>
      <c r="S38" s="775">
        <f t="shared" si="10"/>
        <v>100</v>
      </c>
      <c r="T38" s="774" t="s">
        <v>17</v>
      </c>
      <c r="U38" s="775">
        <f t="shared" si="11"/>
        <v>100</v>
      </c>
      <c r="V38" s="774" t="s">
        <v>17</v>
      </c>
      <c r="W38" s="775">
        <f t="shared" si="12"/>
        <v>100</v>
      </c>
      <c r="X38" s="1816"/>
      <c r="Y38" s="3220"/>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0"/>
      <c r="Q39" s="1813">
        <f t="shared" si="14"/>
        <v>111</v>
      </c>
      <c r="R39" s="774" t="s">
        <v>17</v>
      </c>
      <c r="S39" s="775">
        <f t="shared" si="10"/>
        <v>100</v>
      </c>
      <c r="T39" s="774" t="s">
        <v>17</v>
      </c>
      <c r="U39" s="775">
        <f t="shared" si="11"/>
        <v>100</v>
      </c>
      <c r="V39" s="774" t="s">
        <v>17</v>
      </c>
      <c r="W39" s="775">
        <f t="shared" si="12"/>
        <v>100</v>
      </c>
      <c r="X39" s="1816"/>
      <c r="Y39" s="3220"/>
      <c r="Z39" s="1817">
        <f t="shared" si="13"/>
        <v>111</v>
      </c>
      <c r="AA39" s="1814">
        <f t="shared" si="3"/>
        <v>1</v>
      </c>
      <c r="AB39" s="1814">
        <f t="shared" si="4"/>
        <v>1</v>
      </c>
      <c r="AC39" s="1814">
        <f t="shared" si="5"/>
        <v>1</v>
      </c>
    </row>
    <row r="40" spans="1:29" s="471" customFormat="1" ht="15.75" thickBot="1">
      <c r="A40" s="468"/>
      <c r="B40" s="1389">
        <v>111</v>
      </c>
      <c r="C40" s="2710"/>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0"/>
      <c r="Q40" s="1813">
        <f t="shared" si="14"/>
        <v>111</v>
      </c>
      <c r="R40" s="777" t="s">
        <v>17</v>
      </c>
      <c r="S40" s="778">
        <f t="shared" si="10"/>
        <v>100</v>
      </c>
      <c r="T40" s="777" t="s">
        <v>17</v>
      </c>
      <c r="U40" s="778">
        <f t="shared" si="11"/>
        <v>100</v>
      </c>
      <c r="V40" s="777" t="s">
        <v>17</v>
      </c>
      <c r="W40" s="778">
        <f t="shared" si="12"/>
        <v>100</v>
      </c>
      <c r="X40" s="779"/>
      <c r="Y40" s="3220"/>
      <c r="Z40" s="780">
        <f t="shared" si="13"/>
        <v>111</v>
      </c>
      <c r="AA40" s="1814">
        <f t="shared" si="3"/>
        <v>1</v>
      </c>
      <c r="AB40" s="1814">
        <f t="shared" si="4"/>
        <v>1</v>
      </c>
      <c r="AC40" s="1814">
        <f t="shared" si="5"/>
        <v>1</v>
      </c>
    </row>
    <row r="41" spans="1:29" ht="15">
      <c r="A41" s="479" t="s">
        <v>2717</v>
      </c>
      <c r="B41" s="2711" t="s">
        <v>2797</v>
      </c>
      <c r="C41" s="682" t="s">
        <v>1</v>
      </c>
      <c r="D41" s="481"/>
      <c r="E41" s="482"/>
      <c r="F41" s="483"/>
      <c r="G41" s="484"/>
      <c r="H41" s="485"/>
      <c r="I41" s="482"/>
      <c r="J41" s="485"/>
      <c r="K41" s="783"/>
      <c r="L41" s="1146"/>
      <c r="M41" s="1134"/>
      <c r="N41" s="1134"/>
      <c r="O41" s="1147"/>
      <c r="P41" s="3222" t="str">
        <f>A41</f>
        <v>成交单价</v>
      </c>
      <c r="Q41" s="3222"/>
      <c r="R41" s="3210">
        <f>E41</f>
        <v>0</v>
      </c>
      <c r="S41" s="3210"/>
      <c r="T41" s="3210">
        <f>G41</f>
        <v>0</v>
      </c>
      <c r="U41" s="3210"/>
      <c r="V41" s="3210">
        <f>I41</f>
        <v>0</v>
      </c>
      <c r="W41" s="321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22" t="str">
        <f>A42</f>
        <v>比较价值（元/平方米）</v>
      </c>
      <c r="Q42" s="3222"/>
      <c r="R42" s="3269" t="e">
        <f>ROUND(PRODUCT(R41,AA7:AA40),0)</f>
        <v>#DIV/0!</v>
      </c>
      <c r="S42" s="3269"/>
      <c r="T42" s="3269" t="e">
        <f>ROUND(PRODUCT(T41,AB7:AB40),0)</f>
        <v>#DIV/0!</v>
      </c>
      <c r="U42" s="3269"/>
      <c r="V42" s="3269" t="e">
        <f>ROUND(PRODUCT(V41,AC7:AC40),0)</f>
        <v>#DIV/0!</v>
      </c>
      <c r="W42" s="326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65" t="str">
        <f>A43</f>
        <v>估价对象XX用房的比较价值（楼面单价，元/平方米）</v>
      </c>
      <c r="Q43" s="3266"/>
      <c r="R43" s="3270" t="e">
        <f>ROUND(AVERAGE(R42:V42),0)</f>
        <v>#DIV/0!</v>
      </c>
      <c r="S43" s="3270"/>
      <c r="T43" s="3270"/>
      <c r="U43" s="3270"/>
      <c r="V43" s="3270"/>
      <c r="W43" s="327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12" t="s">
        <v>2757</v>
      </c>
      <c r="D50" s="2713" t="s">
        <v>2758</v>
      </c>
      <c r="E50" s="686" t="s">
        <v>2759</v>
      </c>
      <c r="F50" s="687" t="s">
        <v>2760</v>
      </c>
      <c r="G50" s="3197" t="s">
        <v>2761</v>
      </c>
      <c r="H50" s="3271"/>
      <c r="I50" s="1817" t="s">
        <v>2798</v>
      </c>
      <c r="J50" s="1817">
        <f>项目基本情况!F35</f>
        <v>0</v>
      </c>
      <c r="K50" s="2715" t="s">
        <v>2763</v>
      </c>
      <c r="L50" s="1109"/>
      <c r="M50" s="1147"/>
      <c r="N50" s="1147"/>
      <c r="O50" s="1147"/>
    </row>
    <row r="51" spans="1:17" s="692" customFormat="1">
      <c r="A51" s="688" t="s">
        <v>2764</v>
      </c>
      <c r="B51" s="689" t="e">
        <f>C43</f>
        <v>#DIV/0!</v>
      </c>
      <c r="C51" s="690">
        <v>1</v>
      </c>
      <c r="D51" s="1166">
        <v>1</v>
      </c>
      <c r="E51" s="690">
        <f>'数据-汇总表'!E8+'数据-汇总表'!E9</f>
        <v>38306.649999999907</v>
      </c>
      <c r="F51" s="691" t="e">
        <f t="shared" ref="F51:F60" si="15">ROUND(B51*E51/10000,0)</f>
        <v>#DIV/0!</v>
      </c>
      <c r="G51" s="3193"/>
      <c r="H51" s="3222"/>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72"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72"/>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72"/>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72"/>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6"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6"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7"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13150.41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8" t="s">
        <v>2779</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6" customFormat="1" ht="30.75" customHeight="1">
      <c r="A66" s="2723" t="s">
        <v>2799</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6" customFormat="1" ht="15.75" thickBot="1">
      <c r="A67" s="515" t="s">
        <v>2583</v>
      </c>
      <c r="B67" s="516"/>
      <c r="C67" s="517"/>
      <c r="D67" s="518"/>
      <c r="E67" s="518"/>
      <c r="F67" s="518"/>
      <c r="G67" s="518"/>
      <c r="H67" s="518"/>
      <c r="I67" s="518"/>
      <c r="J67" s="518"/>
      <c r="K67" s="518"/>
      <c r="L67" s="518"/>
      <c r="M67" s="519"/>
      <c r="N67" s="519"/>
      <c r="O67" s="520"/>
      <c r="P67" s="504"/>
      <c r="Q67" s="504"/>
    </row>
    <row r="68" spans="1:17" s="116" customFormat="1" ht="15">
      <c r="A68" s="521" t="s">
        <v>2548</v>
      </c>
      <c r="B68" s="510"/>
      <c r="C68" s="522" t="s">
        <v>2650</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4"/>
      <c r="Q70" s="504"/>
    </row>
    <row r="71" spans="1:17" ht="15.75" thickBot="1">
      <c r="A71" s="534"/>
      <c r="B71" s="535"/>
      <c r="C71" s="536"/>
      <c r="D71" s="536"/>
      <c r="E71" s="536"/>
      <c r="F71" s="536"/>
      <c r="G71" s="536"/>
      <c r="H71" s="536"/>
      <c r="I71" s="536"/>
      <c r="J71" s="536"/>
      <c r="K71" s="536"/>
      <c r="L71" s="536"/>
      <c r="M71" s="537"/>
      <c r="N71" s="1156"/>
      <c r="O71" s="1156"/>
      <c r="P71" s="44"/>
      <c r="Q71" s="504"/>
    </row>
    <row r="72" spans="1:17" ht="27.75" thickTop="1">
      <c r="A72" s="534"/>
      <c r="B72" s="538" t="s">
        <v>2555</v>
      </c>
      <c r="C72" s="539"/>
      <c r="D72" s="539"/>
      <c r="E72" s="539"/>
      <c r="F72" s="539"/>
      <c r="G72" s="539"/>
      <c r="H72" s="539"/>
      <c r="I72" s="539"/>
      <c r="J72" s="539"/>
      <c r="K72" s="540"/>
      <c r="L72" s="541"/>
      <c r="M72" s="542"/>
      <c r="N72" s="1155"/>
      <c r="O72" s="1155"/>
      <c r="P72" s="44"/>
      <c r="Q72" s="504"/>
    </row>
    <row r="73" spans="1:17" ht="15.75" thickBot="1">
      <c r="A73" s="534"/>
      <c r="B73" s="543"/>
      <c r="C73" s="544"/>
      <c r="D73" s="544"/>
      <c r="E73" s="544"/>
      <c r="F73" s="544"/>
      <c r="G73" s="544"/>
      <c r="H73" s="544"/>
      <c r="I73" s="544"/>
      <c r="J73" s="544"/>
      <c r="K73" s="544"/>
      <c r="L73" s="544"/>
      <c r="M73" s="545"/>
      <c r="N73" s="1156"/>
      <c r="O73" s="1156"/>
      <c r="P73" s="44"/>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4"/>
      <c r="Q74" s="504"/>
    </row>
    <row r="75" spans="1:17" ht="15">
      <c r="A75" s="534"/>
      <c r="B75" s="548"/>
      <c r="C75" s="549"/>
      <c r="D75" s="549"/>
      <c r="E75" s="549"/>
      <c r="F75" s="549"/>
      <c r="G75" s="549"/>
      <c r="H75" s="549"/>
      <c r="I75" s="549"/>
      <c r="J75" s="549"/>
      <c r="K75" s="550"/>
      <c r="L75" s="551"/>
      <c r="M75" s="552"/>
      <c r="N75" s="1155"/>
      <c r="O75" s="1155"/>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4"/>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2702</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4"/>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4"/>
      <c r="Q86" s="504"/>
    </row>
    <row r="87" spans="1:17" s="116" customFormat="1" ht="15.75" thickTop="1">
      <c r="A87" s="579"/>
      <c r="B87" s="538" t="s">
        <v>2782</v>
      </c>
      <c r="C87" s="573" t="s">
        <v>2595</v>
      </c>
      <c r="D87" s="573" t="s">
        <v>2596</v>
      </c>
      <c r="E87" s="573" t="s">
        <v>2597</v>
      </c>
      <c r="F87" s="573" t="s">
        <v>2598</v>
      </c>
      <c r="G87" s="573" t="s">
        <v>2599</v>
      </c>
      <c r="H87" s="578"/>
      <c r="I87" s="578"/>
      <c r="J87" s="578"/>
      <c r="K87" s="578"/>
      <c r="L87" s="698"/>
      <c r="M87" s="622"/>
      <c r="N87" s="1154"/>
      <c r="O87" s="1154"/>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4"/>
      <c r="Q88" s="504"/>
    </row>
    <row r="89" spans="1:17" s="116" customFormat="1" ht="27.75" thickTop="1">
      <c r="A89" s="579"/>
      <c r="B89" s="538" t="s">
        <v>2783</v>
      </c>
      <c r="C89" s="573" t="s">
        <v>2595</v>
      </c>
      <c r="D89" s="573" t="s">
        <v>2596</v>
      </c>
      <c r="E89" s="573" t="s">
        <v>2597</v>
      </c>
      <c r="F89" s="573" t="s">
        <v>2598</v>
      </c>
      <c r="G89" s="573" t="s">
        <v>2599</v>
      </c>
      <c r="H89" s="578"/>
      <c r="I89" s="578"/>
      <c r="J89" s="578"/>
      <c r="K89" s="578"/>
      <c r="L89" s="578"/>
      <c r="M89" s="622"/>
      <c r="N89" s="1154"/>
      <c r="O89" s="1154"/>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4"/>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4"/>
      <c r="Q96" s="504"/>
    </row>
    <row r="97" spans="1:17" ht="27.75" thickTop="1">
      <c r="A97" s="534"/>
      <c r="B97" s="538" t="s">
        <v>2689</v>
      </c>
      <c r="C97" s="554"/>
      <c r="D97" s="554"/>
      <c r="E97" s="554"/>
      <c r="F97" s="554"/>
      <c r="G97" s="554"/>
      <c r="H97" s="583"/>
      <c r="I97" s="583"/>
      <c r="J97" s="583"/>
      <c r="K97" s="584"/>
      <c r="L97" s="585"/>
      <c r="M97" s="586"/>
      <c r="N97" s="1155"/>
      <c r="O97" s="1155"/>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4"/>
      <c r="Q98" s="504"/>
    </row>
    <row r="99" spans="1:17" ht="15.75" thickTop="1">
      <c r="A99" s="534"/>
      <c r="B99" s="538" t="s">
        <v>2747</v>
      </c>
      <c r="C99" s="583"/>
      <c r="D99" s="583"/>
      <c r="E99" s="583"/>
      <c r="F99" s="583"/>
      <c r="G99" s="583"/>
      <c r="H99" s="583"/>
      <c r="I99" s="583"/>
      <c r="J99" s="583"/>
      <c r="K99" s="584"/>
      <c r="L99" s="585"/>
      <c r="M99" s="586"/>
      <c r="N99" s="1155"/>
      <c r="O99" s="1155"/>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4"/>
      <c r="Q100" s="504"/>
    </row>
    <row r="101" spans="1:17" ht="15.75" thickTop="1">
      <c r="A101" s="534"/>
      <c r="B101" s="546">
        <f>B31</f>
        <v>111</v>
      </c>
      <c r="C101" s="554"/>
      <c r="D101" s="554"/>
      <c r="E101" s="554"/>
      <c r="F101" s="554"/>
      <c r="G101" s="587"/>
      <c r="H101" s="587"/>
      <c r="I101" s="587"/>
      <c r="J101" s="587"/>
      <c r="K101" s="588"/>
      <c r="L101" s="589"/>
      <c r="M101" s="590"/>
      <c r="N101" s="1155"/>
      <c r="O101" s="1155"/>
      <c r="P101" s="44"/>
      <c r="Q101" s="504"/>
    </row>
    <row r="102" spans="1:17" ht="15.75" thickBot="1">
      <c r="A102" s="534"/>
      <c r="B102" s="569"/>
      <c r="C102" s="560"/>
      <c r="D102" s="536"/>
      <c r="E102" s="536"/>
      <c r="F102" s="536"/>
      <c r="G102" s="591"/>
      <c r="H102" s="591"/>
      <c r="I102" s="591"/>
      <c r="J102" s="591"/>
      <c r="K102" s="591"/>
      <c r="L102" s="591"/>
      <c r="M102" s="592"/>
      <c r="N102" s="1156"/>
      <c r="O102" s="1156"/>
      <c r="P102" s="44"/>
      <c r="Q102" s="504"/>
    </row>
    <row r="103" spans="1:17" ht="15" thickTop="1">
      <c r="A103" s="675"/>
      <c r="B103" s="538">
        <f>B32</f>
        <v>111</v>
      </c>
      <c r="C103" s="554"/>
      <c r="D103" s="554"/>
      <c r="E103" s="554"/>
      <c r="F103" s="554"/>
      <c r="G103" s="583"/>
      <c r="H103" s="583"/>
      <c r="I103" s="583"/>
      <c r="J103" s="583"/>
      <c r="K103" s="584"/>
      <c r="L103" s="585"/>
      <c r="M103" s="586"/>
      <c r="N103" s="1155"/>
      <c r="O103" s="1155"/>
      <c r="P103" s="44"/>
      <c r="Q103" s="504"/>
    </row>
    <row r="104" spans="1:17" ht="15.75" thickBot="1">
      <c r="A104" s="534"/>
      <c r="B104" s="543"/>
      <c r="C104" s="560"/>
      <c r="D104" s="560"/>
      <c r="E104" s="560"/>
      <c r="F104" s="560"/>
      <c r="G104" s="536"/>
      <c r="H104" s="536"/>
      <c r="I104" s="536"/>
      <c r="J104" s="536"/>
      <c r="K104" s="536"/>
      <c r="L104" s="536"/>
      <c r="M104" s="537"/>
      <c r="N104" s="1156"/>
      <c r="O104" s="1156"/>
      <c r="P104" s="44"/>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4"/>
      <c r="Q107" s="504"/>
    </row>
    <row r="108" spans="1:17" ht="15">
      <c r="A108" s="534"/>
      <c r="B108" s="546"/>
      <c r="C108" s="595"/>
      <c r="D108" s="595"/>
      <c r="E108" s="595"/>
      <c r="F108" s="595"/>
      <c r="G108" s="595"/>
      <c r="H108" s="595"/>
      <c r="I108" s="595"/>
      <c r="J108" s="596"/>
      <c r="K108" s="596"/>
      <c r="L108" s="597"/>
      <c r="M108" s="598"/>
      <c r="N108" s="1155"/>
      <c r="O108" s="1155"/>
      <c r="P108" s="44"/>
      <c r="Q108" s="504"/>
    </row>
    <row r="109" spans="1:17" ht="15.75" thickBot="1">
      <c r="A109" s="534"/>
      <c r="B109" s="543"/>
      <c r="C109" s="570"/>
      <c r="D109" s="591"/>
      <c r="E109" s="591"/>
      <c r="F109" s="591"/>
      <c r="G109" s="591"/>
      <c r="H109" s="591"/>
      <c r="I109" s="591"/>
      <c r="J109" s="591"/>
      <c r="K109" s="591"/>
      <c r="L109" s="591"/>
      <c r="M109" s="592"/>
      <c r="N109" s="1156"/>
      <c r="O109" s="1156"/>
      <c r="P109" s="44"/>
      <c r="Q109" s="504"/>
    </row>
    <row r="110" spans="1:17" ht="15" thickTop="1">
      <c r="A110" s="599"/>
      <c r="B110" s="538" t="s">
        <v>2789</v>
      </c>
      <c r="C110" s="583"/>
      <c r="D110" s="583"/>
      <c r="E110" s="583"/>
      <c r="F110" s="583"/>
      <c r="G110" s="583"/>
      <c r="H110" s="583"/>
      <c r="I110" s="583"/>
      <c r="J110" s="583"/>
      <c r="K110" s="584"/>
      <c r="L110" s="585"/>
      <c r="M110" s="586"/>
      <c r="N110" s="1155"/>
      <c r="O110" s="1155"/>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4"/>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4"/>
      <c r="Q115" s="504"/>
    </row>
    <row r="116" spans="1:17" ht="15" thickTop="1">
      <c r="A116" s="599"/>
      <c r="B116" s="538">
        <f>B38</f>
        <v>111</v>
      </c>
      <c r="C116" s="554"/>
      <c r="D116" s="554"/>
      <c r="E116" s="554"/>
      <c r="F116" s="554"/>
      <c r="G116" s="554"/>
      <c r="H116" s="583"/>
      <c r="I116" s="583"/>
      <c r="J116" s="583"/>
      <c r="K116" s="584"/>
      <c r="L116" s="585"/>
      <c r="M116" s="586"/>
      <c r="N116" s="1155"/>
      <c r="O116" s="1155"/>
      <c r="P116" s="44"/>
      <c r="Q116" s="504"/>
    </row>
    <row r="117" spans="1:17" ht="15.75" thickBot="1">
      <c r="A117" s="534"/>
      <c r="B117" s="543"/>
      <c r="C117" s="560"/>
      <c r="D117" s="536"/>
      <c r="E117" s="536"/>
      <c r="F117" s="536"/>
      <c r="G117" s="536"/>
      <c r="H117" s="536"/>
      <c r="I117" s="536"/>
      <c r="J117" s="536"/>
      <c r="K117" s="536"/>
      <c r="L117" s="536"/>
      <c r="M117" s="537"/>
      <c r="N117" s="1156"/>
      <c r="O117" s="1156"/>
      <c r="P117" s="44"/>
      <c r="Q117" s="504"/>
    </row>
    <row r="118" spans="1:17" ht="15" thickTop="1">
      <c r="A118" s="599"/>
      <c r="B118" s="538">
        <f>B39</f>
        <v>111</v>
      </c>
      <c r="C118" s="554"/>
      <c r="D118" s="554"/>
      <c r="E118" s="554"/>
      <c r="F118" s="554"/>
      <c r="G118" s="583"/>
      <c r="H118" s="583"/>
      <c r="I118" s="583"/>
      <c r="J118" s="583"/>
      <c r="K118" s="584"/>
      <c r="L118" s="585"/>
      <c r="M118" s="586"/>
      <c r="N118" s="1155"/>
      <c r="O118" s="1155"/>
      <c r="P118" s="44"/>
      <c r="Q118" s="504"/>
    </row>
    <row r="119" spans="1:17" ht="15.75" thickBot="1">
      <c r="A119" s="534"/>
      <c r="B119" s="543"/>
      <c r="C119" s="560"/>
      <c r="D119" s="560"/>
      <c r="E119" s="560"/>
      <c r="F119" s="560"/>
      <c r="G119" s="536"/>
      <c r="H119" s="536"/>
      <c r="I119" s="536"/>
      <c r="J119" s="536"/>
      <c r="K119" s="536"/>
      <c r="L119" s="536"/>
      <c r="M119" s="537"/>
      <c r="N119" s="1156"/>
      <c r="O119" s="1156"/>
      <c r="P119" s="44"/>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4" customWidth="1"/>
    <col min="33" max="36" width="9.375" style="2803" customWidth="1"/>
    <col min="37" max="38" width="9.375" style="2727" customWidth="1"/>
    <col min="39" max="16384" width="12" style="2727"/>
  </cols>
  <sheetData>
    <row r="1" spans="1:36" ht="28.5">
      <c r="A1" s="240" t="s">
        <v>2801</v>
      </c>
      <c r="B1" s="241"/>
      <c r="C1" s="245" t="s">
        <v>2802</v>
      </c>
      <c r="D1" s="388">
        <f>SUM(D29:D30,D33:D39)</f>
        <v>0</v>
      </c>
      <c r="E1" s="2724"/>
      <c r="F1" s="2724"/>
      <c r="G1" s="2724"/>
      <c r="H1" s="2724"/>
      <c r="I1" s="2724"/>
      <c r="J1" s="2724"/>
      <c r="K1" s="1372"/>
      <c r="L1" s="2725" t="s">
        <v>2803</v>
      </c>
      <c r="M1" s="1083">
        <f>SUMPRODUCT((区片价!B5:B9=I2)*(区片价!C3:F3=E2)*(区片价!C5:F9))</f>
        <v>0</v>
      </c>
      <c r="N1" s="1086">
        <f>SUMPRODUCT((因素修正幅度!B5:B9=I2)*(因素修正幅度!C3:F3=E2)*(因素修正幅度!C5:F9))</f>
        <v>0</v>
      </c>
      <c r="O1" s="2726"/>
      <c r="P1" s="2726"/>
      <c r="Q1" s="1372"/>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8" t="s">
        <v>2810</v>
      </c>
      <c r="D2" s="2729" t="s">
        <v>2811</v>
      </c>
      <c r="E2" s="2730"/>
      <c r="F2" s="2729" t="s">
        <v>2812</v>
      </c>
      <c r="G2" s="2731">
        <f>IF(E2="商业",项目基本情况!B37,IF(E2="办公",项目基本情况!C37,IF(E2="住宅",项目基本情况!D37,项目基本情况!E37)))</f>
        <v>0</v>
      </c>
      <c r="H2" s="2729" t="s">
        <v>2813</v>
      </c>
      <c r="I2" s="2731">
        <f>IF(E2="商业",项目基本情况!B38,IF(E2="办公",项目基本情况!C38,IF(E2="住宅",项目基本情况!D38,项目基本情况!E38)))</f>
        <v>0</v>
      </c>
      <c r="J2" s="2732"/>
      <c r="K2" s="1372"/>
      <c r="L2" s="2733" t="s">
        <v>2814</v>
      </c>
      <c r="M2" s="1084">
        <f>SUMPRODUCT((区片价!B10:B28=I2)*(区片价!C3:F3=E2)*(区片价!C10:F28))</f>
        <v>0</v>
      </c>
      <c r="N2" s="1086">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8" t="s">
        <v>2816</v>
      </c>
      <c r="D3" s="2729" t="s">
        <v>2817</v>
      </c>
      <c r="E3" s="2734"/>
      <c r="F3" s="2735" t="s">
        <v>2818</v>
      </c>
      <c r="G3" s="916">
        <f>IF(F3="宗地容积率",'数据-汇总表'!I4,IF(F3="估价对象容积率",'数据-汇总表'!I6,'数据-汇总表'!I7))</f>
        <v>2.91</v>
      </c>
      <c r="H3" s="198" t="s">
        <v>2819</v>
      </c>
      <c r="I3" s="947"/>
      <c r="J3" s="2732" t="s">
        <v>2820</v>
      </c>
      <c r="K3" s="1372"/>
      <c r="L3" s="2733" t="s">
        <v>2821</v>
      </c>
      <c r="M3" s="1084">
        <f>SUMPRODUCT((区片价!B29:B48=I2)*(区片价!C3:F3=E2)*(区片价!C29:F48))</f>
        <v>0</v>
      </c>
      <c r="N3" s="1086">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1"/>
      <c r="B4" s="3292"/>
      <c r="C4" s="3292"/>
      <c r="D4" s="3293"/>
      <c r="E4" s="3293"/>
      <c r="F4" s="3293"/>
      <c r="G4" s="3293"/>
      <c r="H4" s="3293"/>
      <c r="I4" s="3293"/>
      <c r="J4" s="3294"/>
      <c r="K4" s="1372"/>
      <c r="L4" s="2733" t="s">
        <v>2822</v>
      </c>
      <c r="M4" s="1084">
        <f>SUMPRODUCT((区片价!B49:B75=I2)*(区片价!C3:F3=E2)*(区片价!C49:F75))</f>
        <v>0</v>
      </c>
      <c r="N4" s="1086">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2823</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2824</v>
      </c>
      <c r="M5" s="1084">
        <f>SUMPRODUCT((区片价!B76:B109=I2)*(区片价!C3:F3=E2)*(区片价!C76:F109))</f>
        <v>0</v>
      </c>
      <c r="N5" s="1086">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2825</v>
      </c>
      <c r="B6" s="2747" t="s">
        <v>2826</v>
      </c>
      <c r="C6" s="918">
        <f>SUMIF(L1:L12,G2,M1:M12)</f>
        <v>0</v>
      </c>
      <c r="D6" s="2748" t="s">
        <v>2827</v>
      </c>
      <c r="E6" s="2749"/>
      <c r="F6" s="2749"/>
      <c r="G6" s="2750"/>
      <c r="H6" s="2750"/>
      <c r="I6" s="2750"/>
      <c r="J6" s="2751"/>
      <c r="K6" s="1845"/>
      <c r="L6" s="2733" t="s">
        <v>2828</v>
      </c>
      <c r="M6" s="1084">
        <f>SUMPRODUCT((区片价!B110:B157=I2)*(区片价!C3:F3=E2)*(区片价!C110:F157))</f>
        <v>0</v>
      </c>
      <c r="N6" s="1086">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77" t="str">
        <f>IF(E2="商业",IF(C8="不临58条商业街","",2),"")</f>
        <v/>
      </c>
      <c r="B7" s="2752" t="s">
        <v>2829</v>
      </c>
      <c r="C7" s="919" t="e">
        <f>IF(C8="不临58条商业街",1,ROUND(1+(1.6*E8+1.2*E9+0.8*E10+0.4*E11)*C9,4))</f>
        <v>#DIV/0!</v>
      </c>
      <c r="D7" s="2753" t="s">
        <v>2830</v>
      </c>
      <c r="E7" s="948"/>
      <c r="F7" s="2754"/>
      <c r="G7" s="2755"/>
      <c r="H7" s="2755"/>
      <c r="I7" s="2755"/>
      <c r="J7" s="2756"/>
      <c r="K7" s="1845"/>
      <c r="L7" s="2733" t="s">
        <v>2831</v>
      </c>
      <c r="M7" s="1084">
        <f>SUMPRODUCT((区片价!B158:B205=I2)*(区片价!C3:F3=E2)*(区片价!C158:F205))</f>
        <v>0</v>
      </c>
      <c r="N7" s="1086">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2.91</v>
      </c>
      <c r="AA7" s="1609"/>
      <c r="AB7" s="1609"/>
      <c r="AC7" s="1610"/>
      <c r="AD7" s="1611"/>
      <c r="AE7" s="1611"/>
      <c r="AF7" s="1611"/>
      <c r="AG7" s="1611"/>
      <c r="AH7" s="1611"/>
      <c r="AI7" s="1611"/>
      <c r="AJ7" s="1612"/>
    </row>
    <row r="8" spans="1:36" ht="15">
      <c r="A8" s="3278"/>
      <c r="B8" s="198" t="s">
        <v>2834</v>
      </c>
      <c r="C8" s="2757"/>
      <c r="D8" s="920" t="s">
        <v>139</v>
      </c>
      <c r="E8" s="921" t="e">
        <f>ROUND(C11/E7,4)</f>
        <v>#DIV/0!</v>
      </c>
      <c r="F8" s="2758" t="s">
        <v>2835</v>
      </c>
      <c r="G8" s="2759"/>
      <c r="H8" s="2759"/>
      <c r="I8" s="2759"/>
      <c r="J8" s="2760"/>
      <c r="K8" s="1372"/>
      <c r="L8" s="2733" t="s">
        <v>2836</v>
      </c>
      <c r="M8" s="1084">
        <f>SUMPRODUCT((区片价!B206:B244=I2)*(区片价!C3:F3=E2)*(区片价!C206:F244))</f>
        <v>0</v>
      </c>
      <c r="N8" s="1086">
        <f>SUMPRODUCT((因素修正幅度!B206:B244=I2)*(因素修正幅度!C3:F3=E2)*(因素修正幅度!C206:F244))</f>
        <v>0</v>
      </c>
      <c r="O8" s="1372"/>
      <c r="P8" s="1372"/>
      <c r="Q8" s="1372"/>
      <c r="R8" s="1605">
        <v>7</v>
      </c>
      <c r="S8" s="1606"/>
      <c r="T8" s="1605" t="e">
        <f t="shared" si="0"/>
        <v>#DIV/0!</v>
      </c>
      <c r="U8" s="1606"/>
      <c r="V8" s="1605" t="e">
        <f t="shared" si="1"/>
        <v>#DIV/0!</v>
      </c>
      <c r="W8" s="3288" t="s">
        <v>2837</v>
      </c>
      <c r="X8" s="3289"/>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78"/>
      <c r="B9" s="198" t="s">
        <v>2850</v>
      </c>
      <c r="C9" s="922">
        <f>SUMIF(修正!C59:C119,C8,修正!E59:E119)</f>
        <v>0</v>
      </c>
      <c r="D9" s="200" t="s">
        <v>140</v>
      </c>
      <c r="E9" s="200" t="e">
        <f>ROUND(C11/E7,4)</f>
        <v>#DIV/0!</v>
      </c>
      <c r="F9" s="2758" t="s">
        <v>2851</v>
      </c>
      <c r="G9" s="2759"/>
      <c r="H9" s="2759"/>
      <c r="I9" s="2759"/>
      <c r="J9" s="2760"/>
      <c r="K9" s="1372"/>
      <c r="L9" s="2733" t="s">
        <v>2852</v>
      </c>
      <c r="M9" s="1084">
        <f>SUMPRODUCT((区片价!B245:B289=I2)*(区片价!C3:F3=E2)*(区片价!C245:F289))</f>
        <v>0</v>
      </c>
      <c r="N9" s="1086">
        <f>SUMPRODUCT((因素修正幅度!B245:B289=I2)*(因素修正幅度!C3:F3=E2)*(因素修正幅度!C245:F289))</f>
        <v>0</v>
      </c>
      <c r="O9" s="1372"/>
      <c r="P9" s="1372"/>
      <c r="Q9" s="1372"/>
      <c r="R9" s="1605">
        <v>8</v>
      </c>
      <c r="S9" s="1606"/>
      <c r="T9" s="1605" t="e">
        <f t="shared" si="0"/>
        <v>#DIV/0!</v>
      </c>
      <c r="U9" s="1606"/>
      <c r="V9" s="1605" t="e">
        <f t="shared" si="1"/>
        <v>#DIV/0!</v>
      </c>
      <c r="W9" s="3290"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8"/>
      <c r="B10" s="198" t="s">
        <v>2855</v>
      </c>
      <c r="C10" s="200">
        <f>SUMIF(修正!C59:C119,C8,修正!F59:F119)</f>
        <v>0</v>
      </c>
      <c r="D10" s="200" t="s">
        <v>141</v>
      </c>
      <c r="E10" s="200" t="e">
        <f>ROUND(C11/E7,4)</f>
        <v>#DIV/0!</v>
      </c>
      <c r="F10" s="2758" t="s">
        <v>2856</v>
      </c>
      <c r="G10" s="2759"/>
      <c r="H10" s="2759"/>
      <c r="I10" s="2759"/>
      <c r="J10" s="2760"/>
      <c r="K10" s="1372"/>
      <c r="L10" s="2733" t="s">
        <v>2857</v>
      </c>
      <c r="M10" s="1084">
        <f>SUMPRODUCT((区片价!B290:B316=I2)*(区片价!C3:F3=E2)*(区片价!C290:F316))</f>
        <v>0</v>
      </c>
      <c r="N10" s="1086">
        <f>SUMPRODUCT((因素修正幅度!B290:B316=I2)*(因素修正幅度!C3:F3=E2)*(因素修正幅度!C290:F316))</f>
        <v>0</v>
      </c>
      <c r="O10" s="1372"/>
      <c r="P10" s="1372"/>
      <c r="Q10" s="1372"/>
      <c r="R10" s="1605">
        <v>9</v>
      </c>
      <c r="S10" s="1606"/>
      <c r="T10" s="1605" t="e">
        <f t="shared" si="0"/>
        <v>#DIV/0!</v>
      </c>
      <c r="U10" s="1606"/>
      <c r="V10" s="1605" t="e">
        <f t="shared" si="1"/>
        <v>#DIV/0!</v>
      </c>
      <c r="W10" s="329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8"/>
      <c r="B11" s="2761" t="s">
        <v>2858</v>
      </c>
      <c r="C11" s="923">
        <f>C10/4</f>
        <v>0</v>
      </c>
      <c r="D11" s="923" t="s">
        <v>142</v>
      </c>
      <c r="E11" s="923" t="e">
        <f>ROUND(C11/E7,4)</f>
        <v>#DIV/0!</v>
      </c>
      <c r="F11" s="2762" t="s">
        <v>2859</v>
      </c>
      <c r="G11" s="2763"/>
      <c r="H11" s="2763"/>
      <c r="I11" s="2763"/>
      <c r="J11" s="2764"/>
      <c r="K11" s="1372"/>
      <c r="L11" s="2733" t="s">
        <v>2860</v>
      </c>
      <c r="M11" s="1084">
        <f>SUMPRODUCT((区片价!B317:B337=I2)*(区片价!C3:F3=E2)*(区片价!C317:F337))</f>
        <v>0</v>
      </c>
      <c r="N11" s="1086">
        <f>SUMPRODUCT((因素修正幅度!B317:B337=I2)*(因素修正幅度!C3:F3=E2)*(因素修正幅度!C317:F337))</f>
        <v>0</v>
      </c>
      <c r="O11" s="1372"/>
      <c r="P11" s="1372"/>
      <c r="Q11" s="1372"/>
      <c r="R11" s="1605">
        <v>10</v>
      </c>
      <c r="S11" s="1606"/>
      <c r="T11" s="1605" t="e">
        <f t="shared" si="0"/>
        <v>#DIV/0!</v>
      </c>
      <c r="U11" s="1606"/>
      <c r="V11" s="1605" t="e">
        <f t="shared" si="1"/>
        <v>#DIV/0!</v>
      </c>
      <c r="W11" s="3290" t="s">
        <v>2861</v>
      </c>
      <c r="X11" s="1617" t="s">
        <v>2862</v>
      </c>
      <c r="Y11" s="1618">
        <f>$G$3</f>
        <v>2.91</v>
      </c>
      <c r="Z11" s="1618">
        <f t="shared" ref="Z11:AJ11" si="3">$G$3</f>
        <v>2.91</v>
      </c>
      <c r="AA11" s="1618">
        <f t="shared" si="3"/>
        <v>2.91</v>
      </c>
      <c r="AB11" s="1618">
        <f t="shared" si="3"/>
        <v>2.91</v>
      </c>
      <c r="AC11" s="1618">
        <f t="shared" si="3"/>
        <v>2.91</v>
      </c>
      <c r="AD11" s="1618">
        <f t="shared" si="3"/>
        <v>2.91</v>
      </c>
      <c r="AE11" s="1618">
        <f t="shared" si="3"/>
        <v>2.91</v>
      </c>
      <c r="AF11" s="1618">
        <f t="shared" si="3"/>
        <v>2.91</v>
      </c>
      <c r="AG11" s="1618">
        <f t="shared" si="3"/>
        <v>2.91</v>
      </c>
      <c r="AH11" s="1618">
        <f t="shared" si="3"/>
        <v>2.91</v>
      </c>
      <c r="AI11" s="1618">
        <f t="shared" si="3"/>
        <v>2.91</v>
      </c>
      <c r="AJ11" s="1618">
        <f t="shared" si="3"/>
        <v>2.91</v>
      </c>
    </row>
    <row r="12" spans="1:36" ht="25.5" thickBot="1">
      <c r="A12" s="3277" t="s">
        <v>2863</v>
      </c>
      <c r="B12" s="2765" t="s">
        <v>2864</v>
      </c>
      <c r="C12" s="919">
        <f>ROUND(C15*D15*E15*F15*G15*H15*I15*J15,4)</f>
        <v>1</v>
      </c>
      <c r="D12" s="2766" t="s">
        <v>2865</v>
      </c>
      <c r="E12" s="2767"/>
      <c r="F12" s="2767"/>
      <c r="G12" s="2768"/>
      <c r="H12" s="2768"/>
      <c r="I12" s="2768"/>
      <c r="J12" s="2769"/>
      <c r="K12" s="1372"/>
      <c r="L12" s="2770" t="s">
        <v>2866</v>
      </c>
      <c r="M12" s="1085">
        <f>SUMPRODUCT((区片价!B338:B344=I2)*(区片价!C3:F3=E2)*(区片价!C338:F344))</f>
        <v>0</v>
      </c>
      <c r="N12" s="1086">
        <f>SUMPRODUCT((因素修正幅度!B338:B344=I2)*(因素修正幅度!C3:F3=E2)*(因素修正幅度!C338:F344))</f>
        <v>0</v>
      </c>
      <c r="O12" s="1372"/>
      <c r="P12" s="1372"/>
      <c r="Q12" s="1372"/>
      <c r="R12" s="1605">
        <v>11</v>
      </c>
      <c r="S12" s="1606"/>
      <c r="T12" s="1605" t="e">
        <f t="shared" si="0"/>
        <v>#DIV/0!</v>
      </c>
      <c r="U12" s="1606"/>
      <c r="V12" s="1605" t="e">
        <f t="shared" si="1"/>
        <v>#DIV/0!</v>
      </c>
      <c r="W12" s="3290"/>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5"/>
      <c r="B13" s="2771" t="s">
        <v>2868</v>
      </c>
      <c r="C13" s="2772" t="s">
        <v>2869</v>
      </c>
      <c r="D13" s="1811" t="s">
        <v>2870</v>
      </c>
      <c r="E13" s="1811" t="s">
        <v>2871</v>
      </c>
      <c r="F13" s="29" t="s">
        <v>2872</v>
      </c>
      <c r="G13" s="2773" t="s">
        <v>2873</v>
      </c>
      <c r="H13" s="2773" t="s">
        <v>2873</v>
      </c>
      <c r="I13" s="2773" t="s">
        <v>2873</v>
      </c>
      <c r="J13" s="2774" t="s">
        <v>2873</v>
      </c>
      <c r="K13" s="1372"/>
      <c r="L13" s="1372"/>
      <c r="M13" s="1372"/>
      <c r="N13" s="1372"/>
      <c r="O13" s="1372"/>
      <c r="P13" s="1372"/>
      <c r="Q13" s="1372"/>
      <c r="R13" s="1605">
        <v>12</v>
      </c>
      <c r="S13" s="1606"/>
      <c r="T13" s="1605" t="e">
        <f t="shared" si="0"/>
        <v>#DIV/0!</v>
      </c>
      <c r="U13" s="1606"/>
      <c r="V13" s="1605" t="e">
        <f t="shared" si="1"/>
        <v>#DIV/0!</v>
      </c>
      <c r="W13" s="3290"/>
      <c r="X13" s="1619"/>
      <c r="Y13" s="1616">
        <f>(-0.163*(Y12^2)-0.59*Y12+7617)*(10^(-4))/Y11</f>
        <v>0.26175257731958762</v>
      </c>
      <c r="Z13" s="1616">
        <f t="shared" ref="Z13:AJ13" si="5">(-0.163*(Z12^2)-0.59*Z12+7617)*(10^(-4))/Z11</f>
        <v>0.26175257731958762</v>
      </c>
      <c r="AA13" s="1616">
        <f t="shared" si="5"/>
        <v>0.26175257731958762</v>
      </c>
      <c r="AB13" s="1616">
        <f t="shared" si="5"/>
        <v>0.26175257731958762</v>
      </c>
      <c r="AC13" s="1616">
        <f t="shared" si="5"/>
        <v>0.26175257731958762</v>
      </c>
      <c r="AD13" s="1616">
        <f t="shared" si="5"/>
        <v>0.26175257731958762</v>
      </c>
      <c r="AE13" s="1616">
        <f t="shared" si="5"/>
        <v>0.26175257731958762</v>
      </c>
      <c r="AF13" s="1616">
        <f t="shared" si="5"/>
        <v>0.26175257731958762</v>
      </c>
      <c r="AG13" s="1616">
        <f t="shared" si="5"/>
        <v>0.26175257731958762</v>
      </c>
      <c r="AH13" s="1616">
        <f t="shared" si="5"/>
        <v>0.26175257731958762</v>
      </c>
      <c r="AI13" s="1616">
        <f t="shared" si="5"/>
        <v>0.26175257731958762</v>
      </c>
      <c r="AJ13" s="1616">
        <f t="shared" si="5"/>
        <v>0.26175257731958762</v>
      </c>
    </row>
    <row r="14" spans="1:36" ht="15">
      <c r="A14" s="3295"/>
      <c r="B14" s="2775"/>
      <c r="C14" s="2776"/>
      <c r="D14" s="2777"/>
      <c r="E14" s="2777"/>
      <c r="F14" s="2778"/>
      <c r="G14" s="2779" t="s">
        <v>2874</v>
      </c>
      <c r="H14" s="2780"/>
      <c r="I14" s="2781"/>
      <c r="J14" s="2782"/>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6"/>
      <c r="B15" s="2783" t="s">
        <v>2875</v>
      </c>
      <c r="C15" s="229">
        <f>IF(C14="有",1.1,1)</f>
        <v>1</v>
      </c>
      <c r="D15" s="229">
        <f>IF(D14="有",1.1,1)</f>
        <v>1</v>
      </c>
      <c r="E15" s="229">
        <f>IF(E14="有",1.1,1)</f>
        <v>1</v>
      </c>
      <c r="F15" s="229">
        <f>IF(F14="500米范围内",1.2,IF(F14="500-1000米",1.1,1))</f>
        <v>1</v>
      </c>
      <c r="G15" s="949">
        <v>1</v>
      </c>
      <c r="H15" s="949">
        <v>1</v>
      </c>
      <c r="I15" s="949">
        <v>1</v>
      </c>
      <c r="J15" s="950">
        <v>1</v>
      </c>
      <c r="K15" s="1372"/>
      <c r="L15" s="2784" t="s">
        <v>2811</v>
      </c>
      <c r="M15" s="920" t="s">
        <v>2876</v>
      </c>
      <c r="N15" s="920" t="s">
        <v>2877</v>
      </c>
      <c r="O15" s="920" t="s">
        <v>2878</v>
      </c>
      <c r="P15" s="2785" t="s">
        <v>2879</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7" t="s">
        <v>2880</v>
      </c>
      <c r="B16" s="2752" t="s">
        <v>2881</v>
      </c>
      <c r="C16" s="1804" t="e">
        <f>ROUND(SUM(G17:J17)/C17,0)</f>
        <v>#DIV/0!</v>
      </c>
      <c r="D16" s="2786" t="s">
        <v>2882</v>
      </c>
      <c r="E16" s="2787"/>
      <c r="F16" s="2788"/>
      <c r="G16" s="2789"/>
      <c r="H16" s="2789"/>
      <c r="I16" s="2789"/>
      <c r="J16" s="2790"/>
      <c r="K16" s="1372"/>
      <c r="L16" s="2791" t="s">
        <v>2883</v>
      </c>
      <c r="M16" s="922">
        <v>0.25</v>
      </c>
      <c r="N16" s="922">
        <v>0.2</v>
      </c>
      <c r="O16" s="922">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8"/>
      <c r="B17" s="2792" t="s">
        <v>2884</v>
      </c>
      <c r="C17" s="924">
        <f>SUMPRODUCT((修正!A2:A5=E2)*(修正!B1:M1=G2)*(修正!B2:M5))</f>
        <v>0</v>
      </c>
      <c r="D17" s="2793"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4"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5"/>
      <c r="AF17" s="2795"/>
      <c r="AG17" s="2727"/>
      <c r="AH17" s="2727"/>
      <c r="AI17" s="2727"/>
      <c r="AJ17" s="2727"/>
    </row>
    <row r="18" spans="1:37" s="2745" customFormat="1" ht="15.75" thickBot="1">
      <c r="A18" s="2796" t="s">
        <v>808</v>
      </c>
      <c r="B18" s="2797" t="s">
        <v>2888</v>
      </c>
      <c r="C18" s="926">
        <f>SUMIF(修正!C18:C39,E3,修正!E18:E39)</f>
        <v>0</v>
      </c>
      <c r="D18" s="2798"/>
      <c r="E18" s="2799"/>
      <c r="F18" s="2800"/>
      <c r="G18" s="2801"/>
      <c r="H18" s="2801"/>
      <c r="I18" s="2801"/>
      <c r="J18" s="2802"/>
      <c r="K18" s="1379"/>
      <c r="O18" s="1377"/>
      <c r="P18" s="1377"/>
      <c r="Q18" s="1378"/>
      <c r="R18" s="1378"/>
      <c r="S18" s="1378"/>
      <c r="T18" s="1373"/>
      <c r="U18" s="1373"/>
      <c r="V18" s="1373"/>
      <c r="W18" s="1372"/>
      <c r="X18" s="1372"/>
      <c r="Y18" s="1372"/>
      <c r="Z18" s="1379"/>
      <c r="AA18" s="1380"/>
      <c r="AB18" s="1380"/>
      <c r="AC18" s="1380"/>
      <c r="AD18" s="1380"/>
      <c r="AE18" s="1374"/>
      <c r="AF18" s="1374"/>
      <c r="AG18" s="2803"/>
      <c r="AH18" s="2803"/>
      <c r="AI18" s="2803"/>
    </row>
    <row r="19" spans="1:37" s="2745" customFormat="1" ht="27.75" thickBot="1">
      <c r="A19" s="2796" t="s">
        <v>809</v>
      </c>
      <c r="B19" s="2797" t="s">
        <v>2889</v>
      </c>
      <c r="C19" s="927" t="e">
        <f>ROUND(IF(H19="按公示增长率计算",SUMPRODUCT((地价!A3:A20=YEAR(G19)&amp;"-"&amp;ROUNDUP(MONTH(G19)/3,0))*(地价!X2:AB2=E2)*(地价!X3:AB20)),IF(H19="地价指数",M20/M19,(1+I19)^O19)),4)</f>
        <v>#DIV/0!</v>
      </c>
      <c r="D19" s="2804" t="s">
        <v>2890</v>
      </c>
      <c r="E19" s="928">
        <v>41640</v>
      </c>
      <c r="F19" s="2804" t="s">
        <v>2891</v>
      </c>
      <c r="G19" s="929">
        <f>'数据-取费表'!B2</f>
        <v>43033</v>
      </c>
      <c r="H19" s="2805" t="s">
        <v>2892</v>
      </c>
      <c r="I19" s="930" t="str">
        <f>IF(H19="季度增幅（自定义）",SUMIF(N21:N24,E2,O21:O24),"")</f>
        <v/>
      </c>
      <c r="J19" s="2802"/>
      <c r="K19" s="1379"/>
      <c r="L19" s="2806" t="s">
        <v>2893</v>
      </c>
      <c r="M19" s="1737">
        <f>ROUND(SUMIF(地价!B2:F2,E2,地价!B20:F20),0)</f>
        <v>0</v>
      </c>
      <c r="N19" s="2807" t="s">
        <v>2894</v>
      </c>
      <c r="O19" s="931">
        <f>ROUNDDOWN(DATEDIF(E19,G19,"M")/3,0)</f>
        <v>15</v>
      </c>
      <c r="P19" s="1376"/>
      <c r="Q19" s="1378"/>
      <c r="R19" s="1378"/>
      <c r="S19" s="1378"/>
      <c r="T19" s="1373"/>
      <c r="U19" s="1373"/>
      <c r="V19" s="1373"/>
      <c r="W19" s="1372"/>
      <c r="X19" s="1372"/>
      <c r="Y19" s="1372"/>
      <c r="Z19" s="1379"/>
      <c r="AA19" s="1380"/>
      <c r="AB19" s="1380"/>
      <c r="AC19" s="1380"/>
      <c r="AD19" s="1380"/>
      <c r="AE19" s="1380"/>
      <c r="AF19" s="2808"/>
      <c r="AG19" s="2809"/>
      <c r="AH19" s="2803"/>
      <c r="AI19" s="2810"/>
      <c r="AJ19" s="2810"/>
      <c r="AK19" s="2810"/>
    </row>
    <row r="20" spans="1:37" s="2745" customFormat="1" ht="27.75" thickBot="1">
      <c r="A20" s="2811" t="s">
        <v>810</v>
      </c>
      <c r="B20" s="2812" t="s">
        <v>2895</v>
      </c>
      <c r="C20" s="932" t="e">
        <f>ROUND(POWER(1+G20,J20-I20)*(POWER(1+G20,I20)-1)/(POWER(1+G20,J20)-1),4)</f>
        <v>#DIV/0!</v>
      </c>
      <c r="D20" s="2813" t="s">
        <v>2896</v>
      </c>
      <c r="E20" s="1771">
        <f ca="1">存贷款利率!D4/100</f>
        <v>4.3499999999999997E-2</v>
      </c>
      <c r="F20" s="2813" t="s">
        <v>2887</v>
      </c>
      <c r="G20" s="937">
        <f>SUMIF(M15:P15,E2,M17:P17)</f>
        <v>0</v>
      </c>
      <c r="H20" s="2813" t="s">
        <v>2897</v>
      </c>
      <c r="I20" s="938" t="e">
        <f>SUMIF('数据-取费表'!C6:C15,E2,'数据-取费表'!F6:F15)/COUNTIF('数据-取费表'!C6:C15,E2)</f>
        <v>#DIV/0!</v>
      </c>
      <c r="J20" s="939">
        <f>IF(E2="住宅",70,IF(E2="商业",40,50))</f>
        <v>50</v>
      </c>
      <c r="K20" s="1379"/>
      <c r="L20" s="2814" t="s">
        <v>2898</v>
      </c>
      <c r="M20" s="1738">
        <f>ROUND(SUMPRODUCT((地价!A5:A20=YEAR(G19)&amp;"-"&amp;ROUNDUP(MONTH(G19)/3,0))*(地价!B2:F2=E2)*(地价!B5:F20)),0)</f>
        <v>0</v>
      </c>
      <c r="N20" s="2815" t="s">
        <v>2899</v>
      </c>
      <c r="O20" s="2816" t="s">
        <v>2900</v>
      </c>
      <c r="P20" s="2817" t="s">
        <v>2901</v>
      </c>
      <c r="R20" s="1378"/>
      <c r="S20" s="1378"/>
      <c r="T20" s="1373"/>
      <c r="U20" s="1373"/>
      <c r="V20" s="1373"/>
      <c r="W20" s="1372"/>
      <c r="X20" s="1372"/>
      <c r="Y20" s="1372"/>
      <c r="Z20" s="1379"/>
      <c r="AA20" s="1380"/>
      <c r="AB20" s="1380"/>
      <c r="AC20" s="1380"/>
      <c r="AD20" s="1380"/>
      <c r="AE20" s="1380"/>
      <c r="AF20" s="1380"/>
    </row>
    <row r="21" spans="1:37" s="2745" customFormat="1" ht="15">
      <c r="A21" s="2818" t="s">
        <v>811</v>
      </c>
      <c r="B21" s="2819" t="s">
        <v>2902</v>
      </c>
      <c r="C21" s="940">
        <f>IF(B21="容积率修正",IF(G3&lt;=10,D22,J22),C23)</f>
        <v>0</v>
      </c>
      <c r="D21" s="2820"/>
      <c r="E21" s="2820"/>
      <c r="F21" s="2820"/>
      <c r="G21" s="2820"/>
      <c r="H21" s="2820"/>
      <c r="I21" s="2820"/>
      <c r="J21" s="2821"/>
      <c r="K21" s="1379"/>
      <c r="N21" s="2822" t="s">
        <v>2903</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5" customFormat="1" ht="14.25">
      <c r="A22" s="2671" t="s">
        <v>2904</v>
      </c>
      <c r="B22" s="2823" t="s">
        <v>2905</v>
      </c>
      <c r="C22" s="1813" t="s">
        <v>2906</v>
      </c>
      <c r="D22" s="1813">
        <f>IF(E22=G22,F22,IF(G3&lt;=10,ROUND(F22+(H22-F22)*(G3-E22)/(G22-E22),4),"——"))</f>
        <v>0</v>
      </c>
      <c r="E22" s="916">
        <f>ROUNDDOWN(G3,1)</f>
        <v>2.9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79"/>
      <c r="N22" s="2822" t="s">
        <v>2907</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71" t="s">
        <v>2908</v>
      </c>
      <c r="B23" s="2824" t="s">
        <v>2909</v>
      </c>
      <c r="C23" s="1016">
        <f>ROUND(IF(G3&gt;1,IF(I3&lt;7,SUMPRODUCT((B93:B98=I3)*(C92:N92=G2)*(C93:N98)),SUMIF(C92:N92,G2,C100:N100)),IF(I3&lt;7,SUMPRODUCT((B102:B107=I3)*(C92:N92=G2)*(C102:N107)),SUMIF(C92:N92,G2,C109:N109))),4)</f>
        <v>0</v>
      </c>
      <c r="D23" s="2780"/>
      <c r="E23" s="2780"/>
      <c r="F23" s="2825"/>
      <c r="G23" s="2826"/>
      <c r="H23" s="2827"/>
      <c r="I23" s="2828"/>
      <c r="J23" s="2829"/>
      <c r="K23" s="1372"/>
      <c r="N23" s="2822" t="s">
        <v>2910</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803"/>
    </row>
    <row r="24" spans="1:37" s="2745" customFormat="1" ht="15.75" thickBot="1">
      <c r="A24" s="2811" t="s">
        <v>812</v>
      </c>
      <c r="B24" s="2797" t="s">
        <v>2911</v>
      </c>
      <c r="C24" s="927">
        <f>SUMIF(A45:A88,E2,B45:B88)</f>
        <v>0</v>
      </c>
      <c r="D24" s="2800"/>
      <c r="E24" s="2830"/>
      <c r="F24" s="2830"/>
      <c r="G24" s="2830"/>
      <c r="H24" s="2830"/>
      <c r="I24" s="2830"/>
      <c r="J24" s="2831"/>
      <c r="K24" s="1379"/>
      <c r="N24" s="2832" t="s">
        <v>2912</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11" t="s">
        <v>813</v>
      </c>
      <c r="B25" s="2833" t="s">
        <v>2913</v>
      </c>
      <c r="C25" s="933"/>
      <c r="D25" s="2755"/>
      <c r="E25" s="2755"/>
      <c r="F25" s="2834"/>
      <c r="G25" s="2755"/>
      <c r="H25" s="2755"/>
      <c r="I25" s="2755"/>
      <c r="J25" s="2756"/>
      <c r="K25" s="1372"/>
      <c r="N25" s="2835" t="s">
        <v>2914</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6"/>
      <c r="B26" s="2823" t="s">
        <v>2915</v>
      </c>
      <c r="C26" s="206" t="e">
        <f>E29+SUM(E33:E39)</f>
        <v>#DIV/0!</v>
      </c>
      <c r="D26" s="2837"/>
      <c r="E26" s="2780"/>
      <c r="F26" s="2838"/>
      <c r="G26" s="2780"/>
      <c r="H26" s="2780"/>
      <c r="I26" s="2780"/>
      <c r="J26" s="2839"/>
      <c r="K26" s="1372"/>
      <c r="R26" s="1378"/>
      <c r="S26" s="1378"/>
      <c r="T26" s="1373"/>
      <c r="U26" s="1373"/>
      <c r="V26" s="1373"/>
      <c r="W26" s="1372"/>
      <c r="X26" s="1372"/>
      <c r="Y26" s="1372"/>
      <c r="Z26" s="1379"/>
      <c r="AA26" s="1380"/>
      <c r="AB26" s="1380"/>
      <c r="AC26" s="1380"/>
      <c r="AD26" s="1380"/>
    </row>
    <row r="27" spans="1:37" ht="15.75" thickBot="1">
      <c r="A27" s="2836"/>
      <c r="B27" s="2840" t="s">
        <v>2916</v>
      </c>
      <c r="C27" s="934" t="e">
        <f>E30+SUM(I33:I39)</f>
        <v>#DIV/0!</v>
      </c>
      <c r="D27" s="2841"/>
      <c r="E27" s="2842"/>
      <c r="F27" s="2843"/>
      <c r="G27" s="2842"/>
      <c r="H27" s="2842"/>
      <c r="I27" s="2842"/>
      <c r="J27" s="284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5"/>
      <c r="B28" s="2846" t="s">
        <v>2917</v>
      </c>
      <c r="C28" s="2847" t="s">
        <v>2918</v>
      </c>
      <c r="D28" s="2847" t="s">
        <v>2919</v>
      </c>
      <c r="E28" s="2848" t="s">
        <v>2920</v>
      </c>
      <c r="F28" s="2849"/>
      <c r="G28" s="2768"/>
      <c r="H28" s="2768"/>
      <c r="I28" s="2768"/>
      <c r="J28" s="276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50"/>
      <c r="B29" s="2851" t="s">
        <v>2921</v>
      </c>
      <c r="C29" s="206" t="e">
        <f>ROUND(C5*C18*C19*C20*C21*C24,0)</f>
        <v>#DIV/0!</v>
      </c>
      <c r="D29" s="2852"/>
      <c r="E29" s="945" t="e">
        <f>ROUND(C29*D29/10000,0)</f>
        <v>#DIV/0!</v>
      </c>
      <c r="F29" s="2853" t="s">
        <v>2922</v>
      </c>
      <c r="G29" s="2854"/>
      <c r="H29" s="2854"/>
      <c r="I29" s="2854"/>
      <c r="J29" s="2855"/>
      <c r="K29" s="1372"/>
      <c r="L29" s="1372"/>
      <c r="M29" s="1372"/>
      <c r="N29" s="1372"/>
      <c r="O29" s="1377"/>
      <c r="P29" s="1377"/>
      <c r="Q29" s="1378"/>
      <c r="R29" s="1378"/>
      <c r="S29" s="1378"/>
      <c r="T29" s="1373"/>
      <c r="U29" s="1373"/>
      <c r="V29" s="1373"/>
      <c r="W29" s="1372"/>
      <c r="X29" s="1372"/>
      <c r="Y29" s="1372"/>
      <c r="Z29" s="1379"/>
      <c r="AA29" s="1380"/>
      <c r="AB29" s="1380"/>
      <c r="AC29" s="1380"/>
      <c r="AD29" s="1380"/>
      <c r="AE29" s="2795"/>
      <c r="AF29" s="2795"/>
      <c r="AG29" s="2727"/>
      <c r="AH29" s="2727"/>
      <c r="AI29" s="2727"/>
      <c r="AJ29" s="2727"/>
    </row>
    <row r="30" spans="1:37" ht="25.5" thickBot="1">
      <c r="A30" s="2856"/>
      <c r="B30" s="2857" t="s">
        <v>2923</v>
      </c>
      <c r="C30" s="229" t="e">
        <f>ROUND(IF(E2="工业",C29*M39,C29*M38),0)</f>
        <v>#DIV/0!</v>
      </c>
      <c r="D30" s="2858"/>
      <c r="E30" s="945" t="e">
        <f>ROUND(C30*D30/10000,0)</f>
        <v>#DIV/0!</v>
      </c>
      <c r="F30" s="2859" t="s">
        <v>2924</v>
      </c>
      <c r="G30" s="2860"/>
      <c r="H30" s="2860"/>
      <c r="I30" s="2860"/>
      <c r="J30" s="2861"/>
      <c r="K30" s="1372"/>
      <c r="L30" s="1372"/>
      <c r="M30" s="1372"/>
      <c r="N30" s="1372"/>
      <c r="O30" s="1377"/>
      <c r="P30" s="1377"/>
      <c r="Q30" s="1378"/>
      <c r="R30" s="1378"/>
      <c r="S30" s="1378"/>
      <c r="T30" s="1373"/>
      <c r="U30" s="1373"/>
      <c r="V30" s="1373"/>
      <c r="W30" s="1372"/>
      <c r="X30" s="1372"/>
      <c r="Y30" s="1372"/>
      <c r="Z30" s="1379"/>
      <c r="AA30" s="1380"/>
      <c r="AB30" s="1380"/>
      <c r="AC30" s="1380"/>
      <c r="AD30" s="1380"/>
      <c r="AE30" s="2795"/>
      <c r="AF30" s="2795"/>
      <c r="AG30" s="2727"/>
      <c r="AH30" s="2727"/>
      <c r="AI30" s="2727"/>
      <c r="AJ30" s="2727"/>
    </row>
    <row r="31" spans="1:37" ht="14.25">
      <c r="A31" s="2862"/>
      <c r="B31" s="2863" t="s">
        <v>2925</v>
      </c>
      <c r="C31" s="2864" t="s">
        <v>2926</v>
      </c>
      <c r="D31" s="2768"/>
      <c r="E31" s="2864"/>
      <c r="F31" s="2864"/>
      <c r="G31" s="2766" t="s">
        <v>2927</v>
      </c>
      <c r="H31" s="2768"/>
      <c r="I31" s="2865"/>
      <c r="J31" s="2769"/>
      <c r="K31" s="1372"/>
      <c r="L31" s="1372"/>
      <c r="M31" s="1372"/>
      <c r="N31" s="1372"/>
      <c r="O31" s="1377"/>
      <c r="P31" s="1377"/>
      <c r="Q31" s="1378"/>
      <c r="R31" s="1378"/>
      <c r="S31" s="1378"/>
      <c r="T31" s="1373"/>
      <c r="U31" s="1373"/>
      <c r="V31" s="1373"/>
      <c r="W31" s="1372"/>
      <c r="X31" s="1372"/>
      <c r="Y31" s="1372"/>
      <c r="Z31" s="1379"/>
      <c r="AA31" s="1380"/>
      <c r="AB31" s="1380"/>
      <c r="AC31" s="1380"/>
      <c r="AD31" s="1380"/>
      <c r="AE31" s="2795"/>
      <c r="AF31" s="2795"/>
      <c r="AG31" s="2727"/>
      <c r="AH31" s="2727"/>
      <c r="AI31" s="2727"/>
      <c r="AJ31" s="2727"/>
    </row>
    <row r="32" spans="1:37" ht="24">
      <c r="A32" s="2850"/>
      <c r="B32" s="2866"/>
      <c r="C32" s="501" t="s">
        <v>2918</v>
      </c>
      <c r="D32" s="498" t="s">
        <v>2919</v>
      </c>
      <c r="E32" s="498" t="s">
        <v>2920</v>
      </c>
      <c r="F32" s="388" t="s">
        <v>2928</v>
      </c>
      <c r="G32" s="2867" t="s">
        <v>2918</v>
      </c>
      <c r="H32" s="2867" t="s">
        <v>2919</v>
      </c>
      <c r="I32" s="2867"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5"/>
      <c r="AF32" s="2795"/>
      <c r="AG32" s="2727"/>
      <c r="AH32" s="2727"/>
      <c r="AI32" s="2727"/>
      <c r="AJ32" s="2727"/>
    </row>
    <row r="33" spans="1:37" ht="36" customHeight="1">
      <c r="A33" s="3285" t="s">
        <v>2929</v>
      </c>
      <c r="B33" s="2868" t="s">
        <v>2930</v>
      </c>
      <c r="C33" s="206" t="e">
        <f>ROUND(D5*C19*C20*C24*F33,0)</f>
        <v>#DIV/0!</v>
      </c>
      <c r="D33" s="2852"/>
      <c r="E33" s="200" t="e">
        <f>ROUND(C33*D33/10000,0)</f>
        <v>#DIV/0!</v>
      </c>
      <c r="F33" s="200">
        <f>SUMIF(修正!A45:A56,G2,修正!B45:B56)</f>
        <v>0</v>
      </c>
      <c r="G33" s="200" t="e">
        <f t="shared" ref="G33:G39" si="6">ROUND(IF(E2="工业",C33*$M$39,C33*$M$38),0)</f>
        <v>#DIV/0!</v>
      </c>
      <c r="H33" s="200">
        <f>D33</f>
        <v>0</v>
      </c>
      <c r="I33" s="200" t="e">
        <f>ROUND(G33*H33/10000,0)</f>
        <v>#DIV/0!</v>
      </c>
      <c r="J33" s="286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6"/>
      <c r="B34" s="2772" t="s">
        <v>2931</v>
      </c>
      <c r="C34" s="206" t="e">
        <f>ROUND(D5*C19*C20*C24*F34,0)</f>
        <v>#DIV/0!</v>
      </c>
      <c r="D34" s="285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6"/>
      <c r="B35" s="2772" t="s">
        <v>2932</v>
      </c>
      <c r="C35" s="206" t="e">
        <f>ROUND(D5*C19*C20*C24*F35,0)</f>
        <v>#DIV/0!</v>
      </c>
      <c r="D35" s="2852"/>
      <c r="E35" s="200" t="e">
        <f t="shared" si="7"/>
        <v>#DIV/0!</v>
      </c>
      <c r="F35" s="200">
        <f>SUMIF(修正!A45:A56,G2,修正!D45:D56)</f>
        <v>0</v>
      </c>
      <c r="G35" s="200" t="e">
        <f t="shared" si="6"/>
        <v>#DIV/0!</v>
      </c>
      <c r="H35" s="200">
        <f t="shared" si="8"/>
        <v>0</v>
      </c>
      <c r="I35" s="200" t="e">
        <f t="shared" si="9"/>
        <v>#DIV/0!</v>
      </c>
      <c r="J35" s="2869"/>
      <c r="K35" s="1372"/>
      <c r="L35" s="1372"/>
      <c r="M35" s="1372"/>
      <c r="N35" s="1372"/>
      <c r="O35" s="1372"/>
      <c r="P35" s="1372"/>
      <c r="Q35" s="1372"/>
      <c r="R35" s="1372"/>
      <c r="S35" s="1372"/>
      <c r="T35" s="1372"/>
      <c r="U35" s="1372"/>
      <c r="V35" s="1372"/>
      <c r="W35" s="1372"/>
      <c r="X35" s="1372"/>
      <c r="Y35" s="1372"/>
      <c r="Z35" s="1373"/>
    </row>
    <row r="36" spans="1:37" ht="13.5" thickBot="1">
      <c r="A36" s="3287"/>
      <c r="B36" s="2772" t="s">
        <v>2933</v>
      </c>
      <c r="C36" s="206" t="e">
        <f>ROUND(D5*C19*C20*C24*F36,0)</f>
        <v>#DIV/0!</v>
      </c>
      <c r="D36" s="2852"/>
      <c r="E36" s="200" t="e">
        <f t="shared" si="7"/>
        <v>#DIV/0!</v>
      </c>
      <c r="F36" s="200">
        <f>SUMIF(修正!A45:A56,G2,修正!E45:E56)</f>
        <v>0</v>
      </c>
      <c r="G36" s="200" t="e">
        <f t="shared" si="6"/>
        <v>#DIV/0!</v>
      </c>
      <c r="H36" s="200">
        <f t="shared" si="8"/>
        <v>0</v>
      </c>
      <c r="I36" s="200" t="e">
        <f t="shared" si="9"/>
        <v>#DIV/0!</v>
      </c>
      <c r="J36" s="2869"/>
      <c r="K36" s="1372"/>
      <c r="L36" s="2726"/>
      <c r="M36" s="2726"/>
      <c r="N36" s="1372"/>
      <c r="O36" s="1372"/>
      <c r="P36" s="1372"/>
      <c r="Q36" s="1372"/>
      <c r="R36" s="1372"/>
      <c r="S36" s="1372"/>
      <c r="T36" s="1372"/>
      <c r="U36" s="1372"/>
      <c r="V36" s="1372"/>
      <c r="W36" s="1372"/>
      <c r="X36" s="1372"/>
      <c r="Y36" s="1372"/>
      <c r="Z36" s="1373"/>
    </row>
    <row r="37" spans="1:37">
      <c r="A37" s="2870"/>
      <c r="B37" s="2772" t="s">
        <v>2934</v>
      </c>
      <c r="C37" s="200" t="e">
        <f>ROUND(C5*C19*C20*C24*F37,0)</f>
        <v>#DIV/0!</v>
      </c>
      <c r="D37" s="2852"/>
      <c r="E37" s="200" t="e">
        <f t="shared" si="7"/>
        <v>#DIV/0!</v>
      </c>
      <c r="F37" s="206">
        <f>SUMIF(修正!A45:A56,G2,修正!F45:F56)</f>
        <v>0</v>
      </c>
      <c r="G37" s="200" t="e">
        <f t="shared" si="6"/>
        <v>#DIV/0!</v>
      </c>
      <c r="H37" s="200">
        <f t="shared" si="8"/>
        <v>0</v>
      </c>
      <c r="I37" s="200" t="e">
        <f t="shared" si="9"/>
        <v>#DIV/0!</v>
      </c>
      <c r="J37" s="2869"/>
      <c r="K37" s="1372"/>
      <c r="L37" s="2871" t="s">
        <v>2935</v>
      </c>
      <c r="M37" s="2872"/>
      <c r="N37" s="1372"/>
      <c r="O37" s="1372"/>
      <c r="P37" s="1372"/>
      <c r="Q37" s="1372"/>
      <c r="R37" s="1372"/>
      <c r="S37" s="1372"/>
      <c r="T37" s="1372"/>
      <c r="U37" s="1372"/>
      <c r="V37" s="1372"/>
      <c r="W37" s="1372"/>
      <c r="X37" s="1372"/>
      <c r="Y37" s="1372"/>
      <c r="Z37" s="1373"/>
    </row>
    <row r="38" spans="1:37">
      <c r="A38" s="2870"/>
      <c r="B38" s="2772" t="s">
        <v>2936</v>
      </c>
      <c r="C38" s="200" t="e">
        <f>ROUND(C5*C19*C20*C24*F38,0)</f>
        <v>#DIV/0!</v>
      </c>
      <c r="D38" s="2852"/>
      <c r="E38" s="200" t="e">
        <f t="shared" si="7"/>
        <v>#DIV/0!</v>
      </c>
      <c r="F38" s="206">
        <f>SUMIF(修正!A45:A56,G2,修正!G45:G56)</f>
        <v>0</v>
      </c>
      <c r="G38" s="200" t="e">
        <f t="shared" si="6"/>
        <v>#DIV/0!</v>
      </c>
      <c r="H38" s="200">
        <f t="shared" si="8"/>
        <v>0</v>
      </c>
      <c r="I38" s="200" t="e">
        <f t="shared" si="9"/>
        <v>#DIV/0!</v>
      </c>
      <c r="J38" s="2869"/>
      <c r="K38" s="1372"/>
      <c r="L38" s="1890" t="s">
        <v>2937</v>
      </c>
      <c r="M38" s="2873">
        <v>0.25</v>
      </c>
      <c r="N38" s="1372"/>
      <c r="O38" s="1372"/>
      <c r="P38" s="1372"/>
      <c r="Q38" s="1372"/>
      <c r="R38" s="1372"/>
      <c r="S38" s="1372"/>
      <c r="T38" s="1372"/>
      <c r="U38" s="1372"/>
      <c r="V38" s="1372"/>
      <c r="W38" s="1372"/>
      <c r="X38" s="1372"/>
      <c r="Y38" s="1372"/>
      <c r="Z38" s="1373"/>
    </row>
    <row r="39" spans="1:37" ht="13.5" thickBot="1">
      <c r="A39" s="2856"/>
      <c r="B39" s="2874" t="s">
        <v>2938</v>
      </c>
      <c r="C39" s="229" t="e">
        <f>ROUND(C5*C19*C20*C24*F39,0)</f>
        <v>#DIV/0!</v>
      </c>
      <c r="D39" s="2858"/>
      <c r="E39" s="229" t="e">
        <f t="shared" si="7"/>
        <v>#DIV/0!</v>
      </c>
      <c r="F39" s="935">
        <f>SUMIF(修正!A45:A56,G2,修正!H45:H56)</f>
        <v>0</v>
      </c>
      <c r="G39" s="229" t="e">
        <f t="shared" si="6"/>
        <v>#DIV/0!</v>
      </c>
      <c r="H39" s="229">
        <f t="shared" si="8"/>
        <v>0</v>
      </c>
      <c r="I39" s="229" t="e">
        <f t="shared" si="9"/>
        <v>#DIV/0!</v>
      </c>
      <c r="J39" s="2875"/>
      <c r="K39" s="1372"/>
      <c r="L39" s="2876" t="s">
        <v>2879</v>
      </c>
      <c r="M39" s="287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8"/>
      <c r="Z41" s="1373"/>
      <c r="AA41" s="1373"/>
      <c r="AB41" s="1373"/>
      <c r="AC41" s="1373"/>
      <c r="AD41" s="1373"/>
      <c r="AE41" s="1373"/>
      <c r="AF41" s="1373"/>
      <c r="AG41" s="1373"/>
      <c r="AH41" s="1373"/>
      <c r="AI41" s="1373"/>
      <c r="AJ41" s="1373"/>
    </row>
    <row r="42" spans="1:37" s="1372" customFormat="1">
      <c r="A42" s="1373"/>
      <c r="B42" s="2878"/>
      <c r="Z42" s="1373"/>
      <c r="AA42" s="1373"/>
      <c r="AB42" s="1373"/>
      <c r="AC42" s="1373"/>
      <c r="AD42" s="1373"/>
      <c r="AE42" s="1373"/>
      <c r="AF42" s="1373"/>
      <c r="AG42" s="1373"/>
      <c r="AH42" s="1373"/>
      <c r="AI42" s="1373"/>
      <c r="AJ42" s="1373"/>
    </row>
    <row r="43" spans="1:37" s="1372" customFormat="1">
      <c r="A43" s="1373"/>
      <c r="B43" s="2878"/>
      <c r="Z43" s="1373"/>
      <c r="AA43" s="1373"/>
      <c r="AB43" s="1373"/>
      <c r="AC43" s="1373"/>
      <c r="AD43" s="1373"/>
      <c r="AE43" s="1373"/>
      <c r="AF43" s="1373"/>
      <c r="AG43" s="1373"/>
      <c r="AH43" s="1373"/>
      <c r="AI43" s="1373"/>
      <c r="AJ43" s="1373"/>
    </row>
    <row r="44" spans="1:37" s="1372" customFormat="1">
      <c r="A44" s="1373"/>
      <c r="B44" s="2878"/>
      <c r="Z44" s="1373"/>
      <c r="AA44" s="1373"/>
      <c r="AB44" s="1373"/>
      <c r="AC44" s="1373"/>
      <c r="AD44" s="1373"/>
      <c r="AE44" s="1373"/>
      <c r="AF44" s="1373"/>
      <c r="AG44" s="1373"/>
      <c r="AH44" s="1373"/>
      <c r="AI44" s="1373"/>
      <c r="AJ44" s="1373"/>
    </row>
    <row r="45" spans="1:37" s="1372" customFormat="1" ht="15.75" thickBot="1">
      <c r="A45" s="2879" t="s">
        <v>2939</v>
      </c>
      <c r="B45" s="2880"/>
      <c r="C45" s="7"/>
      <c r="D45" s="7"/>
      <c r="E45" s="7"/>
      <c r="F45" s="6"/>
      <c r="G45" s="6"/>
      <c r="H45" s="6"/>
      <c r="I45" s="7"/>
      <c r="J45" s="7"/>
      <c r="K45" s="7"/>
      <c r="L45" s="7"/>
      <c r="M45" s="7"/>
      <c r="N45" s="2795"/>
      <c r="Z45" s="1373"/>
      <c r="AA45" s="1373"/>
      <c r="AB45" s="1373"/>
      <c r="AC45" s="1373"/>
      <c r="AD45" s="1373"/>
      <c r="AE45" s="1373"/>
      <c r="AF45" s="1373"/>
      <c r="AG45" s="1373"/>
      <c r="AH45" s="1373"/>
      <c r="AI45" s="1373"/>
      <c r="AJ45" s="1373"/>
    </row>
    <row r="46" spans="1:37" s="1372" customFormat="1" ht="15">
      <c r="A46" s="2881" t="s">
        <v>2940</v>
      </c>
      <c r="B46" s="2882">
        <f>1+E48</f>
        <v>1</v>
      </c>
      <c r="C46" s="2883"/>
      <c r="D46" s="814"/>
      <c r="E46" s="815"/>
      <c r="F46" s="2884"/>
      <c r="G46" s="6"/>
      <c r="H46" s="7"/>
      <c r="I46" s="7"/>
      <c r="J46" s="7"/>
      <c r="K46" s="7"/>
      <c r="L46" s="7"/>
      <c r="M46" s="7"/>
      <c r="N46" s="2795"/>
      <c r="Z46" s="1373"/>
      <c r="AA46" s="1373"/>
      <c r="AB46" s="1373"/>
      <c r="AC46" s="1373"/>
      <c r="AD46" s="1373"/>
      <c r="AE46" s="1373"/>
      <c r="AF46" s="1373"/>
      <c r="AG46" s="1373"/>
      <c r="AH46" s="1373"/>
      <c r="AI46" s="1373"/>
      <c r="AJ46" s="1373"/>
    </row>
    <row r="47" spans="1:37" s="1372" customFormat="1" ht="24.75">
      <c r="A47" s="2885" t="s">
        <v>2941</v>
      </c>
      <c r="B47" s="1812" t="s">
        <v>2942</v>
      </c>
      <c r="C47" s="1812" t="s">
        <v>2943</v>
      </c>
      <c r="D47" s="1812" t="s">
        <v>2944</v>
      </c>
      <c r="E47" s="819" t="s">
        <v>2945</v>
      </c>
      <c r="F47" s="2886" t="s">
        <v>2946</v>
      </c>
      <c r="G47" s="1812" t="s">
        <v>754</v>
      </c>
      <c r="H47" s="2887" t="s">
        <v>2947</v>
      </c>
      <c r="I47" s="1812" t="s">
        <v>2948</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24.75">
      <c r="A48" s="2885" t="s">
        <v>2949</v>
      </c>
      <c r="B48" s="2888">
        <f>估价对象房地状况!C4</f>
        <v>0</v>
      </c>
      <c r="C48" s="2777"/>
      <c r="D48" s="1288">
        <f t="shared" ref="D48:D56" si="10">SUMIF($J$47:$N$47,C48,J48:N48)</f>
        <v>0</v>
      </c>
      <c r="E48" s="821">
        <f>ROUND(SUM(D48:D56),4)</f>
        <v>0</v>
      </c>
      <c r="F48" s="2508"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5" t="s">
        <v>2950</v>
      </c>
      <c r="B49" s="2889">
        <f>估价对象房地状况!C18</f>
        <v>0</v>
      </c>
      <c r="C49" s="2777"/>
      <c r="D49" s="1288">
        <f t="shared" si="10"/>
        <v>0</v>
      </c>
      <c r="E49" s="822"/>
      <c r="F49" s="2508"/>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5" t="s">
        <v>2951</v>
      </c>
      <c r="B50" s="2889">
        <f>估价对象房地状况!C19</f>
        <v>0</v>
      </c>
      <c r="C50" s="2777"/>
      <c r="D50" s="1288">
        <f t="shared" si="10"/>
        <v>0</v>
      </c>
      <c r="E50" s="822"/>
      <c r="F50" s="2508"/>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5" t="s">
        <v>2952</v>
      </c>
      <c r="B51" s="2890" t="s">
        <v>2953</v>
      </c>
      <c r="C51" s="2777"/>
      <c r="D51" s="1288">
        <f t="shared" si="10"/>
        <v>0</v>
      </c>
      <c r="E51" s="822"/>
      <c r="F51" s="2508"/>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5" t="s">
        <v>2954</v>
      </c>
      <c r="B52" s="2889">
        <f>估价对象房地状况!C24</f>
        <v>0</v>
      </c>
      <c r="C52" s="2777"/>
      <c r="D52" s="1288">
        <f t="shared" si="10"/>
        <v>0</v>
      </c>
      <c r="E52" s="822"/>
      <c r="F52" s="2508"/>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5" t="s">
        <v>2955</v>
      </c>
      <c r="B53" s="2891" t="s">
        <v>2956</v>
      </c>
      <c r="C53" s="2777"/>
      <c r="D53" s="1288">
        <f t="shared" si="10"/>
        <v>0</v>
      </c>
      <c r="E53" s="822"/>
      <c r="F53" s="2508"/>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92" t="s">
        <v>2957</v>
      </c>
      <c r="B54" s="1728">
        <f>估价对象房地状况!C21</f>
        <v>0</v>
      </c>
      <c r="C54" s="2777"/>
      <c r="D54" s="1288">
        <f t="shared" si="10"/>
        <v>0</v>
      </c>
      <c r="E54" s="822"/>
      <c r="F54" s="2508"/>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92" t="s">
        <v>2958</v>
      </c>
      <c r="B55" s="2889">
        <f>估价对象房地状况!C22</f>
        <v>0</v>
      </c>
      <c r="C55" s="2777"/>
      <c r="D55" s="1288">
        <f t="shared" si="10"/>
        <v>0</v>
      </c>
      <c r="E55" s="822"/>
      <c r="F55" s="2508"/>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93" t="s">
        <v>2959</v>
      </c>
      <c r="B56" s="2894">
        <f>估价对象房地状况!C20</f>
        <v>0</v>
      </c>
      <c r="C56" s="2777"/>
      <c r="D56" s="1288">
        <f t="shared" si="10"/>
        <v>0</v>
      </c>
      <c r="E56" s="825"/>
      <c r="F56" s="2508"/>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1" t="s">
        <v>2960</v>
      </c>
      <c r="B57" s="2882">
        <f>1+E59</f>
        <v>1</v>
      </c>
      <c r="C57" s="814"/>
      <c r="D57" s="814"/>
      <c r="E57" s="815"/>
      <c r="F57" s="288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5" t="s">
        <v>2941</v>
      </c>
      <c r="B58" s="1812"/>
      <c r="C58" s="1812" t="s">
        <v>2943</v>
      </c>
      <c r="D58" s="1812" t="s">
        <v>2944</v>
      </c>
      <c r="E58" s="819" t="s">
        <v>2945</v>
      </c>
      <c r="F58" s="2886" t="s">
        <v>2961</v>
      </c>
      <c r="G58" s="1812" t="s">
        <v>754</v>
      </c>
      <c r="H58" s="2887" t="s">
        <v>2947</v>
      </c>
      <c r="I58" s="1812" t="s">
        <v>2948</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24">
      <c r="A59" s="2885" t="s">
        <v>2962</v>
      </c>
      <c r="B59" s="2888">
        <f>估价对象房地状况!C17</f>
        <v>0</v>
      </c>
      <c r="C59" s="2777"/>
      <c r="D59" s="1288">
        <f t="shared" ref="D59:D67" si="15">SUMIF($J$58:$N$58,C59,J59:N59)</f>
        <v>0</v>
      </c>
      <c r="E59" s="821">
        <f>ROUND(SUM(D59:D67),4)</f>
        <v>0</v>
      </c>
      <c r="F59" s="2508"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5" t="s">
        <v>2950</v>
      </c>
      <c r="B60" s="2889">
        <f>估价对象房地状况!C18</f>
        <v>0</v>
      </c>
      <c r="C60" s="2777"/>
      <c r="D60" s="1288">
        <f t="shared" si="15"/>
        <v>0</v>
      </c>
      <c r="E60" s="822"/>
      <c r="F60" s="2508"/>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5" t="s">
        <v>2951</v>
      </c>
      <c r="B61" s="2889">
        <f>估价对象房地状况!C19</f>
        <v>0</v>
      </c>
      <c r="C61" s="2777"/>
      <c r="D61" s="1288">
        <f t="shared" si="15"/>
        <v>0</v>
      </c>
      <c r="E61" s="822"/>
      <c r="F61" s="2508"/>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5" t="s">
        <v>2952</v>
      </c>
      <c r="B62" s="2890" t="s">
        <v>2953</v>
      </c>
      <c r="C62" s="2777"/>
      <c r="D62" s="1288">
        <f t="shared" si="15"/>
        <v>0</v>
      </c>
      <c r="E62" s="822"/>
      <c r="F62" s="2508"/>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5" t="s">
        <v>2954</v>
      </c>
      <c r="B63" s="2889">
        <f>估价对象房地状况!C24</f>
        <v>0</v>
      </c>
      <c r="C63" s="2777"/>
      <c r="D63" s="1288">
        <f t="shared" si="15"/>
        <v>0</v>
      </c>
      <c r="E63" s="822"/>
      <c r="F63" s="2508"/>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5" t="s">
        <v>2955</v>
      </c>
      <c r="B64" s="2891" t="s">
        <v>2956</v>
      </c>
      <c r="C64" s="2777"/>
      <c r="D64" s="1288">
        <f t="shared" si="15"/>
        <v>0</v>
      </c>
      <c r="E64" s="822"/>
      <c r="F64" s="2508"/>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5" t="s">
        <v>2957</v>
      </c>
      <c r="B65" s="1728">
        <f>估价对象房地状况!C21</f>
        <v>0</v>
      </c>
      <c r="C65" s="2777"/>
      <c r="D65" s="1288">
        <f t="shared" si="15"/>
        <v>0</v>
      </c>
      <c r="E65" s="822"/>
      <c r="F65" s="2508"/>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5" t="s">
        <v>2958</v>
      </c>
      <c r="B66" s="1728">
        <f>估价对象房地状况!C22</f>
        <v>0</v>
      </c>
      <c r="C66" s="2777"/>
      <c r="D66" s="1288">
        <f t="shared" si="15"/>
        <v>0</v>
      </c>
      <c r="E66" s="822"/>
      <c r="F66" s="2508"/>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93" t="s">
        <v>2959</v>
      </c>
      <c r="B67" s="2895">
        <f>估价对象房地状况!C20</f>
        <v>0</v>
      </c>
      <c r="C67" s="2777"/>
      <c r="D67" s="1288">
        <f t="shared" si="15"/>
        <v>0</v>
      </c>
      <c r="E67" s="825"/>
      <c r="F67" s="2508"/>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1" t="s">
        <v>2963</v>
      </c>
      <c r="B68" s="2882">
        <f>1+E70</f>
        <v>1</v>
      </c>
      <c r="C68" s="814"/>
      <c r="D68" s="814"/>
      <c r="E68" s="815"/>
      <c r="F68" s="288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5" t="s">
        <v>2941</v>
      </c>
      <c r="B69" s="1812"/>
      <c r="C69" s="1812" t="s">
        <v>2943</v>
      </c>
      <c r="D69" s="1812" t="s">
        <v>2944</v>
      </c>
      <c r="E69" s="819" t="s">
        <v>2945</v>
      </c>
      <c r="F69" s="2886" t="s">
        <v>2961</v>
      </c>
      <c r="G69" s="1812" t="s">
        <v>754</v>
      </c>
      <c r="H69" s="2887" t="s">
        <v>2947</v>
      </c>
      <c r="I69" s="1812" t="s">
        <v>2948</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24">
      <c r="A70" s="2885" t="s">
        <v>2964</v>
      </c>
      <c r="B70" s="2888">
        <f>估价对象房地状况!C15</f>
        <v>0</v>
      </c>
      <c r="C70" s="2777"/>
      <c r="D70" s="1288">
        <f t="shared" ref="D70:D78" si="20">SUMIF($J$69:$N$69,C70,J70:N70)</f>
        <v>0</v>
      </c>
      <c r="E70" s="821">
        <f>ROUND(SUM(D70:D78),4)</f>
        <v>0</v>
      </c>
      <c r="F70" s="2508"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5" t="s">
        <v>2950</v>
      </c>
      <c r="B71" s="2889">
        <f>估价对象房地状况!C18</f>
        <v>0</v>
      </c>
      <c r="C71" s="2777"/>
      <c r="D71" s="1288">
        <f t="shared" si="20"/>
        <v>0</v>
      </c>
      <c r="E71" s="826"/>
      <c r="F71" s="2508"/>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5" t="s">
        <v>2951</v>
      </c>
      <c r="B72" s="2889">
        <f>估价对象房地状况!C19</f>
        <v>0</v>
      </c>
      <c r="C72" s="2777"/>
      <c r="D72" s="1288">
        <f t="shared" si="20"/>
        <v>0</v>
      </c>
      <c r="E72" s="826"/>
      <c r="F72" s="2508"/>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5" t="s">
        <v>2965</v>
      </c>
      <c r="B73" s="2889">
        <f>估价对象房地状况!C24</f>
        <v>0</v>
      </c>
      <c r="C73" s="2777"/>
      <c r="D73" s="1288">
        <f t="shared" si="20"/>
        <v>0</v>
      </c>
      <c r="E73" s="826"/>
      <c r="F73" s="2508"/>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5" t="s">
        <v>2957</v>
      </c>
      <c r="B74" s="1728">
        <f>估价对象房地状况!C21</f>
        <v>0</v>
      </c>
      <c r="C74" s="2777"/>
      <c r="D74" s="1288">
        <f t="shared" si="20"/>
        <v>0</v>
      </c>
      <c r="E74" s="826"/>
      <c r="F74" s="2508"/>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5" t="s">
        <v>2958</v>
      </c>
      <c r="B75" s="1728">
        <f>估价对象房地状况!C22</f>
        <v>0</v>
      </c>
      <c r="C75" s="2777"/>
      <c r="D75" s="1288">
        <f t="shared" si="20"/>
        <v>0</v>
      </c>
      <c r="E75" s="826"/>
      <c r="F75" s="2508"/>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6" customFormat="1" ht="24">
      <c r="A76" s="2885" t="s">
        <v>2955</v>
      </c>
      <c r="B76" s="2891" t="s">
        <v>2956</v>
      </c>
      <c r="C76" s="2777"/>
      <c r="D76" s="1288">
        <f t="shared" si="20"/>
        <v>0</v>
      </c>
      <c r="E76" s="826"/>
      <c r="F76" s="2508"/>
      <c r="G76" s="1286"/>
      <c r="H76" s="1290" t="str">
        <f t="shared" si="21"/>
        <v>——</v>
      </c>
      <c r="I76" s="820">
        <v>0.05</v>
      </c>
      <c r="J76" s="1287">
        <f t="shared" si="22"/>
        <v>0</v>
      </c>
      <c r="K76" s="1287">
        <f t="shared" si="23"/>
        <v>0</v>
      </c>
      <c r="L76" s="1287">
        <v>0</v>
      </c>
      <c r="M76" s="1287">
        <f t="shared" si="24"/>
        <v>0</v>
      </c>
      <c r="N76" s="1287">
        <f t="shared" si="24"/>
        <v>0</v>
      </c>
      <c r="AA76" s="2896"/>
      <c r="AB76" s="1373"/>
      <c r="AC76" s="1373"/>
      <c r="AD76" s="1373"/>
      <c r="AE76" s="1373"/>
      <c r="AF76" s="1373"/>
      <c r="AG76" s="1373"/>
      <c r="AH76" s="2896"/>
      <c r="AI76" s="2896"/>
      <c r="AJ76" s="2896"/>
      <c r="AK76" s="2896"/>
    </row>
    <row r="77" spans="1:37" ht="24">
      <c r="A77" s="2885" t="s">
        <v>2959</v>
      </c>
      <c r="B77" s="2888">
        <f>估价对象房地状况!C20</f>
        <v>0</v>
      </c>
      <c r="C77" s="2777"/>
      <c r="D77" s="1288">
        <f t="shared" si="20"/>
        <v>0</v>
      </c>
      <c r="E77" s="826"/>
      <c r="F77" s="2508"/>
      <c r="G77" s="1286"/>
      <c r="H77" s="1290" t="str">
        <f t="shared" si="21"/>
        <v>——</v>
      </c>
      <c r="I77" s="820">
        <v>0.15</v>
      </c>
      <c r="J77" s="1287">
        <f t="shared" si="22"/>
        <v>0</v>
      </c>
      <c r="K77" s="1287">
        <f t="shared" si="23"/>
        <v>0</v>
      </c>
      <c r="L77" s="1287">
        <v>0</v>
      </c>
      <c r="M77" s="1287">
        <f t="shared" si="24"/>
        <v>0</v>
      </c>
      <c r="N77" s="1287">
        <f t="shared" si="24"/>
        <v>0</v>
      </c>
      <c r="Z77" s="2727"/>
      <c r="AA77" s="2803"/>
      <c r="AG77" s="1374"/>
      <c r="AK77" s="2803"/>
    </row>
    <row r="78" spans="1:37" ht="24.75" thickBot="1">
      <c r="A78" s="2893" t="s">
        <v>2966</v>
      </c>
      <c r="B78" s="2897"/>
      <c r="C78" s="2777"/>
      <c r="D78" s="1288">
        <f t="shared" si="20"/>
        <v>0</v>
      </c>
      <c r="E78" s="827"/>
      <c r="F78" s="2508"/>
      <c r="G78" s="1286"/>
      <c r="H78" s="1290" t="str">
        <f t="shared" si="21"/>
        <v>——</v>
      </c>
      <c r="I78" s="824">
        <v>0.04</v>
      </c>
      <c r="J78" s="1287">
        <f t="shared" si="22"/>
        <v>0</v>
      </c>
      <c r="K78" s="1287">
        <f t="shared" si="23"/>
        <v>0</v>
      </c>
      <c r="L78" s="1287">
        <v>0</v>
      </c>
      <c r="M78" s="1287">
        <f t="shared" si="24"/>
        <v>0</v>
      </c>
      <c r="N78" s="1287">
        <f t="shared" si="24"/>
        <v>0</v>
      </c>
      <c r="Z78" s="2727"/>
      <c r="AA78" s="2803"/>
      <c r="AG78" s="1374"/>
      <c r="AK78" s="2803"/>
    </row>
    <row r="79" spans="1:37" ht="15">
      <c r="A79" s="2881" t="s">
        <v>2967</v>
      </c>
      <c r="B79" s="2882">
        <f>1+E81</f>
        <v>1</v>
      </c>
      <c r="C79" s="814"/>
      <c r="D79" s="814"/>
      <c r="E79" s="815"/>
      <c r="F79" s="2884"/>
      <c r="G79" s="6"/>
      <c r="H79" s="6"/>
      <c r="I79" s="6"/>
      <c r="J79" s="7"/>
      <c r="K79" s="7"/>
      <c r="L79" s="7"/>
      <c r="M79" s="7"/>
      <c r="N79" s="7"/>
      <c r="Z79" s="2727"/>
      <c r="AA79" s="2803"/>
      <c r="AG79" s="1374"/>
      <c r="AK79" s="2803"/>
    </row>
    <row r="80" spans="1:37" ht="24.75">
      <c r="A80" s="2885" t="s">
        <v>2941</v>
      </c>
      <c r="B80" s="1812"/>
      <c r="C80" s="1812" t="s">
        <v>2943</v>
      </c>
      <c r="D80" s="1812" t="s">
        <v>2944</v>
      </c>
      <c r="E80" s="819" t="s">
        <v>2945</v>
      </c>
      <c r="F80" s="2886" t="s">
        <v>2961</v>
      </c>
      <c r="G80" s="1812" t="s">
        <v>754</v>
      </c>
      <c r="H80" s="2887" t="s">
        <v>2947</v>
      </c>
      <c r="I80" s="1812" t="s">
        <v>2948</v>
      </c>
      <c r="J80" s="603" t="s">
        <v>2595</v>
      </c>
      <c r="K80" s="603" t="s">
        <v>2596</v>
      </c>
      <c r="L80" s="603" t="s">
        <v>2597</v>
      </c>
      <c r="M80" s="603" t="s">
        <v>2598</v>
      </c>
      <c r="N80" s="603" t="s">
        <v>2599</v>
      </c>
      <c r="Z80" s="2727"/>
      <c r="AA80" s="2803"/>
      <c r="AG80" s="1374"/>
      <c r="AK80" s="2803"/>
    </row>
    <row r="81" spans="1:37" ht="24">
      <c r="A81" s="2885" t="s">
        <v>2968</v>
      </c>
      <c r="B81" s="2889">
        <f>估价对象房地状况!G15</f>
        <v>0</v>
      </c>
      <c r="C81" s="2777"/>
      <c r="D81" s="1288">
        <f t="shared" ref="D81:D88" si="25">SUMIF($J$80:$N$80,C81,J81:N81)</f>
        <v>0</v>
      </c>
      <c r="E81" s="821">
        <f>ROUND(SUM(D81:D88),4)</f>
        <v>0</v>
      </c>
      <c r="F81" s="2508"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7"/>
      <c r="AA81" s="2803"/>
      <c r="AG81" s="1374"/>
      <c r="AK81" s="2803"/>
    </row>
    <row r="82" spans="1:37" ht="14.25">
      <c r="A82" s="2885" t="s">
        <v>2950</v>
      </c>
      <c r="B82" s="2889">
        <f>估价对象房地状况!G16</f>
        <v>0</v>
      </c>
      <c r="C82" s="2777"/>
      <c r="D82" s="1288">
        <f t="shared" si="25"/>
        <v>0</v>
      </c>
      <c r="E82" s="826"/>
      <c r="F82" s="2508"/>
      <c r="G82" s="1286"/>
      <c r="H82" s="1290" t="str">
        <f t="shared" si="26"/>
        <v>——</v>
      </c>
      <c r="I82" s="820">
        <v>0.33</v>
      </c>
      <c r="J82" s="1287">
        <f t="shared" si="27"/>
        <v>0</v>
      </c>
      <c r="K82" s="1287">
        <f t="shared" si="28"/>
        <v>0</v>
      </c>
      <c r="L82" s="1287">
        <v>0</v>
      </c>
      <c r="M82" s="1287">
        <f t="shared" si="29"/>
        <v>0</v>
      </c>
      <c r="N82" s="1287">
        <f t="shared" si="29"/>
        <v>0</v>
      </c>
      <c r="Z82" s="2727"/>
      <c r="AA82" s="2803"/>
      <c r="AG82" s="1374"/>
      <c r="AK82" s="2803"/>
    </row>
    <row r="83" spans="1:37" ht="24">
      <c r="A83" s="2885" t="s">
        <v>2951</v>
      </c>
      <c r="B83" s="2889">
        <f>估价对象房地状况!G17</f>
        <v>0</v>
      </c>
      <c r="C83" s="2777"/>
      <c r="D83" s="1288">
        <f t="shared" si="25"/>
        <v>0</v>
      </c>
      <c r="E83" s="826"/>
      <c r="F83" s="2508"/>
      <c r="G83" s="1286"/>
      <c r="H83" s="1290" t="str">
        <f t="shared" si="26"/>
        <v>——</v>
      </c>
      <c r="I83" s="820">
        <v>0.05</v>
      </c>
      <c r="J83" s="1287">
        <f t="shared" si="27"/>
        <v>0</v>
      </c>
      <c r="K83" s="1287">
        <f t="shared" si="28"/>
        <v>0</v>
      </c>
      <c r="L83" s="1287">
        <v>0</v>
      </c>
      <c r="M83" s="1287">
        <f t="shared" si="29"/>
        <v>0</v>
      </c>
      <c r="N83" s="1287">
        <f t="shared" si="29"/>
        <v>0</v>
      </c>
      <c r="Z83" s="2727"/>
      <c r="AA83" s="2803"/>
      <c r="AG83" s="1374"/>
      <c r="AK83" s="2803"/>
    </row>
    <row r="84" spans="1:37" ht="14.25">
      <c r="A84" s="2885" t="s">
        <v>2965</v>
      </c>
      <c r="B84" s="2889">
        <f>估价对象房地状况!G22</f>
        <v>0</v>
      </c>
      <c r="C84" s="2777"/>
      <c r="D84" s="1288">
        <f t="shared" si="25"/>
        <v>0</v>
      </c>
      <c r="E84" s="826"/>
      <c r="F84" s="2508"/>
      <c r="G84" s="1286"/>
      <c r="H84" s="1290" t="str">
        <f t="shared" si="26"/>
        <v>——</v>
      </c>
      <c r="I84" s="820">
        <v>0.04</v>
      </c>
      <c r="J84" s="1287">
        <f t="shared" si="27"/>
        <v>0</v>
      </c>
      <c r="K84" s="1287">
        <f t="shared" si="28"/>
        <v>0</v>
      </c>
      <c r="L84" s="1287">
        <v>0</v>
      </c>
      <c r="M84" s="1287">
        <f t="shared" si="29"/>
        <v>0</v>
      </c>
      <c r="N84" s="1287">
        <f t="shared" si="29"/>
        <v>0</v>
      </c>
      <c r="Z84" s="2727"/>
      <c r="AA84" s="2803"/>
      <c r="AG84" s="1374"/>
      <c r="AK84" s="2803"/>
    </row>
    <row r="85" spans="1:37" ht="24">
      <c r="A85" s="2885" t="s">
        <v>2957</v>
      </c>
      <c r="B85" s="1728">
        <f>估价对象房地状况!G19</f>
        <v>0</v>
      </c>
      <c r="C85" s="2777"/>
      <c r="D85" s="1288">
        <f t="shared" si="25"/>
        <v>0</v>
      </c>
      <c r="E85" s="826"/>
      <c r="F85" s="2508"/>
      <c r="G85" s="1286"/>
      <c r="H85" s="1290" t="str">
        <f t="shared" si="26"/>
        <v>——</v>
      </c>
      <c r="I85" s="820">
        <v>0.06</v>
      </c>
      <c r="J85" s="1287">
        <f t="shared" si="27"/>
        <v>0</v>
      </c>
      <c r="K85" s="1287">
        <f t="shared" si="28"/>
        <v>0</v>
      </c>
      <c r="L85" s="1287">
        <v>0</v>
      </c>
      <c r="M85" s="1287">
        <f t="shared" si="29"/>
        <v>0</v>
      </c>
      <c r="N85" s="1287">
        <f t="shared" si="29"/>
        <v>0</v>
      </c>
      <c r="Z85" s="2727"/>
      <c r="AA85" s="2803"/>
      <c r="AG85" s="1374"/>
      <c r="AK85" s="2803"/>
    </row>
    <row r="86" spans="1:37" ht="24">
      <c r="A86" s="2885" t="s">
        <v>2958</v>
      </c>
      <c r="B86" s="1728">
        <f>估价对象房地状况!G20</f>
        <v>0</v>
      </c>
      <c r="C86" s="2777"/>
      <c r="D86" s="1288">
        <f t="shared" si="25"/>
        <v>0</v>
      </c>
      <c r="E86" s="826"/>
      <c r="F86" s="2508"/>
      <c r="G86" s="1286"/>
      <c r="H86" s="1290" t="str">
        <f t="shared" si="26"/>
        <v>——</v>
      </c>
      <c r="I86" s="820">
        <v>0.15</v>
      </c>
      <c r="J86" s="1287">
        <f t="shared" si="27"/>
        <v>0</v>
      </c>
      <c r="K86" s="1287">
        <f t="shared" si="28"/>
        <v>0</v>
      </c>
      <c r="L86" s="1287">
        <v>0</v>
      </c>
      <c r="M86" s="1287">
        <f t="shared" si="29"/>
        <v>0</v>
      </c>
      <c r="N86" s="1287">
        <f t="shared" si="29"/>
        <v>0</v>
      </c>
      <c r="Z86" s="2727"/>
      <c r="AA86" s="2803"/>
      <c r="AG86" s="1374"/>
      <c r="AK86" s="2803"/>
    </row>
    <row r="87" spans="1:37" ht="24">
      <c r="A87" s="2885" t="s">
        <v>2955</v>
      </c>
      <c r="B87" s="2891" t="s">
        <v>2969</v>
      </c>
      <c r="C87" s="2777"/>
      <c r="D87" s="1288">
        <f t="shared" si="25"/>
        <v>0</v>
      </c>
      <c r="E87" s="826"/>
      <c r="F87" s="2508"/>
      <c r="G87" s="1286"/>
      <c r="H87" s="1290" t="str">
        <f t="shared" si="26"/>
        <v>——</v>
      </c>
      <c r="I87" s="820">
        <v>0.05</v>
      </c>
      <c r="J87" s="1287">
        <f t="shared" si="27"/>
        <v>0</v>
      </c>
      <c r="K87" s="1287">
        <f t="shared" si="28"/>
        <v>0</v>
      </c>
      <c r="L87" s="1287">
        <v>0</v>
      </c>
      <c r="M87" s="1287">
        <f t="shared" si="29"/>
        <v>0</v>
      </c>
      <c r="N87" s="1287">
        <f t="shared" si="29"/>
        <v>0</v>
      </c>
      <c r="Z87" s="2727"/>
      <c r="AA87" s="2803"/>
      <c r="AG87" s="1374"/>
      <c r="AK87" s="2803"/>
    </row>
    <row r="88" spans="1:37" ht="15" thickBot="1">
      <c r="A88" s="2893" t="s">
        <v>2970</v>
      </c>
      <c r="B88" s="2898">
        <f>估价对象房地状况!G18</f>
        <v>0</v>
      </c>
      <c r="C88" s="2777"/>
      <c r="D88" s="1288">
        <f t="shared" si="25"/>
        <v>0</v>
      </c>
      <c r="E88" s="827"/>
      <c r="F88" s="2508"/>
      <c r="G88" s="1286"/>
      <c r="H88" s="1290" t="str">
        <f t="shared" si="26"/>
        <v>——</v>
      </c>
      <c r="I88" s="824">
        <v>0.06</v>
      </c>
      <c r="J88" s="1287">
        <f t="shared" si="27"/>
        <v>0</v>
      </c>
      <c r="K88" s="1287">
        <f t="shared" si="28"/>
        <v>0</v>
      </c>
      <c r="L88" s="1287">
        <v>0</v>
      </c>
      <c r="M88" s="1287">
        <f t="shared" si="29"/>
        <v>0</v>
      </c>
      <c r="N88" s="1287">
        <f t="shared" si="29"/>
        <v>0</v>
      </c>
      <c r="Z88" s="2727"/>
      <c r="AA88" s="2803"/>
      <c r="AG88" s="1374"/>
      <c r="AK88" s="2803"/>
    </row>
    <row r="90" spans="1:37">
      <c r="A90" s="3279" t="s">
        <v>2971</v>
      </c>
      <c r="B90" s="3279"/>
      <c r="C90" s="3279"/>
      <c r="D90" s="3279"/>
      <c r="E90" s="3279"/>
      <c r="F90" s="3279"/>
      <c r="G90" s="3279"/>
      <c r="H90" s="3279"/>
      <c r="I90" s="3279"/>
      <c r="J90" s="3279"/>
      <c r="K90" s="2899"/>
      <c r="L90" s="2899"/>
      <c r="M90" s="2899"/>
      <c r="N90" s="2899"/>
    </row>
    <row r="91" spans="1:37">
      <c r="A91" s="3281" t="s">
        <v>2972</v>
      </c>
      <c r="B91" s="3281" t="s">
        <v>2973</v>
      </c>
      <c r="C91" s="2853" t="s">
        <v>2974</v>
      </c>
      <c r="D91" s="2854"/>
      <c r="E91" s="2854"/>
      <c r="F91" s="2854"/>
      <c r="G91" s="2854"/>
      <c r="H91" s="2854"/>
      <c r="I91" s="2854"/>
      <c r="J91" s="2900"/>
      <c r="K91" s="2901"/>
      <c r="L91" s="2901"/>
      <c r="M91" s="2901"/>
      <c r="N91" s="2901"/>
    </row>
    <row r="92" spans="1:37">
      <c r="A92" s="3281"/>
      <c r="B92" s="3281"/>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82" t="s">
        <v>2975</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8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8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8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8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8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83"/>
      <c r="B99" s="2902" t="s">
        <v>2854</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84"/>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82" t="s">
        <v>2976</v>
      </c>
      <c r="B101" s="2906" t="s">
        <v>2977</v>
      </c>
      <c r="C101" s="2907">
        <f>$G$3</f>
        <v>2.91</v>
      </c>
      <c r="D101" s="2907">
        <f t="shared" ref="D101:N101" si="31">$G$3</f>
        <v>2.91</v>
      </c>
      <c r="E101" s="2907">
        <f t="shared" si="31"/>
        <v>2.91</v>
      </c>
      <c r="F101" s="2907">
        <f t="shared" si="31"/>
        <v>2.91</v>
      </c>
      <c r="G101" s="2907">
        <f t="shared" si="31"/>
        <v>2.91</v>
      </c>
      <c r="H101" s="2907">
        <f t="shared" si="31"/>
        <v>2.91</v>
      </c>
      <c r="I101" s="2907">
        <f t="shared" si="31"/>
        <v>2.91</v>
      </c>
      <c r="J101" s="2907">
        <f t="shared" si="31"/>
        <v>2.91</v>
      </c>
      <c r="K101" s="2907">
        <f t="shared" si="31"/>
        <v>2.91</v>
      </c>
      <c r="L101" s="2907">
        <f t="shared" si="31"/>
        <v>2.91</v>
      </c>
      <c r="M101" s="2907">
        <f t="shared" si="31"/>
        <v>2.91</v>
      </c>
      <c r="N101" s="2907">
        <f t="shared" si="31"/>
        <v>2.91</v>
      </c>
    </row>
    <row r="102" spans="1:14">
      <c r="A102" s="3283"/>
      <c r="B102" s="2902">
        <v>1</v>
      </c>
      <c r="C102" s="2903">
        <f>1.9362/C101</f>
        <v>0.66536082474226799</v>
      </c>
      <c r="D102" s="2903">
        <f>1.9362/D101</f>
        <v>0.66536082474226799</v>
      </c>
      <c r="E102" s="2903">
        <f>1.8629/E101</f>
        <v>0.64017182130584194</v>
      </c>
      <c r="F102" s="2903">
        <f>1.8629/F101</f>
        <v>0.64017182130584194</v>
      </c>
      <c r="G102" s="2903">
        <f>1.8629/G101</f>
        <v>0.64017182130584194</v>
      </c>
      <c r="H102" s="2903">
        <f>1.8629/H101</f>
        <v>0.64017182130584194</v>
      </c>
      <c r="I102" s="2903">
        <f>1.8629/I101</f>
        <v>0.64017182130584194</v>
      </c>
      <c r="J102" s="2903">
        <f>1.942/J101</f>
        <v>0.66735395189003432</v>
      </c>
      <c r="K102" s="2903">
        <f>1.942/K101</f>
        <v>0.66735395189003432</v>
      </c>
      <c r="L102" s="2903">
        <f>1.942/L101</f>
        <v>0.66735395189003432</v>
      </c>
      <c r="M102" s="2903">
        <f>1.942/M101</f>
        <v>0.66735395189003432</v>
      </c>
      <c r="N102" s="2903">
        <f>1.942/N101</f>
        <v>0.66735395189003432</v>
      </c>
    </row>
    <row r="103" spans="1:14">
      <c r="A103" s="3283"/>
      <c r="B103" s="2902">
        <v>2</v>
      </c>
      <c r="C103" s="2903">
        <f>1.4198/C101</f>
        <v>0.48790378006872848</v>
      </c>
      <c r="D103" s="2903">
        <f>1.4198/D101</f>
        <v>0.48790378006872848</v>
      </c>
      <c r="E103" s="2903">
        <f>1.3372/E101</f>
        <v>0.45951890034364257</v>
      </c>
      <c r="F103" s="2903">
        <f>1.3372/F101</f>
        <v>0.45951890034364257</v>
      </c>
      <c r="G103" s="2903">
        <f>1.3372/G101</f>
        <v>0.45951890034364257</v>
      </c>
      <c r="H103" s="2903">
        <f>1.3372/H101</f>
        <v>0.45951890034364257</v>
      </c>
      <c r="I103" s="2903">
        <f>1.3372/I101</f>
        <v>0.45951890034364257</v>
      </c>
      <c r="J103" s="2903">
        <f>1.2799/J101</f>
        <v>0.43982817869415808</v>
      </c>
      <c r="K103" s="2903">
        <f>1.2799/K101</f>
        <v>0.43982817869415808</v>
      </c>
      <c r="L103" s="2903">
        <f>1.2799/L101</f>
        <v>0.43982817869415808</v>
      </c>
      <c r="M103" s="2903">
        <f>1.2799/M101</f>
        <v>0.43982817869415808</v>
      </c>
      <c r="N103" s="2903">
        <f>1.2799/N101</f>
        <v>0.43982817869415808</v>
      </c>
    </row>
    <row r="104" spans="1:14">
      <c r="A104" s="3283"/>
      <c r="B104" s="2902">
        <v>3</v>
      </c>
      <c r="C104" s="2903">
        <f>1.1594/C101</f>
        <v>0.39841924398625428</v>
      </c>
      <c r="D104" s="2903">
        <f>1.1594/D101</f>
        <v>0.39841924398625428</v>
      </c>
      <c r="E104" s="2903">
        <f>1.0788/E101</f>
        <v>0.37072164948453606</v>
      </c>
      <c r="F104" s="2903">
        <f>1.0788/F101</f>
        <v>0.37072164948453606</v>
      </c>
      <c r="G104" s="2903">
        <f>1.0788/G101</f>
        <v>0.37072164948453606</v>
      </c>
      <c r="H104" s="2903">
        <f>1.0788/H101</f>
        <v>0.37072164948453606</v>
      </c>
      <c r="I104" s="2903">
        <f>1.0788/I101</f>
        <v>0.37072164948453606</v>
      </c>
      <c r="J104" s="2903">
        <f>1.0072/J101</f>
        <v>0.34611683848797253</v>
      </c>
      <c r="K104" s="2903">
        <f>1.0072/K101</f>
        <v>0.34611683848797253</v>
      </c>
      <c r="L104" s="2903">
        <f>1.0072/L101</f>
        <v>0.34611683848797253</v>
      </c>
      <c r="M104" s="2903">
        <f>1.0072/M101</f>
        <v>0.34611683848797253</v>
      </c>
      <c r="N104" s="2903">
        <f>1.0072/N101</f>
        <v>0.34611683848797253</v>
      </c>
    </row>
    <row r="105" spans="1:14">
      <c r="A105" s="3283"/>
      <c r="B105" s="2902">
        <v>4</v>
      </c>
      <c r="C105" s="2903">
        <f>0.9622/C101</f>
        <v>0.33065292096219934</v>
      </c>
      <c r="D105" s="2903">
        <f>0.9622/D101</f>
        <v>0.33065292096219934</v>
      </c>
      <c r="E105" s="2903">
        <f>0.8656/E101</f>
        <v>0.29745704467353951</v>
      </c>
      <c r="F105" s="2903">
        <f>0.8656/F101</f>
        <v>0.29745704467353951</v>
      </c>
      <c r="G105" s="2903">
        <f>0.8656/G101</f>
        <v>0.29745704467353951</v>
      </c>
      <c r="H105" s="2903">
        <f>0.8656/H101</f>
        <v>0.29745704467353951</v>
      </c>
      <c r="I105" s="2903">
        <f>0.8656/I101</f>
        <v>0.29745704467353951</v>
      </c>
      <c r="J105" s="2903">
        <f>0.7525/J101</f>
        <v>0.25859106529209619</v>
      </c>
      <c r="K105" s="2903">
        <f>0.7525/K101</f>
        <v>0.25859106529209619</v>
      </c>
      <c r="L105" s="2903">
        <f>0.7525/L101</f>
        <v>0.25859106529209619</v>
      </c>
      <c r="M105" s="2903">
        <f>0.7525/M101</f>
        <v>0.25859106529209619</v>
      </c>
      <c r="N105" s="2903">
        <f>0.7525/N101</f>
        <v>0.25859106529209619</v>
      </c>
    </row>
    <row r="106" spans="1:14">
      <c r="A106" s="3283"/>
      <c r="B106" s="2902">
        <v>5</v>
      </c>
      <c r="C106" s="2903">
        <f>0.8417/C101</f>
        <v>0.28924398625429554</v>
      </c>
      <c r="D106" s="2903">
        <f>0.8417/D101</f>
        <v>0.28924398625429554</v>
      </c>
      <c r="E106" s="2903">
        <f>0.7371/E101</f>
        <v>0.25329896907216493</v>
      </c>
      <c r="F106" s="2903">
        <f>0.7371/F101</f>
        <v>0.25329896907216493</v>
      </c>
      <c r="G106" s="2903">
        <f>0.7371/G101</f>
        <v>0.25329896907216493</v>
      </c>
      <c r="H106" s="2903">
        <f>0.7371/H101</f>
        <v>0.25329896907216493</v>
      </c>
      <c r="I106" s="2903">
        <f>0.7371/I101</f>
        <v>0.25329896907216493</v>
      </c>
      <c r="J106" s="2903">
        <f>0.5659/J101</f>
        <v>0.19446735395189002</v>
      </c>
      <c r="K106" s="2903">
        <f>0.5659/K101</f>
        <v>0.19446735395189002</v>
      </c>
      <c r="L106" s="2903">
        <f>0.5659/L101</f>
        <v>0.19446735395189002</v>
      </c>
      <c r="M106" s="2903">
        <f>0.5659/M101</f>
        <v>0.19446735395189002</v>
      </c>
      <c r="N106" s="2903">
        <f>0.5659/N101</f>
        <v>0.19446735395189002</v>
      </c>
    </row>
    <row r="107" spans="1:14">
      <c r="A107" s="3283"/>
      <c r="B107" s="2902">
        <v>6</v>
      </c>
      <c r="C107" s="2903">
        <f>0.7608/C101</f>
        <v>0.26144329896907215</v>
      </c>
      <c r="D107" s="2903">
        <f>0.7608/D101</f>
        <v>0.26144329896907215</v>
      </c>
      <c r="E107" s="2903">
        <f>0.6482/E101</f>
        <v>0.22274914089347078</v>
      </c>
      <c r="F107" s="2903">
        <f>0.6482/F101</f>
        <v>0.22274914089347078</v>
      </c>
      <c r="G107" s="2903">
        <f>0.6482/G101</f>
        <v>0.22274914089347078</v>
      </c>
      <c r="H107" s="2903">
        <f>0.6482/H101</f>
        <v>0.22274914089347078</v>
      </c>
      <c r="I107" s="2903">
        <f>0.6482/I101</f>
        <v>0.22274914089347078</v>
      </c>
      <c r="J107" s="2903">
        <f>0.4525/J101</f>
        <v>0.15549828178694158</v>
      </c>
      <c r="K107" s="2903">
        <f>0.4525/K101</f>
        <v>0.15549828178694158</v>
      </c>
      <c r="L107" s="2903">
        <f>0.4525/L101</f>
        <v>0.15549828178694158</v>
      </c>
      <c r="M107" s="2903">
        <f>0.4525/M101</f>
        <v>0.15549828178694158</v>
      </c>
      <c r="N107" s="2903">
        <f>0.4525/N101</f>
        <v>0.15549828178694158</v>
      </c>
    </row>
    <row r="108" spans="1:14">
      <c r="A108" s="3283"/>
      <c r="B108" s="3105" t="s">
        <v>2978</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84"/>
      <c r="B109" s="3106"/>
      <c r="C109" s="2905">
        <f>(-0.163*(C108^2)-0.59*C108+7617)*(10^(-4))/C101</f>
        <v>0.26175257731958762</v>
      </c>
      <c r="D109" s="2905">
        <f>(-0.163*(D108^2)-0.59*D108+7617)*(10^(-4))/D101</f>
        <v>0.26175257731958762</v>
      </c>
      <c r="E109" s="2905">
        <f>(-0.161*(E108^2)-7.509*E108+6533)*(10^(-4))/E101</f>
        <v>0.22450171821305839</v>
      </c>
      <c r="F109" s="2905">
        <f>(-0.161*(F108^2)-7.509*F108+6533)*(10^(-4))/F101</f>
        <v>0.22450171821305839</v>
      </c>
      <c r="G109" s="2905">
        <f>(-0.161*(G108^2)-7.509*G108+6533)*(10^(-4))/G101</f>
        <v>0.22450171821305839</v>
      </c>
      <c r="H109" s="2905">
        <f>(-0.161*(H108^2)-7.509*H108+6533)*(10^(-4))/H101</f>
        <v>0.22450171821305839</v>
      </c>
      <c r="I109" s="2905">
        <f>(-0.161*(I108^2)-7.509*I108+6533)*(10^(-4))/I101</f>
        <v>0.22450171821305839</v>
      </c>
      <c r="J109" s="2905">
        <f>(-0.214*(J108^2)-21.991*J108+4665)*(10^(-4))/J101</f>
        <v>0.16030927835051548</v>
      </c>
      <c r="K109" s="2905">
        <f>(-0.214*(K108^2)-21.991*K108+4665)*(10^(-4))/K101</f>
        <v>0.16030927835051548</v>
      </c>
      <c r="L109" s="2905">
        <f>(-0.214*(L108^2)-21.991*L108+4665)*(10^(-4))/L101</f>
        <v>0.16030927835051548</v>
      </c>
      <c r="M109" s="2905">
        <f>(-0.214*(M108^2)-21.991*M108+4665)*(10^(-4))/M101</f>
        <v>0.16030927835051548</v>
      </c>
      <c r="N109" s="2905">
        <f>(-0.214*(N108^2)-21.991*N108+4665)*(10^(-4))/N101</f>
        <v>0.16030927835051548</v>
      </c>
    </row>
    <row r="110" spans="1:14">
      <c r="A110" s="3280" t="s">
        <v>2979</v>
      </c>
      <c r="B110" s="3280"/>
      <c r="C110" s="3280"/>
      <c r="D110" s="3280"/>
      <c r="E110" s="3280"/>
      <c r="F110" s="3280"/>
      <c r="G110" s="3280"/>
      <c r="H110" s="3280"/>
      <c r="I110" s="3280"/>
      <c r="J110" s="3280"/>
      <c r="K110" s="2908"/>
      <c r="L110" s="2908"/>
      <c r="M110" s="2908"/>
      <c r="N110" s="2908"/>
    </row>
    <row r="112" spans="1:14" ht="13.5" thickBot="1"/>
    <row r="113" spans="1:13" ht="25.5" thickBot="1">
      <c r="A113" s="903" t="s">
        <v>2980</v>
      </c>
      <c r="B113" s="1289">
        <f>G3</f>
        <v>2.91</v>
      </c>
      <c r="C113" s="904" t="s">
        <v>2981</v>
      </c>
      <c r="D113" s="905">
        <f>SUMPRODUCT((A115:A118=F113)*(B114:M114=H113)*B115:M118)</f>
        <v>0</v>
      </c>
      <c r="E113" s="2731" t="s">
        <v>2811</v>
      </c>
      <c r="F113" s="2910">
        <f>E2</f>
        <v>0</v>
      </c>
      <c r="G113" s="2731" t="s">
        <v>2812</v>
      </c>
      <c r="H113" s="2910">
        <f>G2</f>
        <v>0</v>
      </c>
      <c r="I113" s="2731"/>
      <c r="J113" s="2911"/>
      <c r="K113" s="2911"/>
      <c r="L113" s="2911"/>
      <c r="M113" s="2911"/>
    </row>
    <row r="114" spans="1:13">
      <c r="A114" s="908"/>
      <c r="B114" s="2912" t="s">
        <v>2982</v>
      </c>
      <c r="C114" s="2912" t="s">
        <v>2983</v>
      </c>
      <c r="D114" s="2912" t="s">
        <v>2984</v>
      </c>
      <c r="E114" s="2913" t="s">
        <v>2985</v>
      </c>
      <c r="F114" s="2913" t="s">
        <v>2986</v>
      </c>
      <c r="G114" s="2913" t="s">
        <v>2987</v>
      </c>
      <c r="H114" s="2914" t="s">
        <v>2988</v>
      </c>
      <c r="I114" s="2914" t="s">
        <v>2989</v>
      </c>
      <c r="J114" s="2915" t="s">
        <v>2990</v>
      </c>
      <c r="K114" s="2915" t="s">
        <v>2991</v>
      </c>
      <c r="L114" s="2915" t="s">
        <v>2992</v>
      </c>
      <c r="M114" s="2916" t="s">
        <v>2993</v>
      </c>
    </row>
    <row r="115" spans="1:13">
      <c r="A115" s="909" t="s">
        <v>2876</v>
      </c>
      <c r="B115" s="910">
        <f>ROUND(0.9335-0.0094*B113,4)</f>
        <v>0.90610000000000002</v>
      </c>
      <c r="C115" s="910">
        <f>B115</f>
        <v>0.90610000000000002</v>
      </c>
      <c r="D115" s="910">
        <f>ROUND(0.8331-0.0109*B113,4)</f>
        <v>0.8014</v>
      </c>
      <c r="E115" s="910">
        <f>D115</f>
        <v>0.8014</v>
      </c>
      <c r="F115" s="910">
        <f>E115</f>
        <v>0.8014</v>
      </c>
      <c r="G115" s="910">
        <f>F115</f>
        <v>0.8014</v>
      </c>
      <c r="H115" s="910">
        <f>G115</f>
        <v>0.8014</v>
      </c>
      <c r="I115" s="910">
        <f>ROUND(0.689-0.0155*B113,4)</f>
        <v>0.64390000000000003</v>
      </c>
      <c r="J115" s="910">
        <f t="shared" ref="J115:M118" si="33">I115</f>
        <v>0.64390000000000003</v>
      </c>
      <c r="K115" s="910">
        <f t="shared" si="33"/>
        <v>0.64390000000000003</v>
      </c>
      <c r="L115" s="910">
        <f t="shared" si="33"/>
        <v>0.64390000000000003</v>
      </c>
      <c r="M115" s="911">
        <f t="shared" si="33"/>
        <v>0.64390000000000003</v>
      </c>
    </row>
    <row r="116" spans="1:13">
      <c r="A116" s="909" t="s">
        <v>2877</v>
      </c>
      <c r="B116" s="910">
        <f>ROUND(0.949-0.012*B113,4)</f>
        <v>0.91410000000000002</v>
      </c>
      <c r="C116" s="910">
        <f>B116</f>
        <v>0.91410000000000002</v>
      </c>
      <c r="D116" s="910">
        <f>ROUND(0.8567-0.013*B113,4)</f>
        <v>0.81889999999999996</v>
      </c>
      <c r="E116" s="910">
        <f t="shared" ref="E116:H117" si="34">D116</f>
        <v>0.81889999999999996</v>
      </c>
      <c r="F116" s="910">
        <f t="shared" si="34"/>
        <v>0.81889999999999996</v>
      </c>
      <c r="G116" s="910">
        <f t="shared" si="34"/>
        <v>0.81889999999999996</v>
      </c>
      <c r="H116" s="910">
        <f t="shared" si="34"/>
        <v>0.81889999999999996</v>
      </c>
      <c r="I116" s="910">
        <f>ROUND(0.7694-0.014*B113,4)</f>
        <v>0.72870000000000001</v>
      </c>
      <c r="J116" s="910">
        <f t="shared" si="33"/>
        <v>0.72870000000000001</v>
      </c>
      <c r="K116" s="910">
        <f t="shared" si="33"/>
        <v>0.72870000000000001</v>
      </c>
      <c r="L116" s="910">
        <f t="shared" si="33"/>
        <v>0.72870000000000001</v>
      </c>
      <c r="M116" s="911">
        <f t="shared" si="33"/>
        <v>0.72870000000000001</v>
      </c>
    </row>
    <row r="117" spans="1:13">
      <c r="A117" s="909" t="s">
        <v>2878</v>
      </c>
      <c r="B117" s="910">
        <f>ROUND(0.8808-0.006*B113,4)</f>
        <v>0.86329999999999996</v>
      </c>
      <c r="C117" s="910">
        <f>B117</f>
        <v>0.86329999999999996</v>
      </c>
      <c r="D117" s="910">
        <f>ROUND(0.8748-0.008*B113,4)</f>
        <v>0.85150000000000003</v>
      </c>
      <c r="E117" s="910">
        <f t="shared" si="34"/>
        <v>0.85150000000000003</v>
      </c>
      <c r="F117" s="910">
        <f t="shared" si="34"/>
        <v>0.85150000000000003</v>
      </c>
      <c r="G117" s="910">
        <f t="shared" si="34"/>
        <v>0.85150000000000003</v>
      </c>
      <c r="H117" s="910">
        <f t="shared" si="34"/>
        <v>0.85150000000000003</v>
      </c>
      <c r="I117" s="910">
        <f>ROUND(0.7412-0.0095*B113,4)</f>
        <v>0.71360000000000001</v>
      </c>
      <c r="J117" s="910">
        <f t="shared" si="33"/>
        <v>0.71360000000000001</v>
      </c>
      <c r="K117" s="910">
        <f t="shared" si="33"/>
        <v>0.71360000000000001</v>
      </c>
      <c r="L117" s="910">
        <f t="shared" si="33"/>
        <v>0.71360000000000001</v>
      </c>
      <c r="M117" s="911">
        <f t="shared" si="33"/>
        <v>0.71360000000000001</v>
      </c>
    </row>
    <row r="118" spans="1:13" ht="13.5" thickBot="1">
      <c r="A118" s="714" t="s">
        <v>2879</v>
      </c>
      <c r="B118" s="912">
        <f>ROUND(0.7275-0.01*B113,4)</f>
        <v>0.69840000000000002</v>
      </c>
      <c r="C118" s="912">
        <f>B118</f>
        <v>0.69840000000000002</v>
      </c>
      <c r="D118" s="912">
        <f>ROUND(0.7043-0.012*B113,4)</f>
        <v>0.6694</v>
      </c>
      <c r="E118" s="912">
        <f>D118</f>
        <v>0.6694</v>
      </c>
      <c r="F118" s="912">
        <f>E118</f>
        <v>0.6694</v>
      </c>
      <c r="G118" s="912">
        <f>ROUND(0.6299-0.0122*B113,4)</f>
        <v>0.59440000000000004</v>
      </c>
      <c r="H118" s="912">
        <f>G118</f>
        <v>0.59440000000000004</v>
      </c>
      <c r="I118" s="912">
        <f>ROUND(0.5667-0.0136*B113,4)</f>
        <v>0.52710000000000001</v>
      </c>
      <c r="J118" s="912">
        <f t="shared" si="33"/>
        <v>0.52710000000000001</v>
      </c>
      <c r="K118" s="912">
        <f t="shared" si="33"/>
        <v>0.52710000000000001</v>
      </c>
      <c r="L118" s="912">
        <f t="shared" si="33"/>
        <v>0.52710000000000001</v>
      </c>
      <c r="M118" s="913">
        <f t="shared" si="33"/>
        <v>0.52710000000000001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7" t="s">
        <v>183</v>
      </c>
      <c r="B18" s="882" t="s">
        <v>560</v>
      </c>
      <c r="C18" s="883" t="s">
        <v>561</v>
      </c>
      <c r="D18" s="884"/>
      <c r="E18" s="882">
        <v>1</v>
      </c>
      <c r="F18" s="885" t="s">
        <v>562</v>
      </c>
      <c r="G18" s="886"/>
      <c r="H18" s="878"/>
      <c r="I18" s="878"/>
    </row>
    <row r="19" spans="1:9" s="887" customFormat="1" ht="19.5" customHeight="1">
      <c r="A19" s="3297"/>
      <c r="B19" s="3297" t="s">
        <v>563</v>
      </c>
      <c r="C19" s="883" t="s">
        <v>564</v>
      </c>
      <c r="D19" s="884"/>
      <c r="E19" s="882">
        <v>0.9</v>
      </c>
      <c r="F19" s="885" t="s">
        <v>565</v>
      </c>
      <c r="G19" s="886"/>
      <c r="H19" s="878"/>
      <c r="I19" s="878"/>
    </row>
    <row r="20" spans="1:9" s="887" customFormat="1" ht="19.5" customHeight="1">
      <c r="A20" s="3297"/>
      <c r="B20" s="3297"/>
      <c r="C20" s="883" t="s">
        <v>566</v>
      </c>
      <c r="D20" s="884"/>
      <c r="E20" s="882">
        <v>1.1000000000000001</v>
      </c>
      <c r="F20" s="885" t="s">
        <v>567</v>
      </c>
      <c r="G20" s="886"/>
      <c r="H20" s="878"/>
      <c r="I20" s="878"/>
    </row>
    <row r="21" spans="1:9" s="887" customFormat="1" ht="19.5" customHeight="1">
      <c r="A21" s="3297"/>
      <c r="B21" s="3297"/>
      <c r="C21" s="883" t="s">
        <v>568</v>
      </c>
      <c r="D21" s="884"/>
      <c r="E21" s="882">
        <v>0.8</v>
      </c>
      <c r="F21" s="885" t="s">
        <v>569</v>
      </c>
      <c r="G21" s="886"/>
      <c r="H21" s="878"/>
      <c r="I21" s="878"/>
    </row>
    <row r="22" spans="1:9" s="887" customFormat="1" ht="19.5" customHeight="1">
      <c r="A22" s="3297"/>
      <c r="B22" s="3297"/>
      <c r="C22" s="883" t="s">
        <v>570</v>
      </c>
      <c r="D22" s="884"/>
      <c r="E22" s="882">
        <v>0.5</v>
      </c>
      <c r="F22" s="885"/>
      <c r="G22" s="886"/>
      <c r="H22" s="878"/>
      <c r="I22" s="878"/>
    </row>
    <row r="23" spans="1:9" s="887" customFormat="1" ht="19.5" customHeight="1">
      <c r="A23" s="3297" t="s">
        <v>184</v>
      </c>
      <c r="B23" s="882" t="s">
        <v>560</v>
      </c>
      <c r="C23" s="883" t="s">
        <v>571</v>
      </c>
      <c r="D23" s="884"/>
      <c r="E23" s="882">
        <v>1</v>
      </c>
      <c r="F23" s="885" t="s">
        <v>572</v>
      </c>
      <c r="G23" s="886"/>
      <c r="H23" s="878"/>
      <c r="I23" s="878"/>
    </row>
    <row r="24" spans="1:9" s="887" customFormat="1" ht="19.5" customHeight="1">
      <c r="A24" s="3297"/>
      <c r="B24" s="3297" t="s">
        <v>563</v>
      </c>
      <c r="C24" s="883" t="s">
        <v>573</v>
      </c>
      <c r="D24" s="884"/>
      <c r="E24" s="882">
        <v>0.5</v>
      </c>
      <c r="F24" s="885"/>
      <c r="G24" s="886"/>
      <c r="H24" s="878"/>
      <c r="I24" s="878"/>
    </row>
    <row r="25" spans="1:9" s="887" customFormat="1" ht="19.5" customHeight="1">
      <c r="A25" s="3297"/>
      <c r="B25" s="3297"/>
      <c r="C25" s="883" t="s">
        <v>574</v>
      </c>
      <c r="D25" s="884"/>
      <c r="E25" s="882">
        <v>1.1000000000000001</v>
      </c>
      <c r="F25" s="885"/>
      <c r="G25" s="886"/>
      <c r="H25" s="878"/>
      <c r="I25" s="878"/>
    </row>
    <row r="26" spans="1:9" s="887" customFormat="1" ht="19.5" customHeight="1">
      <c r="A26" s="3297"/>
      <c r="B26" s="3297"/>
      <c r="C26" s="883" t="s">
        <v>575</v>
      </c>
      <c r="D26" s="884"/>
      <c r="E26" s="882">
        <v>1.1000000000000001</v>
      </c>
      <c r="F26" s="885"/>
      <c r="G26" s="886"/>
      <c r="H26" s="878"/>
      <c r="I26" s="878"/>
    </row>
    <row r="27" spans="1:9" s="887" customFormat="1" ht="19.5" customHeight="1">
      <c r="A27" s="3297"/>
      <c r="B27" s="3297"/>
      <c r="C27" s="883" t="s">
        <v>576</v>
      </c>
      <c r="D27" s="884"/>
      <c r="E27" s="882">
        <v>0.9</v>
      </c>
      <c r="F27" s="885" t="s">
        <v>577</v>
      </c>
      <c r="G27" s="886"/>
      <c r="H27" s="878"/>
      <c r="I27" s="878"/>
    </row>
    <row r="28" spans="1:9" s="887" customFormat="1" ht="19.5" customHeight="1">
      <c r="A28" s="3297"/>
      <c r="B28" s="3297"/>
      <c r="C28" s="883" t="s">
        <v>578</v>
      </c>
      <c r="D28" s="884"/>
      <c r="E28" s="882">
        <v>0.9</v>
      </c>
      <c r="F28" s="885" t="s">
        <v>579</v>
      </c>
      <c r="G28" s="886"/>
      <c r="H28" s="878"/>
      <c r="I28" s="878"/>
    </row>
    <row r="29" spans="1:9" s="887" customFormat="1" ht="19.5" customHeight="1">
      <c r="A29" s="3297"/>
      <c r="B29" s="3297"/>
      <c r="C29" s="883" t="s">
        <v>580</v>
      </c>
      <c r="D29" s="884"/>
      <c r="E29" s="882">
        <v>0.9</v>
      </c>
      <c r="F29" s="885" t="s">
        <v>581</v>
      </c>
      <c r="G29" s="886"/>
      <c r="H29" s="878"/>
      <c r="I29" s="878"/>
    </row>
    <row r="30" spans="1:9" s="887" customFormat="1" ht="19.5" customHeight="1">
      <c r="A30" s="3297"/>
      <c r="B30" s="3297"/>
      <c r="C30" s="883" t="s">
        <v>582</v>
      </c>
      <c r="D30" s="884"/>
      <c r="E30" s="882">
        <v>0.9</v>
      </c>
      <c r="F30" s="885" t="s">
        <v>583</v>
      </c>
      <c r="G30" s="886"/>
      <c r="H30" s="878"/>
      <c r="I30" s="878"/>
    </row>
    <row r="31" spans="1:9" s="887" customFormat="1" ht="19.5" customHeight="1">
      <c r="A31" s="3297"/>
      <c r="B31" s="3297"/>
      <c r="C31" s="883" t="s">
        <v>584</v>
      </c>
      <c r="D31" s="884"/>
      <c r="E31" s="882">
        <v>0.8</v>
      </c>
      <c r="F31" s="885" t="s">
        <v>585</v>
      </c>
      <c r="G31" s="886"/>
      <c r="H31" s="878"/>
      <c r="I31" s="878"/>
    </row>
    <row r="32" spans="1:9" s="887" customFormat="1" ht="19.5" customHeight="1">
      <c r="A32" s="3297"/>
      <c r="B32" s="3297"/>
      <c r="C32" s="883" t="s">
        <v>586</v>
      </c>
      <c r="D32" s="884"/>
      <c r="E32" s="882">
        <v>0.8</v>
      </c>
      <c r="F32" s="885" t="s">
        <v>587</v>
      </c>
      <c r="G32" s="886"/>
      <c r="H32" s="878"/>
      <c r="I32" s="878"/>
    </row>
    <row r="33" spans="1:9" s="887" customFormat="1" ht="19.5" customHeight="1">
      <c r="A33" s="3297" t="s">
        <v>185</v>
      </c>
      <c r="B33" s="882" t="s">
        <v>560</v>
      </c>
      <c r="C33" s="883" t="s">
        <v>588</v>
      </c>
      <c r="D33" s="884"/>
      <c r="E33" s="882">
        <v>1</v>
      </c>
      <c r="F33" s="885" t="s">
        <v>589</v>
      </c>
      <c r="G33" s="886"/>
      <c r="H33" s="878"/>
      <c r="I33" s="878"/>
    </row>
    <row r="34" spans="1:9" s="887" customFormat="1" ht="19.5" customHeight="1">
      <c r="A34" s="3297"/>
      <c r="B34" s="882" t="s">
        <v>563</v>
      </c>
      <c r="C34" s="883" t="s">
        <v>590</v>
      </c>
      <c r="D34" s="884"/>
      <c r="E34" s="882">
        <v>1.5</v>
      </c>
      <c r="F34" s="885" t="s">
        <v>591</v>
      </c>
      <c r="G34" s="886"/>
      <c r="H34" s="878"/>
      <c r="I34" s="878"/>
    </row>
    <row r="35" spans="1:9" s="887" customFormat="1" ht="19.5" customHeight="1">
      <c r="A35" s="3297" t="s">
        <v>186</v>
      </c>
      <c r="B35" s="882" t="s">
        <v>560</v>
      </c>
      <c r="C35" s="883" t="s">
        <v>592</v>
      </c>
      <c r="D35" s="884"/>
      <c r="E35" s="882">
        <v>1</v>
      </c>
      <c r="F35" s="885" t="s">
        <v>593</v>
      </c>
      <c r="G35" s="886"/>
      <c r="H35" s="878"/>
      <c r="I35" s="878"/>
    </row>
    <row r="36" spans="1:9" s="887" customFormat="1" ht="19.5" customHeight="1">
      <c r="A36" s="3297"/>
      <c r="B36" s="3297" t="s">
        <v>563</v>
      </c>
      <c r="C36" s="883" t="s">
        <v>594</v>
      </c>
      <c r="D36" s="884"/>
      <c r="E36" s="882">
        <v>1</v>
      </c>
      <c r="F36" s="885" t="s">
        <v>595</v>
      </c>
      <c r="G36" s="886"/>
      <c r="H36" s="878"/>
      <c r="I36" s="878"/>
    </row>
    <row r="37" spans="1:9" s="887" customFormat="1" ht="19.5" customHeight="1">
      <c r="A37" s="3297"/>
      <c r="B37" s="3297"/>
      <c r="C37" s="883" t="s">
        <v>596</v>
      </c>
      <c r="D37" s="884"/>
      <c r="E37" s="882">
        <v>1.5</v>
      </c>
      <c r="F37" s="885" t="s">
        <v>597</v>
      </c>
      <c r="G37" s="886"/>
      <c r="H37" s="878"/>
      <c r="I37" s="878"/>
    </row>
    <row r="38" spans="1:9" s="887" customFormat="1" ht="19.5" customHeight="1">
      <c r="A38" s="3297"/>
      <c r="B38" s="3297"/>
      <c r="C38" s="883" t="s">
        <v>598</v>
      </c>
      <c r="D38" s="884"/>
      <c r="E38" s="882">
        <v>1</v>
      </c>
      <c r="F38" s="885" t="s">
        <v>599</v>
      </c>
      <c r="G38" s="886"/>
      <c r="H38" s="878"/>
      <c r="I38" s="878"/>
    </row>
    <row r="39" spans="1:9" s="887" customFormat="1" ht="19.5" customHeight="1">
      <c r="A39" s="3297"/>
      <c r="B39" s="329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7" t="s">
        <v>614</v>
      </c>
      <c r="C61" s="818" t="s">
        <v>615</v>
      </c>
      <c r="D61" s="818" t="s">
        <v>616</v>
      </c>
      <c r="E61" s="895">
        <v>0.5</v>
      </c>
      <c r="F61" s="882">
        <v>80</v>
      </c>
    </row>
    <row r="62" spans="1:8" s="878" customFormat="1" ht="24">
      <c r="A62" s="882">
        <v>2</v>
      </c>
      <c r="B62" s="3297"/>
      <c r="C62" s="818" t="s">
        <v>617</v>
      </c>
      <c r="D62" s="818" t="s">
        <v>618</v>
      </c>
      <c r="E62" s="895">
        <v>0.5</v>
      </c>
      <c r="F62" s="882">
        <v>80</v>
      </c>
    </row>
    <row r="63" spans="1:8" s="878" customFormat="1" ht="36">
      <c r="A63" s="882">
        <v>3</v>
      </c>
      <c r="B63" s="3297"/>
      <c r="C63" s="818" t="s">
        <v>619</v>
      </c>
      <c r="D63" s="818" t="s">
        <v>620</v>
      </c>
      <c r="E63" s="895">
        <v>0.5</v>
      </c>
      <c r="F63" s="882">
        <v>80</v>
      </c>
    </row>
    <row r="64" spans="1:8" s="878" customFormat="1" ht="36">
      <c r="A64" s="882">
        <v>4</v>
      </c>
      <c r="B64" s="3297"/>
      <c r="C64" s="818" t="s">
        <v>621</v>
      </c>
      <c r="D64" s="818" t="s">
        <v>622</v>
      </c>
      <c r="E64" s="895">
        <v>0.4</v>
      </c>
      <c r="F64" s="882">
        <v>60</v>
      </c>
    </row>
    <row r="65" spans="1:6" s="878" customFormat="1" ht="36">
      <c r="A65" s="882">
        <v>5</v>
      </c>
      <c r="B65" s="3297"/>
      <c r="C65" s="818" t="s">
        <v>623</v>
      </c>
      <c r="D65" s="818" t="s">
        <v>624</v>
      </c>
      <c r="E65" s="895">
        <v>0.2</v>
      </c>
      <c r="F65" s="882">
        <v>30</v>
      </c>
    </row>
    <row r="66" spans="1:6" s="878" customFormat="1" ht="36">
      <c r="A66" s="882">
        <v>6</v>
      </c>
      <c r="B66" s="3297"/>
      <c r="C66" s="818" t="s">
        <v>625</v>
      </c>
      <c r="D66" s="818" t="s">
        <v>626</v>
      </c>
      <c r="E66" s="895">
        <v>0.3</v>
      </c>
      <c r="F66" s="882">
        <v>50</v>
      </c>
    </row>
    <row r="67" spans="1:6" s="878" customFormat="1" ht="36">
      <c r="A67" s="882">
        <v>7</v>
      </c>
      <c r="B67" s="3297"/>
      <c r="C67" s="818" t="s">
        <v>627</v>
      </c>
      <c r="D67" s="818" t="s">
        <v>628</v>
      </c>
      <c r="E67" s="895">
        <v>0.2</v>
      </c>
      <c r="F67" s="882">
        <v>30</v>
      </c>
    </row>
    <row r="68" spans="1:6" s="878" customFormat="1" ht="36">
      <c r="A68" s="882">
        <v>8</v>
      </c>
      <c r="B68" s="3297"/>
      <c r="C68" s="818" t="s">
        <v>629</v>
      </c>
      <c r="D68" s="818" t="s">
        <v>630</v>
      </c>
      <c r="E68" s="895">
        <v>0.2</v>
      </c>
      <c r="F68" s="882">
        <v>30</v>
      </c>
    </row>
    <row r="69" spans="1:6" s="878" customFormat="1" ht="36">
      <c r="A69" s="882">
        <v>9</v>
      </c>
      <c r="B69" s="3297"/>
      <c r="C69" s="818" t="s">
        <v>631</v>
      </c>
      <c r="D69" s="818" t="s">
        <v>632</v>
      </c>
      <c r="E69" s="895">
        <v>0.2</v>
      </c>
      <c r="F69" s="882">
        <v>30</v>
      </c>
    </row>
    <row r="70" spans="1:6" s="878" customFormat="1" ht="48">
      <c r="A70" s="882">
        <v>10</v>
      </c>
      <c r="B70" s="3297"/>
      <c r="C70" s="818" t="s">
        <v>633</v>
      </c>
      <c r="D70" s="818" t="s">
        <v>634</v>
      </c>
      <c r="E70" s="895">
        <v>0.2</v>
      </c>
      <c r="F70" s="882">
        <v>30</v>
      </c>
    </row>
    <row r="71" spans="1:6" s="878" customFormat="1" ht="48">
      <c r="A71" s="882">
        <v>11</v>
      </c>
      <c r="B71" s="3297"/>
      <c r="C71" s="818" t="s">
        <v>635</v>
      </c>
      <c r="D71" s="818" t="s">
        <v>636</v>
      </c>
      <c r="E71" s="895">
        <v>0.2</v>
      </c>
      <c r="F71" s="882">
        <v>30</v>
      </c>
    </row>
    <row r="72" spans="1:6" s="878" customFormat="1" ht="36">
      <c r="A72" s="882">
        <v>12</v>
      </c>
      <c r="B72" s="3297"/>
      <c r="C72" s="818" t="s">
        <v>637</v>
      </c>
      <c r="D72" s="818" t="s">
        <v>638</v>
      </c>
      <c r="E72" s="895">
        <v>0.5</v>
      </c>
      <c r="F72" s="882">
        <v>80</v>
      </c>
    </row>
    <row r="73" spans="1:6" s="878" customFormat="1" ht="24">
      <c r="A73" s="882">
        <v>13</v>
      </c>
      <c r="B73" s="3297"/>
      <c r="C73" s="818" t="s">
        <v>639</v>
      </c>
      <c r="D73" s="818" t="s">
        <v>640</v>
      </c>
      <c r="E73" s="895">
        <v>0.4</v>
      </c>
      <c r="F73" s="882">
        <v>60</v>
      </c>
    </row>
    <row r="74" spans="1:6" s="878" customFormat="1" ht="24">
      <c r="A74" s="882">
        <v>14</v>
      </c>
      <c r="B74" s="3297"/>
      <c r="C74" s="818" t="s">
        <v>641</v>
      </c>
      <c r="D74" s="818" t="s">
        <v>642</v>
      </c>
      <c r="E74" s="895">
        <v>0.2</v>
      </c>
      <c r="F74" s="882">
        <v>30</v>
      </c>
    </row>
    <row r="75" spans="1:6" s="878" customFormat="1" ht="24">
      <c r="A75" s="882">
        <v>15</v>
      </c>
      <c r="B75" s="3297"/>
      <c r="C75" s="818" t="s">
        <v>643</v>
      </c>
      <c r="D75" s="818" t="s">
        <v>644</v>
      </c>
      <c r="E75" s="895">
        <v>0.2</v>
      </c>
      <c r="F75" s="882">
        <v>30</v>
      </c>
    </row>
    <row r="76" spans="1:6" s="878" customFormat="1" ht="24">
      <c r="A76" s="882">
        <v>16</v>
      </c>
      <c r="B76" s="3297" t="s">
        <v>645</v>
      </c>
      <c r="C76" s="818" t="s">
        <v>646</v>
      </c>
      <c r="D76" s="818" t="s">
        <v>647</v>
      </c>
      <c r="E76" s="895">
        <v>0.5</v>
      </c>
      <c r="F76" s="882">
        <v>80</v>
      </c>
    </row>
    <row r="77" spans="1:6" s="878" customFormat="1" ht="24">
      <c r="A77" s="882">
        <v>17</v>
      </c>
      <c r="B77" s="3297"/>
      <c r="C77" s="818" t="s">
        <v>648</v>
      </c>
      <c r="D77" s="818" t="s">
        <v>649</v>
      </c>
      <c r="E77" s="895">
        <v>0.5</v>
      </c>
      <c r="F77" s="882">
        <v>80</v>
      </c>
    </row>
    <row r="78" spans="1:6" s="878" customFormat="1" ht="24">
      <c r="A78" s="882">
        <v>18</v>
      </c>
      <c r="B78" s="3297"/>
      <c r="C78" s="818" t="s">
        <v>650</v>
      </c>
      <c r="D78" s="818" t="s">
        <v>651</v>
      </c>
      <c r="E78" s="895">
        <v>0.2</v>
      </c>
      <c r="F78" s="882">
        <v>30</v>
      </c>
    </row>
    <row r="79" spans="1:6" s="878" customFormat="1" ht="24">
      <c r="A79" s="882">
        <v>19</v>
      </c>
      <c r="B79" s="3297"/>
      <c r="C79" s="818" t="s">
        <v>652</v>
      </c>
      <c r="D79" s="818" t="s">
        <v>653</v>
      </c>
      <c r="E79" s="895">
        <v>0.5</v>
      </c>
      <c r="F79" s="882">
        <v>80</v>
      </c>
    </row>
    <row r="80" spans="1:6" s="878" customFormat="1" ht="36">
      <c r="A80" s="882">
        <v>20</v>
      </c>
      <c r="B80" s="3297"/>
      <c r="C80" s="818" t="s">
        <v>654</v>
      </c>
      <c r="D80" s="818" t="s">
        <v>655</v>
      </c>
      <c r="E80" s="895">
        <v>0.2</v>
      </c>
      <c r="F80" s="882">
        <v>30</v>
      </c>
    </row>
    <row r="81" spans="1:6" s="878" customFormat="1" ht="36">
      <c r="A81" s="882">
        <v>21</v>
      </c>
      <c r="B81" s="3297"/>
      <c r="C81" s="818" t="s">
        <v>656</v>
      </c>
      <c r="D81" s="818" t="s">
        <v>657</v>
      </c>
      <c r="E81" s="895">
        <v>0.2</v>
      </c>
      <c r="F81" s="882">
        <v>30</v>
      </c>
    </row>
    <row r="82" spans="1:6" s="878" customFormat="1" ht="48">
      <c r="A82" s="882">
        <v>22</v>
      </c>
      <c r="B82" s="3297"/>
      <c r="C82" s="818" t="s">
        <v>658</v>
      </c>
      <c r="D82" s="818" t="s">
        <v>659</v>
      </c>
      <c r="E82" s="895">
        <v>0.2</v>
      </c>
      <c r="F82" s="882">
        <v>30</v>
      </c>
    </row>
    <row r="83" spans="1:6" s="878" customFormat="1" ht="48">
      <c r="A83" s="882">
        <v>23</v>
      </c>
      <c r="B83" s="3297"/>
      <c r="C83" s="818" t="s">
        <v>660</v>
      </c>
      <c r="D83" s="818" t="s">
        <v>661</v>
      </c>
      <c r="E83" s="895">
        <v>0.2</v>
      </c>
      <c r="F83" s="882">
        <v>30</v>
      </c>
    </row>
    <row r="84" spans="1:6" s="878" customFormat="1" ht="36">
      <c r="A84" s="882">
        <v>24</v>
      </c>
      <c r="B84" s="3297"/>
      <c r="C84" s="818" t="s">
        <v>662</v>
      </c>
      <c r="D84" s="818" t="s">
        <v>663</v>
      </c>
      <c r="E84" s="895">
        <v>0.2</v>
      </c>
      <c r="F84" s="882">
        <v>30</v>
      </c>
    </row>
    <row r="85" spans="1:6" s="878" customFormat="1" ht="36">
      <c r="A85" s="882">
        <v>25</v>
      </c>
      <c r="B85" s="3297"/>
      <c r="C85" s="818" t="s">
        <v>664</v>
      </c>
      <c r="D85" s="818" t="s">
        <v>665</v>
      </c>
      <c r="E85" s="895">
        <v>0.5</v>
      </c>
      <c r="F85" s="882">
        <v>80</v>
      </c>
    </row>
    <row r="86" spans="1:6" s="878" customFormat="1" ht="36">
      <c r="A86" s="882">
        <v>26</v>
      </c>
      <c r="B86" s="3297"/>
      <c r="C86" s="818" t="s">
        <v>666</v>
      </c>
      <c r="D86" s="818" t="s">
        <v>667</v>
      </c>
      <c r="E86" s="895">
        <v>0.2</v>
      </c>
      <c r="F86" s="882">
        <v>30</v>
      </c>
    </row>
    <row r="87" spans="1:6" s="878" customFormat="1" ht="36">
      <c r="A87" s="882">
        <v>27</v>
      </c>
      <c r="B87" s="3297"/>
      <c r="C87" s="818" t="s">
        <v>668</v>
      </c>
      <c r="D87" s="818" t="s">
        <v>669</v>
      </c>
      <c r="E87" s="895">
        <v>0.2</v>
      </c>
      <c r="F87" s="882">
        <v>30</v>
      </c>
    </row>
    <row r="88" spans="1:6" s="878" customFormat="1" ht="36">
      <c r="A88" s="882">
        <v>28</v>
      </c>
      <c r="B88" s="3297"/>
      <c r="C88" s="818" t="s">
        <v>670</v>
      </c>
      <c r="D88" s="818" t="s">
        <v>671</v>
      </c>
      <c r="E88" s="895">
        <v>0.2</v>
      </c>
      <c r="F88" s="882">
        <v>30</v>
      </c>
    </row>
    <row r="89" spans="1:6" s="878" customFormat="1" ht="24">
      <c r="A89" s="882">
        <v>29</v>
      </c>
      <c r="B89" s="3297"/>
      <c r="C89" s="818" t="s">
        <v>672</v>
      </c>
      <c r="D89" s="818" t="s">
        <v>673</v>
      </c>
      <c r="E89" s="895">
        <v>0.2</v>
      </c>
      <c r="F89" s="882">
        <v>30</v>
      </c>
    </row>
    <row r="90" spans="1:6" s="878" customFormat="1" ht="24">
      <c r="A90" s="882">
        <v>30</v>
      </c>
      <c r="B90" s="3297"/>
      <c r="C90" s="818" t="s">
        <v>674</v>
      </c>
      <c r="D90" s="818" t="s">
        <v>675</v>
      </c>
      <c r="E90" s="895">
        <v>0.2</v>
      </c>
      <c r="F90" s="882">
        <v>30</v>
      </c>
    </row>
    <row r="91" spans="1:6" s="878" customFormat="1" ht="36">
      <c r="A91" s="882">
        <v>31</v>
      </c>
      <c r="B91" s="3297"/>
      <c r="C91" s="818" t="s">
        <v>676</v>
      </c>
      <c r="D91" s="818" t="s">
        <v>677</v>
      </c>
      <c r="E91" s="895">
        <v>0.2</v>
      </c>
      <c r="F91" s="882">
        <v>30</v>
      </c>
    </row>
    <row r="92" spans="1:6" s="878" customFormat="1" ht="24">
      <c r="A92" s="882">
        <v>32</v>
      </c>
      <c r="B92" s="3297" t="s">
        <v>678</v>
      </c>
      <c r="C92" s="882" t="s">
        <v>679</v>
      </c>
      <c r="D92" s="818" t="s">
        <v>680</v>
      </c>
      <c r="E92" s="895">
        <v>0.2</v>
      </c>
      <c r="F92" s="882">
        <v>30</v>
      </c>
    </row>
    <row r="93" spans="1:6" s="878" customFormat="1" ht="36">
      <c r="A93" s="882">
        <v>33</v>
      </c>
      <c r="B93" s="3297"/>
      <c r="C93" s="882" t="s">
        <v>681</v>
      </c>
      <c r="D93" s="818" t="s">
        <v>682</v>
      </c>
      <c r="E93" s="895">
        <v>0.2</v>
      </c>
      <c r="F93" s="882">
        <v>30</v>
      </c>
    </row>
    <row r="94" spans="1:6" s="878" customFormat="1" ht="48">
      <c r="A94" s="882">
        <v>34</v>
      </c>
      <c r="B94" s="3297"/>
      <c r="C94" s="882" t="s">
        <v>683</v>
      </c>
      <c r="D94" s="818" t="s">
        <v>684</v>
      </c>
      <c r="E94" s="895">
        <v>0.2</v>
      </c>
      <c r="F94" s="882">
        <v>30</v>
      </c>
    </row>
    <row r="95" spans="1:6" s="878" customFormat="1" ht="36">
      <c r="A95" s="882">
        <v>35</v>
      </c>
      <c r="B95" s="3297"/>
      <c r="C95" s="882" t="s">
        <v>685</v>
      </c>
      <c r="D95" s="818" t="s">
        <v>686</v>
      </c>
      <c r="E95" s="895">
        <v>0.2</v>
      </c>
      <c r="F95" s="882">
        <v>30</v>
      </c>
    </row>
    <row r="96" spans="1:6" s="878" customFormat="1" ht="48">
      <c r="A96" s="882">
        <v>36</v>
      </c>
      <c r="B96" s="3297"/>
      <c r="C96" s="818" t="s">
        <v>687</v>
      </c>
      <c r="D96" s="818" t="s">
        <v>688</v>
      </c>
      <c r="E96" s="895">
        <v>0.2</v>
      </c>
      <c r="F96" s="882">
        <v>30</v>
      </c>
    </row>
    <row r="97" spans="1:6" s="878" customFormat="1" ht="36">
      <c r="A97" s="882">
        <v>37</v>
      </c>
      <c r="B97" s="3297"/>
      <c r="C97" s="882" t="s">
        <v>689</v>
      </c>
      <c r="D97" s="818" t="s">
        <v>690</v>
      </c>
      <c r="E97" s="895">
        <v>0.2</v>
      </c>
      <c r="F97" s="882">
        <v>30</v>
      </c>
    </row>
    <row r="98" spans="1:6" s="878" customFormat="1" ht="36">
      <c r="A98" s="882">
        <v>38</v>
      </c>
      <c r="B98" s="3297"/>
      <c r="C98" s="882" t="s">
        <v>691</v>
      </c>
      <c r="D98" s="818" t="s">
        <v>692</v>
      </c>
      <c r="E98" s="895">
        <v>0.2</v>
      </c>
      <c r="F98" s="882">
        <v>30</v>
      </c>
    </row>
    <row r="99" spans="1:6" s="878" customFormat="1" ht="36">
      <c r="A99" s="882">
        <v>39</v>
      </c>
      <c r="B99" s="3297" t="s">
        <v>693</v>
      </c>
      <c r="C99" s="882" t="s">
        <v>694</v>
      </c>
      <c r="D99" s="818" t="s">
        <v>695</v>
      </c>
      <c r="E99" s="895">
        <v>0.3</v>
      </c>
      <c r="F99" s="882">
        <v>50</v>
      </c>
    </row>
    <row r="100" spans="1:6" s="878" customFormat="1" ht="24">
      <c r="A100" s="882">
        <v>40</v>
      </c>
      <c r="B100" s="3297"/>
      <c r="C100" s="882" t="s">
        <v>696</v>
      </c>
      <c r="D100" s="818" t="s">
        <v>697</v>
      </c>
      <c r="E100" s="895">
        <v>0.2</v>
      </c>
      <c r="F100" s="882">
        <v>30</v>
      </c>
    </row>
    <row r="101" spans="1:6" s="878" customFormat="1" ht="36">
      <c r="A101" s="882">
        <v>41</v>
      </c>
      <c r="B101" s="329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7" t="s">
        <v>708</v>
      </c>
      <c r="C105" s="882" t="s">
        <v>709</v>
      </c>
      <c r="D105" s="818" t="s">
        <v>710</v>
      </c>
      <c r="E105" s="895">
        <v>0.2</v>
      </c>
      <c r="F105" s="882">
        <v>30</v>
      </c>
    </row>
    <row r="106" spans="1:6" s="878" customFormat="1" ht="36">
      <c r="A106" s="882">
        <v>46</v>
      </c>
      <c r="B106" s="3297"/>
      <c r="C106" s="882" t="s">
        <v>711</v>
      </c>
      <c r="D106" s="818" t="s">
        <v>712</v>
      </c>
      <c r="E106" s="895">
        <v>0.2</v>
      </c>
      <c r="F106" s="882">
        <v>30</v>
      </c>
    </row>
    <row r="107" spans="1:6" s="878" customFormat="1" ht="36">
      <c r="A107" s="882">
        <v>47</v>
      </c>
      <c r="B107" s="3297" t="s">
        <v>713</v>
      </c>
      <c r="C107" s="882" t="s">
        <v>714</v>
      </c>
      <c r="D107" s="818" t="s">
        <v>715</v>
      </c>
      <c r="E107" s="895">
        <v>0.3</v>
      </c>
      <c r="F107" s="882">
        <v>50</v>
      </c>
    </row>
    <row r="108" spans="1:6" s="878" customFormat="1" ht="36">
      <c r="A108" s="882">
        <v>48</v>
      </c>
      <c r="B108" s="329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7" t="s">
        <v>724</v>
      </c>
      <c r="C111" s="882" t="s">
        <v>725</v>
      </c>
      <c r="D111" s="818" t="s">
        <v>726</v>
      </c>
      <c r="E111" s="895">
        <v>0.2</v>
      </c>
      <c r="F111" s="882">
        <v>30</v>
      </c>
    </row>
    <row r="112" spans="1:6" s="878" customFormat="1" ht="24">
      <c r="A112" s="882">
        <v>52</v>
      </c>
      <c r="B112" s="3297"/>
      <c r="C112" s="882" t="s">
        <v>727</v>
      </c>
      <c r="D112" s="818" t="s">
        <v>728</v>
      </c>
      <c r="E112" s="895">
        <v>0.2</v>
      </c>
      <c r="F112" s="882">
        <v>30</v>
      </c>
    </row>
    <row r="113" spans="1:6" s="878" customFormat="1" ht="24">
      <c r="A113" s="882">
        <v>53</v>
      </c>
      <c r="B113" s="329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7" t="s">
        <v>737</v>
      </c>
      <c r="C116" s="882" t="s">
        <v>738</v>
      </c>
      <c r="D116" s="818" t="s">
        <v>739</v>
      </c>
      <c r="E116" s="895">
        <v>0.2</v>
      </c>
      <c r="F116" s="882">
        <v>30</v>
      </c>
    </row>
    <row r="117" spans="1:6" ht="36">
      <c r="A117" s="882">
        <v>57</v>
      </c>
      <c r="B117" s="329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3002</v>
      </c>
    </row>
    <row r="2" spans="1:5" ht="15.75">
      <c r="A2" s="2917" t="s">
        <v>2994</v>
      </c>
      <c r="B2" s="2918" t="e">
        <f ca="1">SUMIF(B6:B13,"&lt;&gt;#ref!",B6:B13)</f>
        <v>#DIV/0!</v>
      </c>
      <c r="C2" s="2917" t="s">
        <v>2995</v>
      </c>
      <c r="D2" s="2917" t="s">
        <v>2996</v>
      </c>
      <c r="E2" s="2918" t="e">
        <f ca="1">SUM(E6:E13)</f>
        <v>#REF!</v>
      </c>
    </row>
    <row r="3" spans="1:5" ht="15.75">
      <c r="A3" s="2917" t="s">
        <v>2997</v>
      </c>
      <c r="B3" s="2918" t="e">
        <f ca="1">ROUND(B2*10000/E2,0)</f>
        <v>#DIV/0!</v>
      </c>
      <c r="C3" s="2917" t="s">
        <v>3003</v>
      </c>
      <c r="D3" s="2919"/>
      <c r="E3" s="2919"/>
    </row>
    <row r="4" spans="1:5" ht="15.75">
      <c r="A4" s="2920"/>
      <c r="B4" s="2919"/>
      <c r="C4" s="2919"/>
      <c r="D4" s="2919"/>
      <c r="E4" s="2919"/>
    </row>
    <row r="5" spans="1:5" ht="28.5">
      <c r="A5" s="2921" t="s">
        <v>2998</v>
      </c>
      <c r="B5" s="2917" t="s">
        <v>2999</v>
      </c>
      <c r="C5" s="2918"/>
      <c r="D5" s="2919"/>
      <c r="E5" s="2917" t="s">
        <v>3000</v>
      </c>
    </row>
    <row r="6" spans="1:5" ht="15.75">
      <c r="A6" s="2922" t="s">
        <v>3001</v>
      </c>
      <c r="B6" s="2918" t="e">
        <f ca="1">SUMIF(INDIRECT("'"&amp;A6&amp;"'"&amp;"!A:A"),"总价",INDIRECT("'"&amp;A6&amp;"'"&amp;"!B:B"))</f>
        <v>#DIV/0!</v>
      </c>
      <c r="C6" s="2917" t="s">
        <v>2995</v>
      </c>
      <c r="D6" s="2919"/>
      <c r="E6" s="2582">
        <f ca="1">SUMIF(INDIRECT("'"&amp;A6&amp;"'"&amp;"!C:C"),"建筑面积",INDIRECT("'"&amp;A6&amp;"'"&amp;"!D:D"))</f>
        <v>0</v>
      </c>
    </row>
    <row r="7" spans="1:5" ht="15.75">
      <c r="A7" s="2922"/>
      <c r="B7" s="2918" t="e">
        <f ca="1">SUMIF(INDIRECT("'"&amp;A7&amp;"'"&amp;"!A:A"),"总价",INDIRECT("'"&amp;A7&amp;"'"&amp;"!B:B"))</f>
        <v>#REF!</v>
      </c>
      <c r="C7" s="2917" t="s">
        <v>2995</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2995</v>
      </c>
      <c r="D8" s="2919"/>
      <c r="E8" s="2582" t="e">
        <f t="shared" ca="1" si="0"/>
        <v>#REF!</v>
      </c>
    </row>
    <row r="9" spans="1:5" ht="15.75">
      <c r="A9" s="2922"/>
      <c r="B9" s="2918" t="e">
        <f t="shared" ca="1" si="1"/>
        <v>#REF!</v>
      </c>
      <c r="C9" s="2917" t="s">
        <v>2995</v>
      </c>
      <c r="D9" s="2919"/>
      <c r="E9" s="2582" t="e">
        <f t="shared" ca="1" si="0"/>
        <v>#REF!</v>
      </c>
    </row>
    <row r="10" spans="1:5" ht="15.75">
      <c r="A10" s="2922"/>
      <c r="B10" s="2918" t="e">
        <f t="shared" ca="1" si="1"/>
        <v>#REF!</v>
      </c>
      <c r="C10" s="2917" t="s">
        <v>2995</v>
      </c>
      <c r="D10" s="2919"/>
      <c r="E10" s="2582" t="e">
        <f t="shared" ca="1" si="0"/>
        <v>#REF!</v>
      </c>
    </row>
    <row r="11" spans="1:5" ht="15.75">
      <c r="A11" s="2922"/>
      <c r="B11" s="2918" t="e">
        <f t="shared" ca="1" si="1"/>
        <v>#REF!</v>
      </c>
      <c r="C11" s="2917" t="s">
        <v>2995</v>
      </c>
      <c r="D11" s="2919"/>
      <c r="E11" s="2582" t="e">
        <f t="shared" ca="1" si="0"/>
        <v>#REF!</v>
      </c>
    </row>
    <row r="12" spans="1:5" ht="15.75">
      <c r="A12" s="2922"/>
      <c r="B12" s="2918" t="e">
        <f t="shared" ca="1" si="1"/>
        <v>#REF!</v>
      </c>
      <c r="C12" s="2917" t="s">
        <v>2995</v>
      </c>
      <c r="D12" s="2919"/>
      <c r="E12" s="2582" t="e">
        <f t="shared" ca="1" si="0"/>
        <v>#REF!</v>
      </c>
    </row>
    <row r="13" spans="1:5" ht="15.75">
      <c r="A13" s="2922"/>
      <c r="B13" s="2918" t="e">
        <f t="shared" ca="1" si="1"/>
        <v>#REF!</v>
      </c>
      <c r="C13" s="2917" t="s">
        <v>2995</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303" t="s">
        <v>1150</v>
      </c>
      <c r="C1" s="3303"/>
      <c r="D1" s="3303"/>
      <c r="E1" s="3303"/>
      <c r="F1" s="3303"/>
      <c r="G1" s="3299" t="s">
        <v>1151</v>
      </c>
      <c r="H1" s="3299"/>
      <c r="I1" s="3299"/>
      <c r="J1" s="3299"/>
      <c r="K1" s="3299"/>
      <c r="L1" s="3299"/>
      <c r="N1" s="3299" t="s">
        <v>1152</v>
      </c>
      <c r="O1" s="3299"/>
      <c r="P1" s="3299"/>
      <c r="Q1" s="3299"/>
      <c r="R1" s="1448"/>
      <c r="S1" s="3299" t="s">
        <v>1153</v>
      </c>
      <c r="T1" s="3299"/>
      <c r="U1" s="3299"/>
      <c r="V1" s="3299"/>
      <c r="X1" s="3298" t="s">
        <v>1154</v>
      </c>
      <c r="Y1" s="3299"/>
      <c r="Z1" s="3299"/>
      <c r="AA1" s="3299"/>
      <c r="AB1" s="3299"/>
      <c r="AD1" s="3298" t="s">
        <v>1155</v>
      </c>
      <c r="AE1" s="3299"/>
      <c r="AF1" s="3299"/>
      <c r="AG1" s="3299"/>
      <c r="AH1" s="3299"/>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31"/>
      <c r="J3" s="2931"/>
      <c r="K3" s="2931"/>
      <c r="L3" s="2931"/>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3035</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31">
        <f>ROUND(AVERAGE(I5:I20),2)</f>
        <v>2.4900000000000002</v>
      </c>
      <c r="J4" s="2931">
        <f t="shared" ref="J4:L4" si="7">ROUND(AVERAGE(J5:J20),2)</f>
        <v>1.64</v>
      </c>
      <c r="K4" s="2931">
        <f t="shared" si="7"/>
        <v>2.78</v>
      </c>
      <c r="L4" s="2931">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3033</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8">
        <v>2017</v>
      </c>
      <c r="H5" s="1733">
        <v>4</v>
      </c>
      <c r="I5" s="2932">
        <f>ROUND(AVERAGE(I6:I20),2)</f>
        <v>2.4900000000000002</v>
      </c>
      <c r="J5" s="2932">
        <f>ROUND(AVERAGE(J6:J20),2)</f>
        <v>1.64</v>
      </c>
      <c r="K5" s="2932">
        <f>ROUND(AVERAGE(K6:K20),2)</f>
        <v>2.78</v>
      </c>
      <c r="L5" s="2932">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3034</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30"/>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9"/>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30"/>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304">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301"/>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301"/>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302"/>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300">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301"/>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301"/>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302"/>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300">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301"/>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301"/>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302"/>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305">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306"/>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306"/>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307"/>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300">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301"/>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301"/>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302"/>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300">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301">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301">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302">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300">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301">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301">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302">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300">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301">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301">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302">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300">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301">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301">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302">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300">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301">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301">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302">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300">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301">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301">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302">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300">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301">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301">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302">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300">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301">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301">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302">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300">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301">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301">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302">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300">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301">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301">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302">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77"/>
  <sheetViews>
    <sheetView zoomScale="90" zoomScaleNormal="90" workbookViewId="0">
      <pane ySplit="24" topLeftCell="A533" activePane="bottomLeft" state="frozen"/>
      <selection activeCell="C50" sqref="C50"/>
      <selection pane="bottomLeft" activeCell="A20" sqref="A20:S553"/>
    </sheetView>
  </sheetViews>
  <sheetFormatPr defaultRowHeight="12.75"/>
  <cols>
    <col min="1" max="1" width="11.5" style="138" customWidth="1"/>
    <col min="2" max="2" width="9.25" style="26" customWidth="1"/>
    <col min="3" max="7" width="8.375" style="26" customWidth="1"/>
    <col min="8" max="8" width="0" style="26" hidden="1" customWidth="1"/>
    <col min="9" max="9" width="5" style="26" hidden="1" customWidth="1"/>
    <col min="10" max="10" width="0" style="26" hidden="1" customWidth="1"/>
    <col min="11" max="11" width="5" style="26" hidden="1" customWidth="1"/>
    <col min="12" max="12" width="0" style="26" hidden="1" customWidth="1"/>
    <col min="13" max="13" width="5" style="26" hidden="1" customWidth="1"/>
    <col min="14" max="14" width="0" style="26" hidden="1" customWidth="1"/>
    <col min="15" max="15" width="5" style="26" hidden="1" customWidth="1"/>
    <col min="16" max="16" width="0" style="26" hidden="1" customWidth="1"/>
    <col min="17" max="17" width="5" style="26" hidden="1" customWidth="1"/>
    <col min="18" max="18" width="9" style="702"/>
    <col min="19" max="19" width="9" style="138"/>
    <col min="20" max="45" width="9" style="795"/>
    <col min="46" max="16384" width="9" style="138"/>
  </cols>
  <sheetData>
    <row r="1" spans="1:45" ht="14.25" customHeight="1" thickBot="1">
      <c r="A1" s="155"/>
      <c r="B1" s="1207" t="s">
        <v>3004</v>
      </c>
      <c r="C1" s="3309" t="s">
        <v>3005</v>
      </c>
      <c r="D1" s="3310"/>
      <c r="E1" s="3310"/>
      <c r="F1" s="3310"/>
      <c r="G1" s="3310"/>
      <c r="H1" s="3310"/>
      <c r="I1" s="3310"/>
      <c r="J1" s="3310"/>
      <c r="K1" s="3310"/>
      <c r="L1" s="3310"/>
      <c r="M1" s="3310"/>
      <c r="N1" s="3310"/>
      <c r="O1" s="3310"/>
      <c r="P1" s="3310"/>
      <c r="Q1" s="3310"/>
      <c r="R1" s="3310"/>
      <c r="S1" s="3311"/>
      <c r="T1" s="1207" t="s">
        <v>3006</v>
      </c>
    </row>
    <row r="2" spans="1:45" s="707" customFormat="1" ht="25.5">
      <c r="A2" s="1208"/>
      <c r="B2" s="703" t="s">
        <v>3007</v>
      </c>
      <c r="C2" s="704" t="str">
        <f t="shared" ref="C2:L2" si="0">C3&amp;"(含)"&amp;"-"&amp;D3</f>
        <v>0(含)-60</v>
      </c>
      <c r="D2" s="705" t="str">
        <f t="shared" si="0"/>
        <v>60(含)-120</v>
      </c>
      <c r="E2" s="705" t="str">
        <f t="shared" si="0"/>
        <v>120(含)-180</v>
      </c>
      <c r="F2" s="705" t="str">
        <f t="shared" si="0"/>
        <v>180(含)-300</v>
      </c>
      <c r="G2" s="705" t="str">
        <f t="shared" si="0"/>
        <v>300(含)-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60</v>
      </c>
      <c r="E3" s="710">
        <v>120</v>
      </c>
      <c r="F3" s="1707">
        <v>180</v>
      </c>
      <c r="G3" s="1707">
        <v>300</v>
      </c>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1">
        <v>97</v>
      </c>
      <c r="G4" s="1711">
        <v>96</v>
      </c>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2959" t="s">
        <v>3703</v>
      </c>
      <c r="C5" s="2963" t="s">
        <v>3710</v>
      </c>
      <c r="D5" s="2964" t="s">
        <v>3711</v>
      </c>
      <c r="E5" s="2964" t="s">
        <v>3713</v>
      </c>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2960" t="s">
        <v>3704</v>
      </c>
      <c r="C7" s="2961" t="s">
        <v>3705</v>
      </c>
      <c r="D7" s="2962" t="s">
        <v>3707</v>
      </c>
      <c r="E7" s="2962" t="s">
        <v>3708</v>
      </c>
      <c r="F7" s="1719"/>
      <c r="G7" s="1719"/>
      <c r="H7" s="1719"/>
      <c r="I7" s="1719"/>
      <c r="J7" s="1719"/>
      <c r="K7" s="1719"/>
      <c r="L7" s="1719"/>
      <c r="M7" s="1720"/>
      <c r="N7" s="1721"/>
      <c r="O7" s="1722"/>
      <c r="P7" s="1723"/>
      <c r="Q7" s="1724"/>
      <c r="R7" s="1725"/>
      <c r="S7" s="1726"/>
      <c r="T7" s="713">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98</v>
      </c>
      <c r="E8" s="1122">
        <f t="shared" ref="E8:S8" si="8">D8-$T7</f>
        <v>96</v>
      </c>
      <c r="F8" s="1718">
        <f t="shared" si="8"/>
        <v>94</v>
      </c>
      <c r="G8" s="1718">
        <f t="shared" si="8"/>
        <v>92</v>
      </c>
      <c r="H8" s="1718">
        <f t="shared" si="8"/>
        <v>90</v>
      </c>
      <c r="I8" s="1718">
        <f t="shared" si="8"/>
        <v>88</v>
      </c>
      <c r="J8" s="1718">
        <f t="shared" si="8"/>
        <v>86</v>
      </c>
      <c r="K8" s="1718">
        <f t="shared" si="8"/>
        <v>84</v>
      </c>
      <c r="L8" s="1718">
        <f t="shared" si="8"/>
        <v>82</v>
      </c>
      <c r="M8" s="1718">
        <f t="shared" si="8"/>
        <v>80</v>
      </c>
      <c r="N8" s="1718">
        <f t="shared" si="8"/>
        <v>78</v>
      </c>
      <c r="O8" s="1718">
        <f t="shared" si="8"/>
        <v>76</v>
      </c>
      <c r="P8" s="1718">
        <f t="shared" si="8"/>
        <v>74</v>
      </c>
      <c r="Q8" s="1718">
        <f t="shared" si="8"/>
        <v>72</v>
      </c>
      <c r="R8" s="1718">
        <f t="shared" si="8"/>
        <v>70</v>
      </c>
      <c r="S8" s="1718">
        <f t="shared" si="8"/>
        <v>68</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3" t="s">
        <v>3008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2" t="s">
        <v>3009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2" t="s">
        <v>3010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2" t="s">
        <v>3011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3012</v>
      </c>
      <c r="B17" s="2924" t="s">
        <v>3013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5" t="s">
        <v>3014</v>
      </c>
      <c r="E19" s="1795"/>
      <c r="F19" s="1795"/>
      <c r="G19" s="1795"/>
      <c r="H19" s="1282"/>
      <c r="I19" s="168"/>
      <c r="J19" s="168"/>
      <c r="K19" s="168"/>
      <c r="L19" s="168"/>
      <c r="M19" s="168"/>
      <c r="N19" s="168"/>
      <c r="O19" s="168"/>
      <c r="P19" s="168"/>
      <c r="Q19" s="168"/>
      <c r="R19" s="788"/>
      <c r="S19" s="137"/>
    </row>
    <row r="20" spans="1:45" ht="16.5" thickBot="1">
      <c r="A20" s="715" t="s">
        <v>3015</v>
      </c>
      <c r="B20" s="338">
        <f ca="1">IF(D20="——",S22,S22-F20)</f>
        <v>30568</v>
      </c>
      <c r="C20" s="168"/>
      <c r="D20" s="2926" t="s">
        <v>70</v>
      </c>
      <c r="E20" s="1796"/>
      <c r="F20" s="1207" t="e">
        <f ca="1">SUMIF(INDIRECT("'"&amp;H20&amp;"'"&amp;"!A:A"),"承租人权益价值",INDIRECT("'"&amp;H20&amp;"'"&amp;"!c:c"))</f>
        <v>#REF!</v>
      </c>
      <c r="G20" s="1207" t="s">
        <v>3016</v>
      </c>
      <c r="H20" s="2927"/>
      <c r="I20" s="168"/>
      <c r="J20" s="168"/>
      <c r="K20" s="168"/>
      <c r="L20" s="168"/>
      <c r="M20" s="168"/>
      <c r="N20" s="168"/>
      <c r="O20" s="168"/>
      <c r="P20" s="168"/>
      <c r="Q20" s="168"/>
      <c r="R20" s="788"/>
      <c r="S20" s="137"/>
    </row>
    <row r="21" spans="1:45" ht="15.75">
      <c r="A21" s="715" t="s">
        <v>3017</v>
      </c>
      <c r="B21" s="338">
        <f ca="1">R22</f>
        <v>7980</v>
      </c>
      <c r="C21" s="168"/>
      <c r="D21" s="168"/>
      <c r="E21" s="168"/>
      <c r="F21" s="168"/>
      <c r="G21" s="168"/>
      <c r="H21" s="168"/>
      <c r="I21" s="168"/>
      <c r="J21" s="168"/>
      <c r="K21" s="168"/>
      <c r="L21" s="168"/>
      <c r="M21" s="168"/>
      <c r="N21" s="168"/>
      <c r="O21" s="168"/>
      <c r="P21" s="168"/>
      <c r="Q21" s="168"/>
      <c r="R21" s="788"/>
      <c r="S21" s="137"/>
    </row>
    <row r="22" spans="1:45">
      <c r="A22" s="361" t="s">
        <v>3018</v>
      </c>
      <c r="B22" s="23">
        <f>SUM(B24:B10000)</f>
        <v>38306.649999999907</v>
      </c>
      <c r="C22" s="3086" t="s">
        <v>33</v>
      </c>
      <c r="D22" s="3087"/>
      <c r="E22" s="3087"/>
      <c r="F22" s="3087"/>
      <c r="G22" s="3087"/>
      <c r="H22" s="3087"/>
      <c r="I22" s="3087"/>
      <c r="J22" s="3087"/>
      <c r="K22" s="3087"/>
      <c r="L22" s="3087"/>
      <c r="M22" s="3087"/>
      <c r="N22" s="3087"/>
      <c r="O22" s="3087"/>
      <c r="P22" s="3087"/>
      <c r="Q22" s="3308"/>
      <c r="R22" s="716">
        <f ca="1">ROUND(S22*10000/B22,0)</f>
        <v>7980</v>
      </c>
      <c r="S22" s="23">
        <f ca="1">SUM(S24:S10000)</f>
        <v>30568</v>
      </c>
    </row>
    <row r="23" spans="1:45" s="12" customFormat="1" ht="24">
      <c r="A23" s="11" t="s">
        <v>3019</v>
      </c>
      <c r="B23" s="11" t="s">
        <v>3020</v>
      </c>
      <c r="C23" s="11" t="s">
        <v>3021</v>
      </c>
      <c r="D23" s="11" t="str">
        <f>B5</f>
        <v>楼层</v>
      </c>
      <c r="E23" s="11" t="s">
        <v>3021</v>
      </c>
      <c r="F23" s="11" t="str">
        <f>B7</f>
        <v>装修</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7-1003</v>
      </c>
      <c r="B24" s="718">
        <f>'数据-基础表'!I13</f>
        <v>98.91</v>
      </c>
      <c r="C24" s="719">
        <v>1</v>
      </c>
      <c r="D24" s="2966" t="s">
        <v>3701</v>
      </c>
      <c r="E24" s="719">
        <v>1</v>
      </c>
      <c r="F24" s="2966" t="s">
        <v>3691</v>
      </c>
      <c r="G24" s="719">
        <v>1</v>
      </c>
      <c r="H24" s="720"/>
      <c r="I24" s="719">
        <v>1</v>
      </c>
      <c r="J24" s="720"/>
      <c r="K24" s="719">
        <v>1</v>
      </c>
      <c r="L24" s="720"/>
      <c r="M24" s="719">
        <v>1</v>
      </c>
      <c r="N24" s="720"/>
      <c r="O24" s="719">
        <v>1</v>
      </c>
      <c r="P24" s="720"/>
      <c r="Q24" s="719">
        <v>1</v>
      </c>
      <c r="R24" s="721">
        <f ca="1">结果表!G20</f>
        <v>7908</v>
      </c>
      <c r="S24" s="719">
        <f t="shared" ref="S24:S54" ca="1" si="11">ROUND(R24*B24/10000,0)</f>
        <v>78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7-1004</v>
      </c>
      <c r="B25" s="58">
        <f>'数据-基础表'!I14</f>
        <v>98.91</v>
      </c>
      <c r="C25" s="23">
        <f>IF(B25="",1,(LOOKUP(B25,$3:$3,$4:$4)-LOOKUP($B$24,$3:$3,$4:$4)+100)/100)</f>
        <v>1</v>
      </c>
      <c r="D25" s="2966" t="s">
        <v>3701</v>
      </c>
      <c r="E25" s="23">
        <f>(SUMIF($5:$5,D25,$6:$6)-SUMIF($5:$5,$D$24,$6:$6)+100)/100</f>
        <v>1</v>
      </c>
      <c r="F25" s="2966" t="s">
        <v>3691</v>
      </c>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 ca="1">IF(B25="",0,ROUND($R$24*C25*E25*G25*I25*K25*M25*O25*Q25,0))</f>
        <v>7908</v>
      </c>
      <c r="S25" s="361">
        <f t="shared" ca="1" si="11"/>
        <v>78</v>
      </c>
    </row>
    <row r="26" spans="1:45">
      <c r="A26" s="159" t="str">
        <f>'数据-基础表'!C15</f>
        <v>7-1005</v>
      </c>
      <c r="B26" s="58">
        <f>'数据-基础表'!I15</f>
        <v>98.91</v>
      </c>
      <c r="C26" s="23">
        <f t="shared" ref="C26:C89" si="12">IF(B26="",1,(LOOKUP(B26,$3:$3,$4:$4)-LOOKUP($B$24,$3:$3,$4:$4)+100)/100)</f>
        <v>1</v>
      </c>
      <c r="D26" s="2966" t="s">
        <v>3701</v>
      </c>
      <c r="E26" s="23">
        <f t="shared" ref="E26:E89" si="13">(SUMIF($5:$5,D26,$6:$6)-SUMIF($5:$5,$D$24,$6:$6)+100)/100</f>
        <v>1</v>
      </c>
      <c r="F26" s="2966" t="s">
        <v>3691</v>
      </c>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ca="1" si="20">IF(B26="",0,ROUND($R$24*C26*E26*G26*I26*K26*M26*O26*Q26,0))</f>
        <v>7908</v>
      </c>
      <c r="S26" s="361">
        <f t="shared" ca="1" si="11"/>
        <v>78</v>
      </c>
    </row>
    <row r="27" spans="1:45">
      <c r="A27" s="159" t="str">
        <f>'数据-基础表'!C16</f>
        <v>7-1006</v>
      </c>
      <c r="B27" s="58">
        <f>'数据-基础表'!I16</f>
        <v>98.91</v>
      </c>
      <c r="C27" s="23">
        <f t="shared" si="12"/>
        <v>1</v>
      </c>
      <c r="D27" s="2966" t="s">
        <v>3701</v>
      </c>
      <c r="E27" s="23">
        <f t="shared" si="13"/>
        <v>1</v>
      </c>
      <c r="F27" s="2966" t="s">
        <v>3691</v>
      </c>
      <c r="G27" s="23">
        <f t="shared" si="14"/>
        <v>1</v>
      </c>
      <c r="H27" s="720"/>
      <c r="I27" s="23">
        <f t="shared" si="15"/>
        <v>1</v>
      </c>
      <c r="J27" s="720"/>
      <c r="K27" s="23">
        <f t="shared" si="16"/>
        <v>1</v>
      </c>
      <c r="L27" s="720"/>
      <c r="M27" s="23">
        <f t="shared" si="17"/>
        <v>1</v>
      </c>
      <c r="N27" s="720"/>
      <c r="O27" s="23">
        <f t="shared" si="18"/>
        <v>1</v>
      </c>
      <c r="P27" s="720"/>
      <c r="Q27" s="23">
        <f t="shared" si="19"/>
        <v>1</v>
      </c>
      <c r="R27" s="716">
        <f t="shared" ca="1" si="20"/>
        <v>7908</v>
      </c>
      <c r="S27" s="361">
        <f t="shared" ca="1" si="11"/>
        <v>78</v>
      </c>
    </row>
    <row r="28" spans="1:45">
      <c r="A28" s="159" t="str">
        <f>'数据-基础表'!C17</f>
        <v>7-1007</v>
      </c>
      <c r="B28" s="58">
        <f>'数据-基础表'!I17</f>
        <v>125.99</v>
      </c>
      <c r="C28" s="23">
        <f t="shared" si="12"/>
        <v>0.99</v>
      </c>
      <c r="D28" s="2966" t="s">
        <v>3701</v>
      </c>
      <c r="E28" s="23">
        <f t="shared" si="13"/>
        <v>1</v>
      </c>
      <c r="F28" s="2966" t="s">
        <v>3691</v>
      </c>
      <c r="G28" s="23">
        <f t="shared" si="14"/>
        <v>1</v>
      </c>
      <c r="H28" s="720"/>
      <c r="I28" s="23">
        <f t="shared" si="15"/>
        <v>1</v>
      </c>
      <c r="J28" s="720"/>
      <c r="K28" s="23">
        <f t="shared" si="16"/>
        <v>1</v>
      </c>
      <c r="L28" s="720"/>
      <c r="M28" s="23">
        <f t="shared" si="17"/>
        <v>1</v>
      </c>
      <c r="N28" s="720"/>
      <c r="O28" s="23">
        <f t="shared" si="18"/>
        <v>1</v>
      </c>
      <c r="P28" s="720"/>
      <c r="Q28" s="23">
        <f t="shared" si="19"/>
        <v>1</v>
      </c>
      <c r="R28" s="716">
        <f t="shared" ca="1" si="20"/>
        <v>7829</v>
      </c>
      <c r="S28" s="361">
        <f t="shared" ca="1" si="11"/>
        <v>99</v>
      </c>
    </row>
    <row r="29" spans="1:45">
      <c r="A29" s="159" t="str">
        <f>'数据-基础表'!C18</f>
        <v>7-1008</v>
      </c>
      <c r="B29" s="58">
        <f>'数据-基础表'!I18</f>
        <v>135.76</v>
      </c>
      <c r="C29" s="23">
        <f t="shared" si="12"/>
        <v>0.99</v>
      </c>
      <c r="D29" s="2966" t="s">
        <v>3701</v>
      </c>
      <c r="E29" s="23">
        <f t="shared" si="13"/>
        <v>1</v>
      </c>
      <c r="F29" s="2966" t="s">
        <v>3691</v>
      </c>
      <c r="G29" s="23">
        <f t="shared" si="14"/>
        <v>1</v>
      </c>
      <c r="H29" s="720"/>
      <c r="I29" s="23">
        <f t="shared" si="15"/>
        <v>1</v>
      </c>
      <c r="J29" s="720"/>
      <c r="K29" s="23">
        <f t="shared" si="16"/>
        <v>1</v>
      </c>
      <c r="L29" s="720"/>
      <c r="M29" s="23">
        <f t="shared" si="17"/>
        <v>1</v>
      </c>
      <c r="N29" s="720"/>
      <c r="O29" s="23">
        <f t="shared" si="18"/>
        <v>1</v>
      </c>
      <c r="P29" s="720"/>
      <c r="Q29" s="23">
        <f t="shared" si="19"/>
        <v>1</v>
      </c>
      <c r="R29" s="716">
        <f t="shared" ca="1" si="20"/>
        <v>7829</v>
      </c>
      <c r="S29" s="361">
        <f t="shared" ca="1" si="11"/>
        <v>106</v>
      </c>
    </row>
    <row r="30" spans="1:45">
      <c r="A30" s="159" t="str">
        <f>'数据-基础表'!C19</f>
        <v>7-1009</v>
      </c>
      <c r="B30" s="58">
        <f>'数据-基础表'!I19</f>
        <v>125.99</v>
      </c>
      <c r="C30" s="23">
        <f t="shared" si="12"/>
        <v>0.99</v>
      </c>
      <c r="D30" s="2966" t="s">
        <v>3701</v>
      </c>
      <c r="E30" s="23">
        <f t="shared" si="13"/>
        <v>1</v>
      </c>
      <c r="F30" s="2966" t="s">
        <v>3691</v>
      </c>
      <c r="G30" s="23">
        <f t="shared" si="14"/>
        <v>1</v>
      </c>
      <c r="H30" s="720"/>
      <c r="I30" s="23">
        <f t="shared" si="15"/>
        <v>1</v>
      </c>
      <c r="J30" s="720"/>
      <c r="K30" s="23">
        <f t="shared" si="16"/>
        <v>1</v>
      </c>
      <c r="L30" s="720"/>
      <c r="M30" s="23">
        <f t="shared" si="17"/>
        <v>1</v>
      </c>
      <c r="N30" s="720"/>
      <c r="O30" s="23">
        <f t="shared" si="18"/>
        <v>1</v>
      </c>
      <c r="P30" s="720"/>
      <c r="Q30" s="23">
        <f t="shared" si="19"/>
        <v>1</v>
      </c>
      <c r="R30" s="716">
        <f t="shared" ca="1" si="20"/>
        <v>7829</v>
      </c>
      <c r="S30" s="361">
        <f t="shared" ca="1" si="11"/>
        <v>99</v>
      </c>
    </row>
    <row r="31" spans="1:45">
      <c r="A31" s="159" t="str">
        <f>'数据-基础表'!C20</f>
        <v>7-1010</v>
      </c>
      <c r="B31" s="58">
        <f>'数据-基础表'!I20</f>
        <v>98.91</v>
      </c>
      <c r="C31" s="23">
        <f t="shared" si="12"/>
        <v>1</v>
      </c>
      <c r="D31" s="2966" t="s">
        <v>3701</v>
      </c>
      <c r="E31" s="23">
        <f t="shared" si="13"/>
        <v>1</v>
      </c>
      <c r="F31" s="2966" t="s">
        <v>3691</v>
      </c>
      <c r="G31" s="23">
        <f t="shared" si="14"/>
        <v>1</v>
      </c>
      <c r="H31" s="720"/>
      <c r="I31" s="23">
        <f t="shared" si="15"/>
        <v>1</v>
      </c>
      <c r="J31" s="720"/>
      <c r="K31" s="23">
        <f t="shared" si="16"/>
        <v>1</v>
      </c>
      <c r="L31" s="720"/>
      <c r="M31" s="23">
        <f t="shared" si="17"/>
        <v>1</v>
      </c>
      <c r="N31" s="720"/>
      <c r="O31" s="23">
        <f t="shared" si="18"/>
        <v>1</v>
      </c>
      <c r="P31" s="720"/>
      <c r="Q31" s="23">
        <f t="shared" si="19"/>
        <v>1</v>
      </c>
      <c r="R31" s="716">
        <f t="shared" ca="1" si="20"/>
        <v>7908</v>
      </c>
      <c r="S31" s="361">
        <f t="shared" ca="1" si="11"/>
        <v>78</v>
      </c>
    </row>
    <row r="32" spans="1:45">
      <c r="A32" s="159" t="str">
        <f>'数据-基础表'!C21</f>
        <v>7-1011</v>
      </c>
      <c r="B32" s="58">
        <f>'数据-基础表'!I21</f>
        <v>98.91</v>
      </c>
      <c r="C32" s="23">
        <f t="shared" si="12"/>
        <v>1</v>
      </c>
      <c r="D32" s="2966" t="s">
        <v>3701</v>
      </c>
      <c r="E32" s="23">
        <f t="shared" si="13"/>
        <v>1</v>
      </c>
      <c r="F32" s="2966" t="s">
        <v>3691</v>
      </c>
      <c r="G32" s="23">
        <f t="shared" si="14"/>
        <v>1</v>
      </c>
      <c r="H32" s="720"/>
      <c r="I32" s="23">
        <f t="shared" si="15"/>
        <v>1</v>
      </c>
      <c r="J32" s="720"/>
      <c r="K32" s="23">
        <f t="shared" si="16"/>
        <v>1</v>
      </c>
      <c r="L32" s="720"/>
      <c r="M32" s="23">
        <f t="shared" si="17"/>
        <v>1</v>
      </c>
      <c r="N32" s="720"/>
      <c r="O32" s="23">
        <f t="shared" si="18"/>
        <v>1</v>
      </c>
      <c r="P32" s="720"/>
      <c r="Q32" s="23">
        <f t="shared" si="19"/>
        <v>1</v>
      </c>
      <c r="R32" s="716">
        <f t="shared" ca="1" si="20"/>
        <v>7908</v>
      </c>
      <c r="S32" s="361">
        <f t="shared" ca="1" si="11"/>
        <v>78</v>
      </c>
    </row>
    <row r="33" spans="1:19">
      <c r="A33" s="159" t="str">
        <f>'数据-基础表'!C22</f>
        <v>7-1012</v>
      </c>
      <c r="B33" s="58">
        <f>'数据-基础表'!I22</f>
        <v>98.91</v>
      </c>
      <c r="C33" s="23">
        <f t="shared" si="12"/>
        <v>1</v>
      </c>
      <c r="D33" s="2966" t="s">
        <v>3701</v>
      </c>
      <c r="E33" s="23">
        <f t="shared" si="13"/>
        <v>1</v>
      </c>
      <c r="F33" s="2966" t="s">
        <v>3691</v>
      </c>
      <c r="G33" s="23">
        <f t="shared" si="14"/>
        <v>1</v>
      </c>
      <c r="H33" s="720"/>
      <c r="I33" s="23">
        <f t="shared" si="15"/>
        <v>1</v>
      </c>
      <c r="J33" s="720"/>
      <c r="K33" s="23">
        <f t="shared" si="16"/>
        <v>1</v>
      </c>
      <c r="L33" s="720"/>
      <c r="M33" s="23">
        <f t="shared" si="17"/>
        <v>1</v>
      </c>
      <c r="N33" s="720"/>
      <c r="O33" s="23">
        <f t="shared" si="18"/>
        <v>1</v>
      </c>
      <c r="P33" s="720"/>
      <c r="Q33" s="23">
        <f t="shared" si="19"/>
        <v>1</v>
      </c>
      <c r="R33" s="716">
        <f t="shared" ca="1" si="20"/>
        <v>7908</v>
      </c>
      <c r="S33" s="361">
        <f t="shared" ca="1" si="11"/>
        <v>78</v>
      </c>
    </row>
    <row r="34" spans="1:19">
      <c r="A34" s="159" t="str">
        <f>'数据-基础表'!C23</f>
        <v>7-1013</v>
      </c>
      <c r="B34" s="58">
        <f>'数据-基础表'!I23</f>
        <v>98.91</v>
      </c>
      <c r="C34" s="23">
        <f t="shared" si="12"/>
        <v>1</v>
      </c>
      <c r="D34" s="2966" t="s">
        <v>3701</v>
      </c>
      <c r="E34" s="23">
        <f t="shared" si="13"/>
        <v>1</v>
      </c>
      <c r="F34" s="2966" t="s">
        <v>3691</v>
      </c>
      <c r="G34" s="23">
        <f t="shared" si="14"/>
        <v>1</v>
      </c>
      <c r="H34" s="720"/>
      <c r="I34" s="23">
        <f t="shared" si="15"/>
        <v>1</v>
      </c>
      <c r="J34" s="720"/>
      <c r="K34" s="23">
        <f t="shared" si="16"/>
        <v>1</v>
      </c>
      <c r="L34" s="720"/>
      <c r="M34" s="23">
        <f t="shared" si="17"/>
        <v>1</v>
      </c>
      <c r="N34" s="720"/>
      <c r="O34" s="23">
        <f t="shared" si="18"/>
        <v>1</v>
      </c>
      <c r="P34" s="720"/>
      <c r="Q34" s="23">
        <f t="shared" si="19"/>
        <v>1</v>
      </c>
      <c r="R34" s="716">
        <f t="shared" ca="1" si="20"/>
        <v>7908</v>
      </c>
      <c r="S34" s="361">
        <f t="shared" ca="1" si="11"/>
        <v>78</v>
      </c>
    </row>
    <row r="35" spans="1:19">
      <c r="A35" s="159" t="str">
        <f>'数据-基础表'!C24</f>
        <v>7-1101</v>
      </c>
      <c r="B35" s="58">
        <f>'数据-基础表'!I24</f>
        <v>76.540000000000006</v>
      </c>
      <c r="C35" s="23">
        <f t="shared" si="12"/>
        <v>1</v>
      </c>
      <c r="D35" s="2966" t="s">
        <v>3701</v>
      </c>
      <c r="E35" s="23">
        <f t="shared" si="13"/>
        <v>1</v>
      </c>
      <c r="F35" s="2966" t="s">
        <v>3691</v>
      </c>
      <c r="G35" s="23">
        <f t="shared" si="14"/>
        <v>1</v>
      </c>
      <c r="H35" s="720"/>
      <c r="I35" s="23">
        <f t="shared" si="15"/>
        <v>1</v>
      </c>
      <c r="J35" s="720"/>
      <c r="K35" s="23">
        <f t="shared" si="16"/>
        <v>1</v>
      </c>
      <c r="L35" s="720"/>
      <c r="M35" s="23">
        <f t="shared" si="17"/>
        <v>1</v>
      </c>
      <c r="N35" s="720"/>
      <c r="O35" s="23">
        <f t="shared" si="18"/>
        <v>1</v>
      </c>
      <c r="P35" s="720"/>
      <c r="Q35" s="23">
        <f t="shared" si="19"/>
        <v>1</v>
      </c>
      <c r="R35" s="716">
        <f t="shared" ca="1" si="20"/>
        <v>7908</v>
      </c>
      <c r="S35" s="361">
        <f t="shared" ca="1" si="11"/>
        <v>61</v>
      </c>
    </row>
    <row r="36" spans="1:19">
      <c r="A36" s="159" t="str">
        <f>'数据-基础表'!C25</f>
        <v>7-1102</v>
      </c>
      <c r="B36" s="58">
        <f>'数据-基础表'!I25</f>
        <v>49.45</v>
      </c>
      <c r="C36" s="23">
        <f t="shared" si="12"/>
        <v>1.01</v>
      </c>
      <c r="D36" s="2966" t="s">
        <v>3701</v>
      </c>
      <c r="E36" s="23">
        <f t="shared" si="13"/>
        <v>1</v>
      </c>
      <c r="F36" s="2966" t="s">
        <v>3691</v>
      </c>
      <c r="G36" s="23">
        <f t="shared" si="14"/>
        <v>1</v>
      </c>
      <c r="H36" s="720"/>
      <c r="I36" s="23">
        <f t="shared" si="15"/>
        <v>1</v>
      </c>
      <c r="J36" s="720"/>
      <c r="K36" s="23">
        <f t="shared" si="16"/>
        <v>1</v>
      </c>
      <c r="L36" s="720"/>
      <c r="M36" s="23">
        <f t="shared" si="17"/>
        <v>1</v>
      </c>
      <c r="N36" s="720"/>
      <c r="O36" s="23">
        <f t="shared" si="18"/>
        <v>1</v>
      </c>
      <c r="P36" s="720"/>
      <c r="Q36" s="23">
        <f t="shared" si="19"/>
        <v>1</v>
      </c>
      <c r="R36" s="716">
        <f t="shared" ca="1" si="20"/>
        <v>7987</v>
      </c>
      <c r="S36" s="361">
        <f t="shared" ca="1" si="11"/>
        <v>39</v>
      </c>
    </row>
    <row r="37" spans="1:19">
      <c r="A37" s="159" t="str">
        <f>'数据-基础表'!C26</f>
        <v>7-1103</v>
      </c>
      <c r="B37" s="58">
        <f>'数据-基础表'!I26</f>
        <v>98.91</v>
      </c>
      <c r="C37" s="23">
        <f t="shared" si="12"/>
        <v>1</v>
      </c>
      <c r="D37" s="2966" t="s">
        <v>3701</v>
      </c>
      <c r="E37" s="23">
        <f t="shared" si="13"/>
        <v>1</v>
      </c>
      <c r="F37" s="2966" t="s">
        <v>3691</v>
      </c>
      <c r="G37" s="23">
        <f t="shared" si="14"/>
        <v>1</v>
      </c>
      <c r="H37" s="720"/>
      <c r="I37" s="23">
        <f t="shared" si="15"/>
        <v>1</v>
      </c>
      <c r="J37" s="720"/>
      <c r="K37" s="23">
        <f t="shared" si="16"/>
        <v>1</v>
      </c>
      <c r="L37" s="720"/>
      <c r="M37" s="23">
        <f t="shared" si="17"/>
        <v>1</v>
      </c>
      <c r="N37" s="720"/>
      <c r="O37" s="23">
        <f t="shared" si="18"/>
        <v>1</v>
      </c>
      <c r="P37" s="720"/>
      <c r="Q37" s="23">
        <f t="shared" si="19"/>
        <v>1</v>
      </c>
      <c r="R37" s="716">
        <f t="shared" ca="1" si="20"/>
        <v>7908</v>
      </c>
      <c r="S37" s="361">
        <f t="shared" ca="1" si="11"/>
        <v>78</v>
      </c>
    </row>
    <row r="38" spans="1:19">
      <c r="A38" s="159" t="str">
        <f>'数据-基础表'!C27</f>
        <v>7-1104</v>
      </c>
      <c r="B38" s="58">
        <f>'数据-基础表'!I27</f>
        <v>98.91</v>
      </c>
      <c r="C38" s="23">
        <f t="shared" si="12"/>
        <v>1</v>
      </c>
      <c r="D38" s="2966" t="s">
        <v>3701</v>
      </c>
      <c r="E38" s="23">
        <f t="shared" si="13"/>
        <v>1</v>
      </c>
      <c r="F38" s="2966" t="s">
        <v>3691</v>
      </c>
      <c r="G38" s="23">
        <f t="shared" si="14"/>
        <v>1</v>
      </c>
      <c r="H38" s="720"/>
      <c r="I38" s="23">
        <f t="shared" si="15"/>
        <v>1</v>
      </c>
      <c r="J38" s="720"/>
      <c r="K38" s="23">
        <f t="shared" si="16"/>
        <v>1</v>
      </c>
      <c r="L38" s="720"/>
      <c r="M38" s="23">
        <f t="shared" si="17"/>
        <v>1</v>
      </c>
      <c r="N38" s="720"/>
      <c r="O38" s="23">
        <f t="shared" si="18"/>
        <v>1</v>
      </c>
      <c r="P38" s="720"/>
      <c r="Q38" s="23">
        <f t="shared" si="19"/>
        <v>1</v>
      </c>
      <c r="R38" s="716">
        <f t="shared" ca="1" si="20"/>
        <v>7908</v>
      </c>
      <c r="S38" s="361">
        <f t="shared" ca="1" si="11"/>
        <v>78</v>
      </c>
    </row>
    <row r="39" spans="1:19">
      <c r="A39" s="159" t="str">
        <f>'数据-基础表'!C28</f>
        <v>7-1105</v>
      </c>
      <c r="B39" s="58">
        <f>'数据-基础表'!I28</f>
        <v>98.91</v>
      </c>
      <c r="C39" s="23">
        <f t="shared" si="12"/>
        <v>1</v>
      </c>
      <c r="D39" s="2966" t="s">
        <v>3701</v>
      </c>
      <c r="E39" s="23">
        <f t="shared" si="13"/>
        <v>1</v>
      </c>
      <c r="F39" s="2966" t="s">
        <v>3691</v>
      </c>
      <c r="G39" s="23">
        <f t="shared" si="14"/>
        <v>1</v>
      </c>
      <c r="H39" s="720"/>
      <c r="I39" s="23">
        <f t="shared" si="15"/>
        <v>1</v>
      </c>
      <c r="J39" s="720"/>
      <c r="K39" s="23">
        <f t="shared" si="16"/>
        <v>1</v>
      </c>
      <c r="L39" s="720"/>
      <c r="M39" s="23">
        <f t="shared" si="17"/>
        <v>1</v>
      </c>
      <c r="N39" s="720"/>
      <c r="O39" s="23">
        <f t="shared" si="18"/>
        <v>1</v>
      </c>
      <c r="P39" s="720"/>
      <c r="Q39" s="23">
        <f t="shared" si="19"/>
        <v>1</v>
      </c>
      <c r="R39" s="716">
        <f t="shared" ca="1" si="20"/>
        <v>7908</v>
      </c>
      <c r="S39" s="361">
        <f t="shared" ca="1" si="11"/>
        <v>78</v>
      </c>
    </row>
    <row r="40" spans="1:19">
      <c r="A40" s="159" t="str">
        <f>'数据-基础表'!C29</f>
        <v>7-1106</v>
      </c>
      <c r="B40" s="58">
        <f>'数据-基础表'!I29</f>
        <v>98.91</v>
      </c>
      <c r="C40" s="23">
        <f t="shared" si="12"/>
        <v>1</v>
      </c>
      <c r="D40" s="2966" t="s">
        <v>3701</v>
      </c>
      <c r="E40" s="23">
        <f t="shared" si="13"/>
        <v>1</v>
      </c>
      <c r="F40" s="2966" t="s">
        <v>3691</v>
      </c>
      <c r="G40" s="23">
        <f t="shared" si="14"/>
        <v>1</v>
      </c>
      <c r="H40" s="720"/>
      <c r="I40" s="23">
        <f t="shared" si="15"/>
        <v>1</v>
      </c>
      <c r="J40" s="720"/>
      <c r="K40" s="23">
        <f t="shared" si="16"/>
        <v>1</v>
      </c>
      <c r="L40" s="720"/>
      <c r="M40" s="23">
        <f t="shared" si="17"/>
        <v>1</v>
      </c>
      <c r="N40" s="720"/>
      <c r="O40" s="23">
        <f t="shared" si="18"/>
        <v>1</v>
      </c>
      <c r="P40" s="720"/>
      <c r="Q40" s="23">
        <f t="shared" si="19"/>
        <v>1</v>
      </c>
      <c r="R40" s="716">
        <f t="shared" ca="1" si="20"/>
        <v>7908</v>
      </c>
      <c r="S40" s="361">
        <f t="shared" ca="1" si="11"/>
        <v>78</v>
      </c>
    </row>
    <row r="41" spans="1:19">
      <c r="A41" s="159" t="str">
        <f>'数据-基础表'!C30</f>
        <v>7-1107</v>
      </c>
      <c r="B41" s="58">
        <f>'数据-基础表'!I30</f>
        <v>125.99</v>
      </c>
      <c r="C41" s="23">
        <f t="shared" si="12"/>
        <v>0.99</v>
      </c>
      <c r="D41" s="2966" t="s">
        <v>3701</v>
      </c>
      <c r="E41" s="23">
        <f t="shared" si="13"/>
        <v>1</v>
      </c>
      <c r="F41" s="2966" t="s">
        <v>3691</v>
      </c>
      <c r="G41" s="23">
        <f t="shared" si="14"/>
        <v>1</v>
      </c>
      <c r="H41" s="720"/>
      <c r="I41" s="23">
        <f t="shared" si="15"/>
        <v>1</v>
      </c>
      <c r="J41" s="720"/>
      <c r="K41" s="23">
        <f t="shared" si="16"/>
        <v>1</v>
      </c>
      <c r="L41" s="720"/>
      <c r="M41" s="23">
        <f t="shared" si="17"/>
        <v>1</v>
      </c>
      <c r="N41" s="720"/>
      <c r="O41" s="23">
        <f t="shared" si="18"/>
        <v>1</v>
      </c>
      <c r="P41" s="720"/>
      <c r="Q41" s="23">
        <f t="shared" si="19"/>
        <v>1</v>
      </c>
      <c r="R41" s="716">
        <f t="shared" ca="1" si="20"/>
        <v>7829</v>
      </c>
      <c r="S41" s="361">
        <f t="shared" ca="1" si="11"/>
        <v>99</v>
      </c>
    </row>
    <row r="42" spans="1:19">
      <c r="A42" s="159" t="str">
        <f>'数据-基础表'!C31</f>
        <v>7-1108</v>
      </c>
      <c r="B42" s="58">
        <f>'数据-基础表'!I31</f>
        <v>135.76</v>
      </c>
      <c r="C42" s="23">
        <f t="shared" si="12"/>
        <v>0.99</v>
      </c>
      <c r="D42" s="2966" t="s">
        <v>3701</v>
      </c>
      <c r="E42" s="23">
        <f t="shared" si="13"/>
        <v>1</v>
      </c>
      <c r="F42" s="2966" t="s">
        <v>3691</v>
      </c>
      <c r="G42" s="23">
        <f t="shared" si="14"/>
        <v>1</v>
      </c>
      <c r="H42" s="720"/>
      <c r="I42" s="23">
        <f t="shared" si="15"/>
        <v>1</v>
      </c>
      <c r="J42" s="720"/>
      <c r="K42" s="23">
        <f t="shared" si="16"/>
        <v>1</v>
      </c>
      <c r="L42" s="720"/>
      <c r="M42" s="23">
        <f t="shared" si="17"/>
        <v>1</v>
      </c>
      <c r="N42" s="720"/>
      <c r="O42" s="23">
        <f t="shared" si="18"/>
        <v>1</v>
      </c>
      <c r="P42" s="720"/>
      <c r="Q42" s="23">
        <f t="shared" si="19"/>
        <v>1</v>
      </c>
      <c r="R42" s="716">
        <f t="shared" ca="1" si="20"/>
        <v>7829</v>
      </c>
      <c r="S42" s="361">
        <f t="shared" ca="1" si="11"/>
        <v>106</v>
      </c>
    </row>
    <row r="43" spans="1:19">
      <c r="A43" s="159" t="str">
        <f>'数据-基础表'!C32</f>
        <v>7-1109</v>
      </c>
      <c r="B43" s="58">
        <f>'数据-基础表'!I32</f>
        <v>125.99</v>
      </c>
      <c r="C43" s="23">
        <f t="shared" si="12"/>
        <v>0.99</v>
      </c>
      <c r="D43" s="2966" t="s">
        <v>3701</v>
      </c>
      <c r="E43" s="23">
        <f t="shared" si="13"/>
        <v>1</v>
      </c>
      <c r="F43" s="2966" t="s">
        <v>3691</v>
      </c>
      <c r="G43" s="23">
        <f t="shared" si="14"/>
        <v>1</v>
      </c>
      <c r="H43" s="720"/>
      <c r="I43" s="23">
        <f t="shared" si="15"/>
        <v>1</v>
      </c>
      <c r="J43" s="720"/>
      <c r="K43" s="23">
        <f t="shared" si="16"/>
        <v>1</v>
      </c>
      <c r="L43" s="720"/>
      <c r="M43" s="23">
        <f t="shared" si="17"/>
        <v>1</v>
      </c>
      <c r="N43" s="720"/>
      <c r="O43" s="23">
        <f t="shared" si="18"/>
        <v>1</v>
      </c>
      <c r="P43" s="720"/>
      <c r="Q43" s="23">
        <f t="shared" si="19"/>
        <v>1</v>
      </c>
      <c r="R43" s="716">
        <f t="shared" ca="1" si="20"/>
        <v>7829</v>
      </c>
      <c r="S43" s="361">
        <f t="shared" ca="1" si="11"/>
        <v>99</v>
      </c>
    </row>
    <row r="44" spans="1:19">
      <c r="A44" s="159" t="str">
        <f>'数据-基础表'!C33</f>
        <v>7-1110</v>
      </c>
      <c r="B44" s="58">
        <f>'数据-基础表'!I33</f>
        <v>98.91</v>
      </c>
      <c r="C44" s="23">
        <f t="shared" si="12"/>
        <v>1</v>
      </c>
      <c r="D44" s="2966" t="s">
        <v>3701</v>
      </c>
      <c r="E44" s="23">
        <f t="shared" si="13"/>
        <v>1</v>
      </c>
      <c r="F44" s="2966" t="s">
        <v>3691</v>
      </c>
      <c r="G44" s="23">
        <f t="shared" si="14"/>
        <v>1</v>
      </c>
      <c r="H44" s="720"/>
      <c r="I44" s="23">
        <f t="shared" si="15"/>
        <v>1</v>
      </c>
      <c r="J44" s="720"/>
      <c r="K44" s="23">
        <f t="shared" si="16"/>
        <v>1</v>
      </c>
      <c r="L44" s="720"/>
      <c r="M44" s="23">
        <f t="shared" si="17"/>
        <v>1</v>
      </c>
      <c r="N44" s="720"/>
      <c r="O44" s="23">
        <f t="shared" si="18"/>
        <v>1</v>
      </c>
      <c r="P44" s="720"/>
      <c r="Q44" s="23">
        <f t="shared" si="19"/>
        <v>1</v>
      </c>
      <c r="R44" s="716">
        <f t="shared" ca="1" si="20"/>
        <v>7908</v>
      </c>
      <c r="S44" s="361">
        <f t="shared" ca="1" si="11"/>
        <v>78</v>
      </c>
    </row>
    <row r="45" spans="1:19">
      <c r="A45" s="159" t="str">
        <f>'数据-基础表'!C34</f>
        <v>7-1111</v>
      </c>
      <c r="B45" s="58">
        <f>'数据-基础表'!I34</f>
        <v>98.91</v>
      </c>
      <c r="C45" s="23">
        <f t="shared" si="12"/>
        <v>1</v>
      </c>
      <c r="D45" s="2966" t="s">
        <v>3701</v>
      </c>
      <c r="E45" s="23">
        <f t="shared" si="13"/>
        <v>1</v>
      </c>
      <c r="F45" s="2966" t="s">
        <v>3691</v>
      </c>
      <c r="G45" s="23">
        <f t="shared" si="14"/>
        <v>1</v>
      </c>
      <c r="H45" s="720"/>
      <c r="I45" s="23">
        <f t="shared" si="15"/>
        <v>1</v>
      </c>
      <c r="J45" s="720"/>
      <c r="K45" s="23">
        <f t="shared" si="16"/>
        <v>1</v>
      </c>
      <c r="L45" s="720"/>
      <c r="M45" s="23">
        <f t="shared" si="17"/>
        <v>1</v>
      </c>
      <c r="N45" s="720"/>
      <c r="O45" s="23">
        <f t="shared" si="18"/>
        <v>1</v>
      </c>
      <c r="P45" s="720"/>
      <c r="Q45" s="23">
        <f t="shared" si="19"/>
        <v>1</v>
      </c>
      <c r="R45" s="716">
        <f t="shared" ca="1" si="20"/>
        <v>7908</v>
      </c>
      <c r="S45" s="361">
        <f t="shared" ca="1" si="11"/>
        <v>78</v>
      </c>
    </row>
    <row r="46" spans="1:19">
      <c r="A46" s="159" t="str">
        <f>'数据-基础表'!C35</f>
        <v>7-1112</v>
      </c>
      <c r="B46" s="58">
        <f>'数据-基础表'!I35</f>
        <v>98.91</v>
      </c>
      <c r="C46" s="23">
        <f t="shared" si="12"/>
        <v>1</v>
      </c>
      <c r="D46" s="2966" t="s">
        <v>3701</v>
      </c>
      <c r="E46" s="23">
        <f t="shared" si="13"/>
        <v>1</v>
      </c>
      <c r="F46" s="2966" t="s">
        <v>3691</v>
      </c>
      <c r="G46" s="23">
        <f t="shared" si="14"/>
        <v>1</v>
      </c>
      <c r="H46" s="720"/>
      <c r="I46" s="23">
        <f t="shared" si="15"/>
        <v>1</v>
      </c>
      <c r="J46" s="720"/>
      <c r="K46" s="23">
        <f t="shared" si="16"/>
        <v>1</v>
      </c>
      <c r="L46" s="720"/>
      <c r="M46" s="23">
        <f t="shared" si="17"/>
        <v>1</v>
      </c>
      <c r="N46" s="720"/>
      <c r="O46" s="23">
        <f t="shared" si="18"/>
        <v>1</v>
      </c>
      <c r="P46" s="720"/>
      <c r="Q46" s="23">
        <f t="shared" si="19"/>
        <v>1</v>
      </c>
      <c r="R46" s="716">
        <f t="shared" ca="1" si="20"/>
        <v>7908</v>
      </c>
      <c r="S46" s="361">
        <f t="shared" ca="1" si="11"/>
        <v>78</v>
      </c>
    </row>
    <row r="47" spans="1:19">
      <c r="A47" s="159" t="str">
        <f>'数据-基础表'!C36</f>
        <v>7-1113</v>
      </c>
      <c r="B47" s="58">
        <f>'数据-基础表'!I36</f>
        <v>98.91</v>
      </c>
      <c r="C47" s="23">
        <f t="shared" si="12"/>
        <v>1</v>
      </c>
      <c r="D47" s="2966" t="s">
        <v>3701</v>
      </c>
      <c r="E47" s="23">
        <f t="shared" si="13"/>
        <v>1</v>
      </c>
      <c r="F47" s="2966" t="s">
        <v>3691</v>
      </c>
      <c r="G47" s="23">
        <f t="shared" si="14"/>
        <v>1</v>
      </c>
      <c r="H47" s="720"/>
      <c r="I47" s="23">
        <f t="shared" si="15"/>
        <v>1</v>
      </c>
      <c r="J47" s="720"/>
      <c r="K47" s="23">
        <f t="shared" si="16"/>
        <v>1</v>
      </c>
      <c r="L47" s="720"/>
      <c r="M47" s="23">
        <f t="shared" si="17"/>
        <v>1</v>
      </c>
      <c r="N47" s="720"/>
      <c r="O47" s="23">
        <f t="shared" si="18"/>
        <v>1</v>
      </c>
      <c r="P47" s="720"/>
      <c r="Q47" s="23">
        <f t="shared" si="19"/>
        <v>1</v>
      </c>
      <c r="R47" s="716">
        <f t="shared" ca="1" si="20"/>
        <v>7908</v>
      </c>
      <c r="S47" s="361">
        <f t="shared" ca="1" si="11"/>
        <v>78</v>
      </c>
    </row>
    <row r="48" spans="1:19">
      <c r="A48" s="159" t="str">
        <f>'数据-基础表'!C37</f>
        <v>7-1114</v>
      </c>
      <c r="B48" s="58">
        <f>'数据-基础表'!I37</f>
        <v>49.45</v>
      </c>
      <c r="C48" s="23">
        <f t="shared" si="12"/>
        <v>1.01</v>
      </c>
      <c r="D48" s="2966" t="s">
        <v>3701</v>
      </c>
      <c r="E48" s="23">
        <f t="shared" si="13"/>
        <v>1</v>
      </c>
      <c r="F48" s="2966" t="s">
        <v>3691</v>
      </c>
      <c r="G48" s="23">
        <f t="shared" si="14"/>
        <v>1</v>
      </c>
      <c r="H48" s="720"/>
      <c r="I48" s="23">
        <f t="shared" si="15"/>
        <v>1</v>
      </c>
      <c r="J48" s="720"/>
      <c r="K48" s="23">
        <f t="shared" si="16"/>
        <v>1</v>
      </c>
      <c r="L48" s="720"/>
      <c r="M48" s="23">
        <f t="shared" si="17"/>
        <v>1</v>
      </c>
      <c r="N48" s="720"/>
      <c r="O48" s="23">
        <f t="shared" si="18"/>
        <v>1</v>
      </c>
      <c r="P48" s="720"/>
      <c r="Q48" s="23">
        <f t="shared" si="19"/>
        <v>1</v>
      </c>
      <c r="R48" s="716">
        <f t="shared" ca="1" si="20"/>
        <v>7987</v>
      </c>
      <c r="S48" s="361">
        <f t="shared" ca="1" si="11"/>
        <v>39</v>
      </c>
    </row>
    <row r="49" spans="1:19">
      <c r="A49" s="159" t="str">
        <f>'数据-基础表'!C38</f>
        <v>7-1115</v>
      </c>
      <c r="B49" s="58">
        <f>'数据-基础表'!I38</f>
        <v>76.540000000000006</v>
      </c>
      <c r="C49" s="23">
        <f t="shared" si="12"/>
        <v>1</v>
      </c>
      <c r="D49" s="2966" t="s">
        <v>3701</v>
      </c>
      <c r="E49" s="23">
        <f t="shared" si="13"/>
        <v>1</v>
      </c>
      <c r="F49" s="2966" t="s">
        <v>3691</v>
      </c>
      <c r="G49" s="23">
        <f t="shared" si="14"/>
        <v>1</v>
      </c>
      <c r="H49" s="720"/>
      <c r="I49" s="23">
        <f t="shared" si="15"/>
        <v>1</v>
      </c>
      <c r="J49" s="720"/>
      <c r="K49" s="23">
        <f t="shared" si="16"/>
        <v>1</v>
      </c>
      <c r="L49" s="720"/>
      <c r="M49" s="23">
        <f t="shared" si="17"/>
        <v>1</v>
      </c>
      <c r="N49" s="720"/>
      <c r="O49" s="23">
        <f t="shared" si="18"/>
        <v>1</v>
      </c>
      <c r="P49" s="720"/>
      <c r="Q49" s="23">
        <f t="shared" si="19"/>
        <v>1</v>
      </c>
      <c r="R49" s="716">
        <f t="shared" ca="1" si="20"/>
        <v>7908</v>
      </c>
      <c r="S49" s="361">
        <f t="shared" ca="1" si="11"/>
        <v>61</v>
      </c>
    </row>
    <row r="50" spans="1:19">
      <c r="A50" s="159" t="str">
        <f>'数据-基础表'!C39</f>
        <v>7-1116</v>
      </c>
      <c r="B50" s="58">
        <f>'数据-基础表'!I39</f>
        <v>135.76</v>
      </c>
      <c r="C50" s="23">
        <f t="shared" si="12"/>
        <v>0.99</v>
      </c>
      <c r="D50" s="2966" t="s">
        <v>3701</v>
      </c>
      <c r="E50" s="23">
        <f t="shared" si="13"/>
        <v>1</v>
      </c>
      <c r="F50" s="2966" t="s">
        <v>3691</v>
      </c>
      <c r="G50" s="23">
        <f t="shared" si="14"/>
        <v>1</v>
      </c>
      <c r="H50" s="720"/>
      <c r="I50" s="23">
        <f t="shared" si="15"/>
        <v>1</v>
      </c>
      <c r="J50" s="720"/>
      <c r="K50" s="23">
        <f t="shared" si="16"/>
        <v>1</v>
      </c>
      <c r="L50" s="720"/>
      <c r="M50" s="23">
        <f t="shared" si="17"/>
        <v>1</v>
      </c>
      <c r="N50" s="720"/>
      <c r="O50" s="23">
        <f t="shared" si="18"/>
        <v>1</v>
      </c>
      <c r="P50" s="720"/>
      <c r="Q50" s="23">
        <f t="shared" si="19"/>
        <v>1</v>
      </c>
      <c r="R50" s="716">
        <f t="shared" ca="1" si="20"/>
        <v>7829</v>
      </c>
      <c r="S50" s="361">
        <f t="shared" ca="1" si="11"/>
        <v>106</v>
      </c>
    </row>
    <row r="51" spans="1:19">
      <c r="A51" s="159" t="str">
        <f>'数据-基础表'!C40</f>
        <v>7-1201</v>
      </c>
      <c r="B51" s="58">
        <f>'数据-基础表'!I40</f>
        <v>76.540000000000006</v>
      </c>
      <c r="C51" s="23">
        <f t="shared" si="12"/>
        <v>1</v>
      </c>
      <c r="D51" s="2966" t="s">
        <v>3701</v>
      </c>
      <c r="E51" s="23">
        <f t="shared" si="13"/>
        <v>1</v>
      </c>
      <c r="F51" s="2966" t="s">
        <v>3691</v>
      </c>
      <c r="G51" s="23">
        <f t="shared" si="14"/>
        <v>1</v>
      </c>
      <c r="H51" s="720"/>
      <c r="I51" s="23">
        <f t="shared" si="15"/>
        <v>1</v>
      </c>
      <c r="J51" s="720"/>
      <c r="K51" s="23">
        <f t="shared" si="16"/>
        <v>1</v>
      </c>
      <c r="L51" s="720"/>
      <c r="M51" s="23">
        <f t="shared" si="17"/>
        <v>1</v>
      </c>
      <c r="N51" s="720"/>
      <c r="O51" s="23">
        <f t="shared" si="18"/>
        <v>1</v>
      </c>
      <c r="P51" s="720"/>
      <c r="Q51" s="23">
        <f t="shared" si="19"/>
        <v>1</v>
      </c>
      <c r="R51" s="716">
        <f t="shared" ca="1" si="20"/>
        <v>7908</v>
      </c>
      <c r="S51" s="361">
        <f t="shared" ca="1" si="11"/>
        <v>61</v>
      </c>
    </row>
    <row r="52" spans="1:19">
      <c r="A52" s="159" t="str">
        <f>'数据-基础表'!C41</f>
        <v>7-1202</v>
      </c>
      <c r="B52" s="58">
        <f>'数据-基础表'!I41</f>
        <v>49.45</v>
      </c>
      <c r="C52" s="23">
        <f t="shared" si="12"/>
        <v>1.01</v>
      </c>
      <c r="D52" s="2966" t="s">
        <v>3701</v>
      </c>
      <c r="E52" s="23">
        <f t="shared" si="13"/>
        <v>1</v>
      </c>
      <c r="F52" s="2966" t="s">
        <v>3691</v>
      </c>
      <c r="G52" s="23">
        <f t="shared" si="14"/>
        <v>1</v>
      </c>
      <c r="H52" s="720"/>
      <c r="I52" s="23">
        <f t="shared" si="15"/>
        <v>1</v>
      </c>
      <c r="J52" s="720"/>
      <c r="K52" s="23">
        <f t="shared" si="16"/>
        <v>1</v>
      </c>
      <c r="L52" s="720"/>
      <c r="M52" s="23">
        <f t="shared" si="17"/>
        <v>1</v>
      </c>
      <c r="N52" s="720"/>
      <c r="O52" s="23">
        <f t="shared" si="18"/>
        <v>1</v>
      </c>
      <c r="P52" s="720"/>
      <c r="Q52" s="23">
        <f t="shared" si="19"/>
        <v>1</v>
      </c>
      <c r="R52" s="716">
        <f t="shared" ca="1" si="20"/>
        <v>7987</v>
      </c>
      <c r="S52" s="361">
        <f t="shared" ca="1" si="11"/>
        <v>39</v>
      </c>
    </row>
    <row r="53" spans="1:19">
      <c r="A53" s="159" t="str">
        <f>'数据-基础表'!C42</f>
        <v>7-1203</v>
      </c>
      <c r="B53" s="58">
        <f>'数据-基础表'!I42</f>
        <v>98.91</v>
      </c>
      <c r="C53" s="23">
        <f t="shared" si="12"/>
        <v>1</v>
      </c>
      <c r="D53" s="2966" t="s">
        <v>3701</v>
      </c>
      <c r="E53" s="23">
        <f t="shared" si="13"/>
        <v>1</v>
      </c>
      <c r="F53" s="2966" t="s">
        <v>3691</v>
      </c>
      <c r="G53" s="23">
        <f t="shared" si="14"/>
        <v>1</v>
      </c>
      <c r="H53" s="720"/>
      <c r="I53" s="23">
        <f t="shared" si="15"/>
        <v>1</v>
      </c>
      <c r="J53" s="720"/>
      <c r="K53" s="23">
        <f t="shared" si="16"/>
        <v>1</v>
      </c>
      <c r="L53" s="720"/>
      <c r="M53" s="23">
        <f t="shared" si="17"/>
        <v>1</v>
      </c>
      <c r="N53" s="720"/>
      <c r="O53" s="23">
        <f t="shared" si="18"/>
        <v>1</v>
      </c>
      <c r="P53" s="720"/>
      <c r="Q53" s="23">
        <f t="shared" si="19"/>
        <v>1</v>
      </c>
      <c r="R53" s="716">
        <f t="shared" ca="1" si="20"/>
        <v>7908</v>
      </c>
      <c r="S53" s="361">
        <f t="shared" ca="1" si="11"/>
        <v>78</v>
      </c>
    </row>
    <row r="54" spans="1:19">
      <c r="A54" s="159" t="str">
        <f>'数据-基础表'!C43</f>
        <v>7-1204</v>
      </c>
      <c r="B54" s="58">
        <f>'数据-基础表'!I43</f>
        <v>98.91</v>
      </c>
      <c r="C54" s="23">
        <f t="shared" si="12"/>
        <v>1</v>
      </c>
      <c r="D54" s="2966" t="s">
        <v>3701</v>
      </c>
      <c r="E54" s="23">
        <f t="shared" si="13"/>
        <v>1</v>
      </c>
      <c r="F54" s="2966" t="s">
        <v>3691</v>
      </c>
      <c r="G54" s="23">
        <f t="shared" si="14"/>
        <v>1</v>
      </c>
      <c r="H54" s="720"/>
      <c r="I54" s="23">
        <f t="shared" si="15"/>
        <v>1</v>
      </c>
      <c r="J54" s="720"/>
      <c r="K54" s="23">
        <f t="shared" si="16"/>
        <v>1</v>
      </c>
      <c r="L54" s="720"/>
      <c r="M54" s="23">
        <f t="shared" si="17"/>
        <v>1</v>
      </c>
      <c r="N54" s="720"/>
      <c r="O54" s="23">
        <f t="shared" si="18"/>
        <v>1</v>
      </c>
      <c r="P54" s="720"/>
      <c r="Q54" s="23">
        <f t="shared" si="19"/>
        <v>1</v>
      </c>
      <c r="R54" s="716">
        <f t="shared" ca="1" si="20"/>
        <v>7908</v>
      </c>
      <c r="S54" s="361">
        <f t="shared" ca="1" si="11"/>
        <v>78</v>
      </c>
    </row>
    <row r="55" spans="1:19">
      <c r="A55" s="159" t="str">
        <f>'数据-基础表'!C44</f>
        <v>7-1205</v>
      </c>
      <c r="B55" s="58">
        <f>'数据-基础表'!I44</f>
        <v>98.91</v>
      </c>
      <c r="C55" s="23">
        <f t="shared" si="12"/>
        <v>1</v>
      </c>
      <c r="D55" s="2966" t="s">
        <v>3701</v>
      </c>
      <c r="E55" s="23">
        <f t="shared" si="13"/>
        <v>1</v>
      </c>
      <c r="F55" s="2966" t="s">
        <v>3691</v>
      </c>
      <c r="G55" s="23">
        <f t="shared" si="14"/>
        <v>1</v>
      </c>
      <c r="H55" s="720"/>
      <c r="I55" s="23">
        <f t="shared" si="15"/>
        <v>1</v>
      </c>
      <c r="J55" s="720"/>
      <c r="K55" s="23">
        <f t="shared" si="16"/>
        <v>1</v>
      </c>
      <c r="L55" s="720"/>
      <c r="M55" s="23">
        <f t="shared" si="17"/>
        <v>1</v>
      </c>
      <c r="N55" s="720"/>
      <c r="O55" s="23">
        <f t="shared" si="18"/>
        <v>1</v>
      </c>
      <c r="P55" s="720"/>
      <c r="Q55" s="23">
        <f t="shared" si="19"/>
        <v>1</v>
      </c>
      <c r="R55" s="716">
        <f t="shared" ca="1" si="20"/>
        <v>7908</v>
      </c>
      <c r="S55" s="361">
        <f t="shared" ref="S55:S77" ca="1" si="21">ROUND(R55*B55/10000,0)</f>
        <v>78</v>
      </c>
    </row>
    <row r="56" spans="1:19">
      <c r="A56" s="159" t="str">
        <f>'数据-基础表'!C45</f>
        <v>7-1206</v>
      </c>
      <c r="B56" s="58">
        <f>'数据-基础表'!I45</f>
        <v>98.91</v>
      </c>
      <c r="C56" s="23">
        <f t="shared" si="12"/>
        <v>1</v>
      </c>
      <c r="D56" s="2966" t="s">
        <v>3701</v>
      </c>
      <c r="E56" s="23">
        <f t="shared" si="13"/>
        <v>1</v>
      </c>
      <c r="F56" s="2966" t="s">
        <v>3691</v>
      </c>
      <c r="G56" s="23">
        <f t="shared" si="14"/>
        <v>1</v>
      </c>
      <c r="H56" s="720"/>
      <c r="I56" s="23">
        <f t="shared" si="15"/>
        <v>1</v>
      </c>
      <c r="J56" s="720"/>
      <c r="K56" s="23">
        <f t="shared" si="16"/>
        <v>1</v>
      </c>
      <c r="L56" s="720"/>
      <c r="M56" s="23">
        <f t="shared" si="17"/>
        <v>1</v>
      </c>
      <c r="N56" s="720"/>
      <c r="O56" s="23">
        <f t="shared" si="18"/>
        <v>1</v>
      </c>
      <c r="P56" s="720"/>
      <c r="Q56" s="23">
        <f t="shared" si="19"/>
        <v>1</v>
      </c>
      <c r="R56" s="716">
        <f t="shared" ca="1" si="20"/>
        <v>7908</v>
      </c>
      <c r="S56" s="361">
        <f t="shared" ca="1" si="21"/>
        <v>78</v>
      </c>
    </row>
    <row r="57" spans="1:19">
      <c r="A57" s="159" t="str">
        <f>'数据-基础表'!C46</f>
        <v>7-1207</v>
      </c>
      <c r="B57" s="58">
        <f>'数据-基础表'!I46</f>
        <v>125.99</v>
      </c>
      <c r="C57" s="23">
        <f t="shared" si="12"/>
        <v>0.99</v>
      </c>
      <c r="D57" s="2966" t="s">
        <v>3701</v>
      </c>
      <c r="E57" s="23">
        <f t="shared" si="13"/>
        <v>1</v>
      </c>
      <c r="F57" s="2966" t="s">
        <v>3691</v>
      </c>
      <c r="G57" s="23">
        <f t="shared" si="14"/>
        <v>1</v>
      </c>
      <c r="H57" s="720"/>
      <c r="I57" s="23">
        <f t="shared" si="15"/>
        <v>1</v>
      </c>
      <c r="J57" s="720"/>
      <c r="K57" s="23">
        <f t="shared" si="16"/>
        <v>1</v>
      </c>
      <c r="L57" s="720"/>
      <c r="M57" s="23">
        <f t="shared" si="17"/>
        <v>1</v>
      </c>
      <c r="N57" s="720"/>
      <c r="O57" s="23">
        <f t="shared" si="18"/>
        <v>1</v>
      </c>
      <c r="P57" s="720"/>
      <c r="Q57" s="23">
        <f t="shared" si="19"/>
        <v>1</v>
      </c>
      <c r="R57" s="716">
        <f t="shared" ca="1" si="20"/>
        <v>7829</v>
      </c>
      <c r="S57" s="361">
        <f t="shared" ca="1" si="21"/>
        <v>99</v>
      </c>
    </row>
    <row r="58" spans="1:19">
      <c r="A58" s="159" t="str">
        <f>'数据-基础表'!C47</f>
        <v>7-1208</v>
      </c>
      <c r="B58" s="58">
        <f>'数据-基础表'!I47</f>
        <v>135.76</v>
      </c>
      <c r="C58" s="23">
        <f t="shared" si="12"/>
        <v>0.99</v>
      </c>
      <c r="D58" s="2966" t="s">
        <v>3701</v>
      </c>
      <c r="E58" s="23">
        <f t="shared" si="13"/>
        <v>1</v>
      </c>
      <c r="F58" s="2966" t="s">
        <v>3691</v>
      </c>
      <c r="G58" s="23">
        <f t="shared" si="14"/>
        <v>1</v>
      </c>
      <c r="H58" s="720"/>
      <c r="I58" s="23">
        <f t="shared" si="15"/>
        <v>1</v>
      </c>
      <c r="J58" s="720"/>
      <c r="K58" s="23">
        <f t="shared" si="16"/>
        <v>1</v>
      </c>
      <c r="L58" s="720"/>
      <c r="M58" s="23">
        <f t="shared" si="17"/>
        <v>1</v>
      </c>
      <c r="N58" s="720"/>
      <c r="O58" s="23">
        <f t="shared" si="18"/>
        <v>1</v>
      </c>
      <c r="P58" s="720"/>
      <c r="Q58" s="23">
        <f t="shared" si="19"/>
        <v>1</v>
      </c>
      <c r="R58" s="716">
        <f t="shared" ca="1" si="20"/>
        <v>7829</v>
      </c>
      <c r="S58" s="361">
        <f t="shared" ca="1" si="21"/>
        <v>106</v>
      </c>
    </row>
    <row r="59" spans="1:19">
      <c r="A59" s="159" t="str">
        <f>'数据-基础表'!C48</f>
        <v>7-1209</v>
      </c>
      <c r="B59" s="58">
        <f>'数据-基础表'!I48</f>
        <v>125.99</v>
      </c>
      <c r="C59" s="23">
        <f t="shared" si="12"/>
        <v>0.99</v>
      </c>
      <c r="D59" s="2966" t="s">
        <v>3701</v>
      </c>
      <c r="E59" s="23">
        <f t="shared" si="13"/>
        <v>1</v>
      </c>
      <c r="F59" s="2966" t="s">
        <v>3691</v>
      </c>
      <c r="G59" s="23">
        <f t="shared" si="14"/>
        <v>1</v>
      </c>
      <c r="H59" s="720"/>
      <c r="I59" s="23">
        <f t="shared" si="15"/>
        <v>1</v>
      </c>
      <c r="J59" s="720"/>
      <c r="K59" s="23">
        <f t="shared" si="16"/>
        <v>1</v>
      </c>
      <c r="L59" s="720"/>
      <c r="M59" s="23">
        <f t="shared" si="17"/>
        <v>1</v>
      </c>
      <c r="N59" s="720"/>
      <c r="O59" s="23">
        <f t="shared" si="18"/>
        <v>1</v>
      </c>
      <c r="P59" s="720"/>
      <c r="Q59" s="23">
        <f t="shared" si="19"/>
        <v>1</v>
      </c>
      <c r="R59" s="716">
        <f t="shared" ca="1" si="20"/>
        <v>7829</v>
      </c>
      <c r="S59" s="361">
        <f t="shared" ca="1" si="21"/>
        <v>99</v>
      </c>
    </row>
    <row r="60" spans="1:19">
      <c r="A60" s="159" t="str">
        <f>'数据-基础表'!C49</f>
        <v>7-1210</v>
      </c>
      <c r="B60" s="58">
        <f>'数据-基础表'!I49</f>
        <v>98.91</v>
      </c>
      <c r="C60" s="23">
        <f t="shared" si="12"/>
        <v>1</v>
      </c>
      <c r="D60" s="2966" t="s">
        <v>3701</v>
      </c>
      <c r="E60" s="23">
        <f t="shared" si="13"/>
        <v>1</v>
      </c>
      <c r="F60" s="2966" t="s">
        <v>3691</v>
      </c>
      <c r="G60" s="23">
        <f t="shared" si="14"/>
        <v>1</v>
      </c>
      <c r="H60" s="720"/>
      <c r="I60" s="23">
        <f t="shared" si="15"/>
        <v>1</v>
      </c>
      <c r="J60" s="720"/>
      <c r="K60" s="23">
        <f t="shared" si="16"/>
        <v>1</v>
      </c>
      <c r="L60" s="720"/>
      <c r="M60" s="23">
        <f t="shared" si="17"/>
        <v>1</v>
      </c>
      <c r="N60" s="720"/>
      <c r="O60" s="23">
        <f t="shared" si="18"/>
        <v>1</v>
      </c>
      <c r="P60" s="720"/>
      <c r="Q60" s="23">
        <f t="shared" si="19"/>
        <v>1</v>
      </c>
      <c r="R60" s="716">
        <f t="shared" ca="1" si="20"/>
        <v>7908</v>
      </c>
      <c r="S60" s="361">
        <f t="shared" ca="1" si="21"/>
        <v>78</v>
      </c>
    </row>
    <row r="61" spans="1:19">
      <c r="A61" s="159" t="str">
        <f>'数据-基础表'!C50</f>
        <v>7-1211</v>
      </c>
      <c r="B61" s="58">
        <f>'数据-基础表'!I50</f>
        <v>98.91</v>
      </c>
      <c r="C61" s="23">
        <f t="shared" si="12"/>
        <v>1</v>
      </c>
      <c r="D61" s="2966" t="s">
        <v>3701</v>
      </c>
      <c r="E61" s="23">
        <f t="shared" si="13"/>
        <v>1</v>
      </c>
      <c r="F61" s="2966" t="s">
        <v>3691</v>
      </c>
      <c r="G61" s="23">
        <f t="shared" si="14"/>
        <v>1</v>
      </c>
      <c r="H61" s="720"/>
      <c r="I61" s="23">
        <f t="shared" si="15"/>
        <v>1</v>
      </c>
      <c r="J61" s="720"/>
      <c r="K61" s="23">
        <f t="shared" si="16"/>
        <v>1</v>
      </c>
      <c r="L61" s="720"/>
      <c r="M61" s="23">
        <f t="shared" si="17"/>
        <v>1</v>
      </c>
      <c r="N61" s="720"/>
      <c r="O61" s="23">
        <f t="shared" si="18"/>
        <v>1</v>
      </c>
      <c r="P61" s="720"/>
      <c r="Q61" s="23">
        <f t="shared" si="19"/>
        <v>1</v>
      </c>
      <c r="R61" s="716">
        <f t="shared" ca="1" si="20"/>
        <v>7908</v>
      </c>
      <c r="S61" s="361">
        <f t="shared" ca="1" si="21"/>
        <v>78</v>
      </c>
    </row>
    <row r="62" spans="1:19">
      <c r="A62" s="159" t="str">
        <f>'数据-基础表'!C51</f>
        <v>7-1212</v>
      </c>
      <c r="B62" s="58">
        <f>'数据-基础表'!I51</f>
        <v>98.91</v>
      </c>
      <c r="C62" s="23">
        <f t="shared" si="12"/>
        <v>1</v>
      </c>
      <c r="D62" s="2966" t="s">
        <v>3701</v>
      </c>
      <c r="E62" s="23">
        <f t="shared" si="13"/>
        <v>1</v>
      </c>
      <c r="F62" s="2966" t="s">
        <v>3691</v>
      </c>
      <c r="G62" s="23">
        <f t="shared" si="14"/>
        <v>1</v>
      </c>
      <c r="H62" s="720"/>
      <c r="I62" s="23">
        <f t="shared" si="15"/>
        <v>1</v>
      </c>
      <c r="J62" s="720"/>
      <c r="K62" s="23">
        <f t="shared" si="16"/>
        <v>1</v>
      </c>
      <c r="L62" s="720"/>
      <c r="M62" s="23">
        <f t="shared" si="17"/>
        <v>1</v>
      </c>
      <c r="N62" s="720"/>
      <c r="O62" s="23">
        <f t="shared" si="18"/>
        <v>1</v>
      </c>
      <c r="P62" s="720"/>
      <c r="Q62" s="23">
        <f t="shared" si="19"/>
        <v>1</v>
      </c>
      <c r="R62" s="716">
        <f t="shared" ca="1" si="20"/>
        <v>7908</v>
      </c>
      <c r="S62" s="361">
        <f t="shared" ca="1" si="21"/>
        <v>78</v>
      </c>
    </row>
    <row r="63" spans="1:19">
      <c r="A63" s="159" t="str">
        <f>'数据-基础表'!C52</f>
        <v>7-1213</v>
      </c>
      <c r="B63" s="58">
        <f>'数据-基础表'!I52</f>
        <v>98.91</v>
      </c>
      <c r="C63" s="23">
        <f t="shared" si="12"/>
        <v>1</v>
      </c>
      <c r="D63" s="2966" t="s">
        <v>3701</v>
      </c>
      <c r="E63" s="23">
        <f t="shared" si="13"/>
        <v>1</v>
      </c>
      <c r="F63" s="2966" t="s">
        <v>3691</v>
      </c>
      <c r="G63" s="23">
        <f t="shared" si="14"/>
        <v>1</v>
      </c>
      <c r="H63" s="720"/>
      <c r="I63" s="23">
        <f t="shared" si="15"/>
        <v>1</v>
      </c>
      <c r="J63" s="720"/>
      <c r="K63" s="23">
        <f t="shared" si="16"/>
        <v>1</v>
      </c>
      <c r="L63" s="720"/>
      <c r="M63" s="23">
        <f t="shared" si="17"/>
        <v>1</v>
      </c>
      <c r="N63" s="720"/>
      <c r="O63" s="23">
        <f t="shared" si="18"/>
        <v>1</v>
      </c>
      <c r="P63" s="720"/>
      <c r="Q63" s="23">
        <f t="shared" si="19"/>
        <v>1</v>
      </c>
      <c r="R63" s="716">
        <f t="shared" ca="1" si="20"/>
        <v>7908</v>
      </c>
      <c r="S63" s="361">
        <f t="shared" ca="1" si="21"/>
        <v>78</v>
      </c>
    </row>
    <row r="64" spans="1:19">
      <c r="A64" s="159" t="str">
        <f>'数据-基础表'!C53</f>
        <v>7-1214</v>
      </c>
      <c r="B64" s="58">
        <f>'数据-基础表'!I53</f>
        <v>49.45</v>
      </c>
      <c r="C64" s="23">
        <f t="shared" si="12"/>
        <v>1.01</v>
      </c>
      <c r="D64" s="2966" t="s">
        <v>3701</v>
      </c>
      <c r="E64" s="23">
        <f t="shared" si="13"/>
        <v>1</v>
      </c>
      <c r="F64" s="2966" t="s">
        <v>3691</v>
      </c>
      <c r="G64" s="23">
        <f t="shared" si="14"/>
        <v>1</v>
      </c>
      <c r="H64" s="720"/>
      <c r="I64" s="23">
        <f t="shared" si="15"/>
        <v>1</v>
      </c>
      <c r="J64" s="720"/>
      <c r="K64" s="23">
        <f t="shared" si="16"/>
        <v>1</v>
      </c>
      <c r="L64" s="720"/>
      <c r="M64" s="23">
        <f t="shared" si="17"/>
        <v>1</v>
      </c>
      <c r="N64" s="720"/>
      <c r="O64" s="23">
        <f t="shared" si="18"/>
        <v>1</v>
      </c>
      <c r="P64" s="720"/>
      <c r="Q64" s="23">
        <f t="shared" si="19"/>
        <v>1</v>
      </c>
      <c r="R64" s="716">
        <f t="shared" ca="1" si="20"/>
        <v>7987</v>
      </c>
      <c r="S64" s="361">
        <f t="shared" ca="1" si="21"/>
        <v>39</v>
      </c>
    </row>
    <row r="65" spans="1:19">
      <c r="A65" s="159" t="str">
        <f>'数据-基础表'!C54</f>
        <v>7-1215</v>
      </c>
      <c r="B65" s="58">
        <f>'数据-基础表'!I54</f>
        <v>76.540000000000006</v>
      </c>
      <c r="C65" s="23">
        <f t="shared" si="12"/>
        <v>1</v>
      </c>
      <c r="D65" s="2966" t="s">
        <v>3701</v>
      </c>
      <c r="E65" s="23">
        <f t="shared" si="13"/>
        <v>1</v>
      </c>
      <c r="F65" s="2966" t="s">
        <v>3691</v>
      </c>
      <c r="G65" s="23">
        <f t="shared" si="14"/>
        <v>1</v>
      </c>
      <c r="H65" s="720"/>
      <c r="I65" s="23">
        <f t="shared" si="15"/>
        <v>1</v>
      </c>
      <c r="J65" s="720"/>
      <c r="K65" s="23">
        <f t="shared" si="16"/>
        <v>1</v>
      </c>
      <c r="L65" s="720"/>
      <c r="M65" s="23">
        <f t="shared" si="17"/>
        <v>1</v>
      </c>
      <c r="N65" s="720"/>
      <c r="O65" s="23">
        <f t="shared" si="18"/>
        <v>1</v>
      </c>
      <c r="P65" s="720"/>
      <c r="Q65" s="23">
        <f t="shared" si="19"/>
        <v>1</v>
      </c>
      <c r="R65" s="716">
        <f t="shared" ca="1" si="20"/>
        <v>7908</v>
      </c>
      <c r="S65" s="361">
        <f t="shared" ca="1" si="21"/>
        <v>61</v>
      </c>
    </row>
    <row r="66" spans="1:19">
      <c r="A66" s="159" t="str">
        <f>'数据-基础表'!C55</f>
        <v>7-1216</v>
      </c>
      <c r="B66" s="58">
        <f>'数据-基础表'!I55</f>
        <v>135.76</v>
      </c>
      <c r="C66" s="23">
        <f t="shared" si="12"/>
        <v>0.99</v>
      </c>
      <c r="D66" s="2966" t="s">
        <v>3701</v>
      </c>
      <c r="E66" s="23">
        <f t="shared" si="13"/>
        <v>1</v>
      </c>
      <c r="F66" s="2966" t="s">
        <v>3691</v>
      </c>
      <c r="G66" s="23">
        <f t="shared" si="14"/>
        <v>1</v>
      </c>
      <c r="H66" s="720"/>
      <c r="I66" s="23">
        <f t="shared" si="15"/>
        <v>1</v>
      </c>
      <c r="J66" s="720"/>
      <c r="K66" s="23">
        <f t="shared" si="16"/>
        <v>1</v>
      </c>
      <c r="L66" s="720"/>
      <c r="M66" s="23">
        <f t="shared" si="17"/>
        <v>1</v>
      </c>
      <c r="N66" s="720"/>
      <c r="O66" s="23">
        <f t="shared" si="18"/>
        <v>1</v>
      </c>
      <c r="P66" s="720"/>
      <c r="Q66" s="23">
        <f t="shared" si="19"/>
        <v>1</v>
      </c>
      <c r="R66" s="716">
        <f t="shared" ca="1" si="20"/>
        <v>7829</v>
      </c>
      <c r="S66" s="361">
        <f t="shared" ca="1" si="21"/>
        <v>106</v>
      </c>
    </row>
    <row r="67" spans="1:19">
      <c r="A67" s="159" t="str">
        <f>'数据-基础表'!C56</f>
        <v>7-1301</v>
      </c>
      <c r="B67" s="58">
        <f>'数据-基础表'!I56</f>
        <v>80.73</v>
      </c>
      <c r="C67" s="23">
        <f t="shared" si="12"/>
        <v>1</v>
      </c>
      <c r="D67" s="2966" t="s">
        <v>3701</v>
      </c>
      <c r="E67" s="23">
        <f t="shared" si="13"/>
        <v>1</v>
      </c>
      <c r="F67" s="2966" t="s">
        <v>3691</v>
      </c>
      <c r="G67" s="23">
        <f t="shared" si="14"/>
        <v>1</v>
      </c>
      <c r="H67" s="720"/>
      <c r="I67" s="23">
        <f t="shared" si="15"/>
        <v>1</v>
      </c>
      <c r="J67" s="720"/>
      <c r="K67" s="23">
        <f t="shared" si="16"/>
        <v>1</v>
      </c>
      <c r="L67" s="720"/>
      <c r="M67" s="23">
        <f t="shared" si="17"/>
        <v>1</v>
      </c>
      <c r="N67" s="720"/>
      <c r="O67" s="23">
        <f t="shared" si="18"/>
        <v>1</v>
      </c>
      <c r="P67" s="720"/>
      <c r="Q67" s="23">
        <f t="shared" si="19"/>
        <v>1</v>
      </c>
      <c r="R67" s="716">
        <f t="shared" ca="1" si="20"/>
        <v>7908</v>
      </c>
      <c r="S67" s="361">
        <f t="shared" ca="1" si="21"/>
        <v>64</v>
      </c>
    </row>
    <row r="68" spans="1:19">
      <c r="A68" s="159" t="str">
        <f>'数据-基础表'!C57</f>
        <v>7-1302</v>
      </c>
      <c r="B68" s="58">
        <f>'数据-基础表'!I57</f>
        <v>52.17</v>
      </c>
      <c r="C68" s="23">
        <f t="shared" si="12"/>
        <v>1.01</v>
      </c>
      <c r="D68" s="2966" t="s">
        <v>3701</v>
      </c>
      <c r="E68" s="23">
        <f t="shared" si="13"/>
        <v>1</v>
      </c>
      <c r="F68" s="2966" t="s">
        <v>3691</v>
      </c>
      <c r="G68" s="23">
        <f t="shared" si="14"/>
        <v>1</v>
      </c>
      <c r="H68" s="720"/>
      <c r="I68" s="23">
        <f t="shared" si="15"/>
        <v>1</v>
      </c>
      <c r="J68" s="720"/>
      <c r="K68" s="23">
        <f t="shared" si="16"/>
        <v>1</v>
      </c>
      <c r="L68" s="720"/>
      <c r="M68" s="23">
        <f t="shared" si="17"/>
        <v>1</v>
      </c>
      <c r="N68" s="720"/>
      <c r="O68" s="23">
        <f t="shared" si="18"/>
        <v>1</v>
      </c>
      <c r="P68" s="720"/>
      <c r="Q68" s="23">
        <f t="shared" si="19"/>
        <v>1</v>
      </c>
      <c r="R68" s="716">
        <f t="shared" ca="1" si="20"/>
        <v>7987</v>
      </c>
      <c r="S68" s="361">
        <f t="shared" ca="1" si="21"/>
        <v>42</v>
      </c>
    </row>
    <row r="69" spans="1:19">
      <c r="A69" s="159" t="str">
        <f>'数据-基础表'!C58</f>
        <v>7-1303</v>
      </c>
      <c r="B69" s="58">
        <f>'数据-基础表'!I58</f>
        <v>52.17</v>
      </c>
      <c r="C69" s="23">
        <f t="shared" si="12"/>
        <v>1.01</v>
      </c>
      <c r="D69" s="2966" t="s">
        <v>3701</v>
      </c>
      <c r="E69" s="23">
        <f t="shared" si="13"/>
        <v>1</v>
      </c>
      <c r="F69" s="2966" t="s">
        <v>3691</v>
      </c>
      <c r="G69" s="23">
        <f t="shared" si="14"/>
        <v>1</v>
      </c>
      <c r="H69" s="720"/>
      <c r="I69" s="23">
        <f t="shared" si="15"/>
        <v>1</v>
      </c>
      <c r="J69" s="720"/>
      <c r="K69" s="23">
        <f t="shared" si="16"/>
        <v>1</v>
      </c>
      <c r="L69" s="720"/>
      <c r="M69" s="23">
        <f t="shared" si="17"/>
        <v>1</v>
      </c>
      <c r="N69" s="720"/>
      <c r="O69" s="23">
        <f t="shared" si="18"/>
        <v>1</v>
      </c>
      <c r="P69" s="720"/>
      <c r="Q69" s="23">
        <f t="shared" si="19"/>
        <v>1</v>
      </c>
      <c r="R69" s="716">
        <f t="shared" ca="1" si="20"/>
        <v>7987</v>
      </c>
      <c r="S69" s="361">
        <f t="shared" ca="1" si="21"/>
        <v>42</v>
      </c>
    </row>
    <row r="70" spans="1:19">
      <c r="A70" s="159" t="str">
        <f>'数据-基础表'!C59</f>
        <v>7-1304</v>
      </c>
      <c r="B70" s="58">
        <f>'数据-基础表'!I59</f>
        <v>52.17</v>
      </c>
      <c r="C70" s="23">
        <f t="shared" si="12"/>
        <v>1.01</v>
      </c>
      <c r="D70" s="2966" t="s">
        <v>3701</v>
      </c>
      <c r="E70" s="23">
        <f t="shared" si="13"/>
        <v>1</v>
      </c>
      <c r="F70" s="2966" t="s">
        <v>3691</v>
      </c>
      <c r="G70" s="23">
        <f t="shared" si="14"/>
        <v>1</v>
      </c>
      <c r="H70" s="720"/>
      <c r="I70" s="23">
        <f t="shared" si="15"/>
        <v>1</v>
      </c>
      <c r="J70" s="720"/>
      <c r="K70" s="23">
        <f t="shared" si="16"/>
        <v>1</v>
      </c>
      <c r="L70" s="720"/>
      <c r="M70" s="23">
        <f t="shared" si="17"/>
        <v>1</v>
      </c>
      <c r="N70" s="720"/>
      <c r="O70" s="23">
        <f t="shared" si="18"/>
        <v>1</v>
      </c>
      <c r="P70" s="720"/>
      <c r="Q70" s="23">
        <f t="shared" si="19"/>
        <v>1</v>
      </c>
      <c r="R70" s="716">
        <f t="shared" ca="1" si="20"/>
        <v>7987</v>
      </c>
      <c r="S70" s="361">
        <f t="shared" ca="1" si="21"/>
        <v>42</v>
      </c>
    </row>
    <row r="71" spans="1:19">
      <c r="A71" s="159" t="str">
        <f>'数据-基础表'!C60</f>
        <v>7-1305</v>
      </c>
      <c r="B71" s="58">
        <f>'数据-基础表'!I60</f>
        <v>52.17</v>
      </c>
      <c r="C71" s="23">
        <f t="shared" si="12"/>
        <v>1.01</v>
      </c>
      <c r="D71" s="2966" t="s">
        <v>3701</v>
      </c>
      <c r="E71" s="23">
        <f t="shared" si="13"/>
        <v>1</v>
      </c>
      <c r="F71" s="2966" t="s">
        <v>3691</v>
      </c>
      <c r="G71" s="23">
        <f t="shared" si="14"/>
        <v>1</v>
      </c>
      <c r="H71" s="720"/>
      <c r="I71" s="23">
        <f t="shared" si="15"/>
        <v>1</v>
      </c>
      <c r="J71" s="720"/>
      <c r="K71" s="23">
        <f t="shared" si="16"/>
        <v>1</v>
      </c>
      <c r="L71" s="720"/>
      <c r="M71" s="23">
        <f t="shared" si="17"/>
        <v>1</v>
      </c>
      <c r="N71" s="720"/>
      <c r="O71" s="23">
        <f t="shared" si="18"/>
        <v>1</v>
      </c>
      <c r="P71" s="720"/>
      <c r="Q71" s="23">
        <f t="shared" si="19"/>
        <v>1</v>
      </c>
      <c r="R71" s="716">
        <f t="shared" ca="1" si="20"/>
        <v>7987</v>
      </c>
      <c r="S71" s="361">
        <f t="shared" ca="1" si="21"/>
        <v>42</v>
      </c>
    </row>
    <row r="72" spans="1:19">
      <c r="A72" s="159" t="str">
        <f>'数据-基础表'!C61</f>
        <v>7-1306</v>
      </c>
      <c r="B72" s="58">
        <f>'数据-基础表'!I61</f>
        <v>52.17</v>
      </c>
      <c r="C72" s="23">
        <f t="shared" si="12"/>
        <v>1.01</v>
      </c>
      <c r="D72" s="2966" t="s">
        <v>3701</v>
      </c>
      <c r="E72" s="23">
        <f t="shared" si="13"/>
        <v>1</v>
      </c>
      <c r="F72" s="2966" t="s">
        <v>3691</v>
      </c>
      <c r="G72" s="23">
        <f t="shared" si="14"/>
        <v>1</v>
      </c>
      <c r="H72" s="720"/>
      <c r="I72" s="23">
        <f t="shared" si="15"/>
        <v>1</v>
      </c>
      <c r="J72" s="720"/>
      <c r="K72" s="23">
        <f t="shared" si="16"/>
        <v>1</v>
      </c>
      <c r="L72" s="720"/>
      <c r="M72" s="23">
        <f t="shared" si="17"/>
        <v>1</v>
      </c>
      <c r="N72" s="720"/>
      <c r="O72" s="23">
        <f t="shared" si="18"/>
        <v>1</v>
      </c>
      <c r="P72" s="720"/>
      <c r="Q72" s="23">
        <f t="shared" si="19"/>
        <v>1</v>
      </c>
      <c r="R72" s="716">
        <f t="shared" ca="1" si="20"/>
        <v>7987</v>
      </c>
      <c r="S72" s="361">
        <f t="shared" ca="1" si="21"/>
        <v>42</v>
      </c>
    </row>
    <row r="73" spans="1:19">
      <c r="A73" s="159" t="str">
        <f>'数据-基础表'!C62</f>
        <v>7-1307</v>
      </c>
      <c r="B73" s="58">
        <f>'数据-基础表'!I62</f>
        <v>52.17</v>
      </c>
      <c r="C73" s="23">
        <f t="shared" si="12"/>
        <v>1.01</v>
      </c>
      <c r="D73" s="2966" t="s">
        <v>3701</v>
      </c>
      <c r="E73" s="23">
        <f t="shared" si="13"/>
        <v>1</v>
      </c>
      <c r="F73" s="2966" t="s">
        <v>3691</v>
      </c>
      <c r="G73" s="23">
        <f t="shared" si="14"/>
        <v>1</v>
      </c>
      <c r="H73" s="720"/>
      <c r="I73" s="23">
        <f t="shared" si="15"/>
        <v>1</v>
      </c>
      <c r="J73" s="720"/>
      <c r="K73" s="23">
        <f t="shared" si="16"/>
        <v>1</v>
      </c>
      <c r="L73" s="720"/>
      <c r="M73" s="23">
        <f t="shared" si="17"/>
        <v>1</v>
      </c>
      <c r="N73" s="720"/>
      <c r="O73" s="23">
        <f t="shared" si="18"/>
        <v>1</v>
      </c>
      <c r="P73" s="720"/>
      <c r="Q73" s="23">
        <f t="shared" si="19"/>
        <v>1</v>
      </c>
      <c r="R73" s="716">
        <f t="shared" ca="1" si="20"/>
        <v>7987</v>
      </c>
      <c r="S73" s="361">
        <f t="shared" ca="1" si="21"/>
        <v>42</v>
      </c>
    </row>
    <row r="74" spans="1:19">
      <c r="A74" s="159" t="str">
        <f>'数据-基础表'!C63</f>
        <v>7-1308</v>
      </c>
      <c r="B74" s="58">
        <f>'数据-基础表'!I63</f>
        <v>52.17</v>
      </c>
      <c r="C74" s="23">
        <f t="shared" si="12"/>
        <v>1.01</v>
      </c>
      <c r="D74" s="2966" t="s">
        <v>3701</v>
      </c>
      <c r="E74" s="23">
        <f t="shared" si="13"/>
        <v>1</v>
      </c>
      <c r="F74" s="2966" t="s">
        <v>3691</v>
      </c>
      <c r="G74" s="23">
        <f t="shared" si="14"/>
        <v>1</v>
      </c>
      <c r="H74" s="720"/>
      <c r="I74" s="23">
        <f t="shared" si="15"/>
        <v>1</v>
      </c>
      <c r="J74" s="720"/>
      <c r="K74" s="23">
        <f t="shared" si="16"/>
        <v>1</v>
      </c>
      <c r="L74" s="720"/>
      <c r="M74" s="23">
        <f t="shared" si="17"/>
        <v>1</v>
      </c>
      <c r="N74" s="720"/>
      <c r="O74" s="23">
        <f t="shared" si="18"/>
        <v>1</v>
      </c>
      <c r="P74" s="720"/>
      <c r="Q74" s="23">
        <f t="shared" si="19"/>
        <v>1</v>
      </c>
      <c r="R74" s="716">
        <f t="shared" ca="1" si="20"/>
        <v>7987</v>
      </c>
      <c r="S74" s="361">
        <f t="shared" ca="1" si="21"/>
        <v>42</v>
      </c>
    </row>
    <row r="75" spans="1:19">
      <c r="A75" s="159" t="str">
        <f>'数据-基础表'!C64</f>
        <v>7-1309</v>
      </c>
      <c r="B75" s="58">
        <f>'数据-基础表'!I64</f>
        <v>52.17</v>
      </c>
      <c r="C75" s="23">
        <f t="shared" si="12"/>
        <v>1.01</v>
      </c>
      <c r="D75" s="2966" t="s">
        <v>3701</v>
      </c>
      <c r="E75" s="23">
        <f t="shared" si="13"/>
        <v>1</v>
      </c>
      <c r="F75" s="2966" t="s">
        <v>3691</v>
      </c>
      <c r="G75" s="23">
        <f t="shared" si="14"/>
        <v>1</v>
      </c>
      <c r="H75" s="720"/>
      <c r="I75" s="23">
        <f t="shared" si="15"/>
        <v>1</v>
      </c>
      <c r="J75" s="720"/>
      <c r="K75" s="23">
        <f t="shared" si="16"/>
        <v>1</v>
      </c>
      <c r="L75" s="720"/>
      <c r="M75" s="23">
        <f t="shared" si="17"/>
        <v>1</v>
      </c>
      <c r="N75" s="720"/>
      <c r="O75" s="23">
        <f t="shared" si="18"/>
        <v>1</v>
      </c>
      <c r="P75" s="720"/>
      <c r="Q75" s="23">
        <f t="shared" si="19"/>
        <v>1</v>
      </c>
      <c r="R75" s="716">
        <f t="shared" ca="1" si="20"/>
        <v>7987</v>
      </c>
      <c r="S75" s="361">
        <f t="shared" ca="1" si="21"/>
        <v>42</v>
      </c>
    </row>
    <row r="76" spans="1:19">
      <c r="A76" s="159" t="str">
        <f>'数据-基础表'!C65</f>
        <v>7-1310</v>
      </c>
      <c r="B76" s="58">
        <f>'数据-基础表'!I65</f>
        <v>52.17</v>
      </c>
      <c r="C76" s="23">
        <f t="shared" si="12"/>
        <v>1.01</v>
      </c>
      <c r="D76" s="2966" t="s">
        <v>3701</v>
      </c>
      <c r="E76" s="23">
        <f t="shared" si="13"/>
        <v>1</v>
      </c>
      <c r="F76" s="2966" t="s">
        <v>3691</v>
      </c>
      <c r="G76" s="23">
        <f t="shared" si="14"/>
        <v>1</v>
      </c>
      <c r="H76" s="720"/>
      <c r="I76" s="23">
        <f t="shared" si="15"/>
        <v>1</v>
      </c>
      <c r="J76" s="720"/>
      <c r="K76" s="23">
        <f t="shared" si="16"/>
        <v>1</v>
      </c>
      <c r="L76" s="720"/>
      <c r="M76" s="23">
        <f t="shared" si="17"/>
        <v>1</v>
      </c>
      <c r="N76" s="720"/>
      <c r="O76" s="23">
        <f t="shared" si="18"/>
        <v>1</v>
      </c>
      <c r="P76" s="720"/>
      <c r="Q76" s="23">
        <f t="shared" si="19"/>
        <v>1</v>
      </c>
      <c r="R76" s="716">
        <f t="shared" ca="1" si="20"/>
        <v>7987</v>
      </c>
      <c r="S76" s="361">
        <f t="shared" ca="1" si="21"/>
        <v>42</v>
      </c>
    </row>
    <row r="77" spans="1:19">
      <c r="A77" s="159" t="str">
        <f>'数据-基础表'!C66</f>
        <v>7-1311</v>
      </c>
      <c r="B77" s="58">
        <f>'数据-基础表'!I66</f>
        <v>52.17</v>
      </c>
      <c r="C77" s="23">
        <f t="shared" si="12"/>
        <v>1.01</v>
      </c>
      <c r="D77" s="2966" t="s">
        <v>3701</v>
      </c>
      <c r="E77" s="23">
        <f t="shared" si="13"/>
        <v>1</v>
      </c>
      <c r="F77" s="2966" t="s">
        <v>3691</v>
      </c>
      <c r="G77" s="23">
        <f t="shared" si="14"/>
        <v>1</v>
      </c>
      <c r="H77" s="720"/>
      <c r="I77" s="23">
        <f t="shared" si="15"/>
        <v>1</v>
      </c>
      <c r="J77" s="720"/>
      <c r="K77" s="23">
        <f t="shared" si="16"/>
        <v>1</v>
      </c>
      <c r="L77" s="720"/>
      <c r="M77" s="23">
        <f t="shared" si="17"/>
        <v>1</v>
      </c>
      <c r="N77" s="720"/>
      <c r="O77" s="23">
        <f t="shared" si="18"/>
        <v>1</v>
      </c>
      <c r="P77" s="720"/>
      <c r="Q77" s="23">
        <f t="shared" si="19"/>
        <v>1</v>
      </c>
      <c r="R77" s="716">
        <f t="shared" ca="1" si="20"/>
        <v>7987</v>
      </c>
      <c r="S77" s="361">
        <f t="shared" ca="1" si="21"/>
        <v>42</v>
      </c>
    </row>
    <row r="78" spans="1:19">
      <c r="A78" s="159" t="str">
        <f>'数据-基础表'!C67</f>
        <v>7-1312</v>
      </c>
      <c r="B78" s="58">
        <f>'数据-基础表'!I67</f>
        <v>80.73</v>
      </c>
      <c r="C78" s="23">
        <f t="shared" si="12"/>
        <v>1</v>
      </c>
      <c r="D78" s="2966" t="s">
        <v>3701</v>
      </c>
      <c r="E78" s="23">
        <f t="shared" si="13"/>
        <v>1</v>
      </c>
      <c r="F78" s="2966" t="s">
        <v>3691</v>
      </c>
      <c r="G78" s="23">
        <f t="shared" si="14"/>
        <v>1</v>
      </c>
      <c r="H78" s="720"/>
      <c r="I78" s="23">
        <f t="shared" si="15"/>
        <v>1</v>
      </c>
      <c r="J78" s="720"/>
      <c r="K78" s="23">
        <f t="shared" si="16"/>
        <v>1</v>
      </c>
      <c r="L78" s="720"/>
      <c r="M78" s="23">
        <f t="shared" si="17"/>
        <v>1</v>
      </c>
      <c r="N78" s="720"/>
      <c r="O78" s="23">
        <f t="shared" si="18"/>
        <v>1</v>
      </c>
      <c r="P78" s="720"/>
      <c r="Q78" s="23">
        <f t="shared" si="19"/>
        <v>1</v>
      </c>
      <c r="R78" s="716">
        <f t="shared" ca="1" si="20"/>
        <v>7908</v>
      </c>
      <c r="S78" s="361">
        <f t="shared" ref="S78:S122" ca="1" si="22">ROUND(R78*B78/10000,0)</f>
        <v>64</v>
      </c>
    </row>
    <row r="79" spans="1:19">
      <c r="A79" s="159" t="str">
        <f>'数据-基础表'!C68</f>
        <v>7-1313</v>
      </c>
      <c r="B79" s="58">
        <f>'数据-基础表'!I68</f>
        <v>66.040000000000006</v>
      </c>
      <c r="C79" s="23">
        <f t="shared" si="12"/>
        <v>1</v>
      </c>
      <c r="D79" s="2966" t="s">
        <v>3701</v>
      </c>
      <c r="E79" s="23">
        <f t="shared" si="13"/>
        <v>1</v>
      </c>
      <c r="F79" s="2966" t="s">
        <v>3691</v>
      </c>
      <c r="G79" s="23">
        <f t="shared" si="14"/>
        <v>1</v>
      </c>
      <c r="H79" s="720"/>
      <c r="I79" s="23">
        <f t="shared" si="15"/>
        <v>1</v>
      </c>
      <c r="J79" s="720"/>
      <c r="K79" s="23">
        <f t="shared" si="16"/>
        <v>1</v>
      </c>
      <c r="L79" s="720"/>
      <c r="M79" s="23">
        <f t="shared" si="17"/>
        <v>1</v>
      </c>
      <c r="N79" s="720"/>
      <c r="O79" s="23">
        <f t="shared" si="18"/>
        <v>1</v>
      </c>
      <c r="P79" s="720"/>
      <c r="Q79" s="23">
        <f t="shared" si="19"/>
        <v>1</v>
      </c>
      <c r="R79" s="716">
        <f t="shared" ca="1" si="20"/>
        <v>7908</v>
      </c>
      <c r="S79" s="361">
        <f t="shared" ca="1" si="22"/>
        <v>52</v>
      </c>
    </row>
    <row r="80" spans="1:19">
      <c r="A80" s="159" t="str">
        <f>'数据-基础表'!C69</f>
        <v>7-1314</v>
      </c>
      <c r="B80" s="58">
        <f>'数据-基础表'!I69</f>
        <v>66.040000000000006</v>
      </c>
      <c r="C80" s="23">
        <f t="shared" si="12"/>
        <v>1</v>
      </c>
      <c r="D80" s="2966" t="s">
        <v>3701</v>
      </c>
      <c r="E80" s="23">
        <f t="shared" si="13"/>
        <v>1</v>
      </c>
      <c r="F80" s="2966" t="s">
        <v>3691</v>
      </c>
      <c r="G80" s="23">
        <f t="shared" si="14"/>
        <v>1</v>
      </c>
      <c r="H80" s="720"/>
      <c r="I80" s="23">
        <f t="shared" si="15"/>
        <v>1</v>
      </c>
      <c r="J80" s="720"/>
      <c r="K80" s="23">
        <f t="shared" si="16"/>
        <v>1</v>
      </c>
      <c r="L80" s="720"/>
      <c r="M80" s="23">
        <f t="shared" si="17"/>
        <v>1</v>
      </c>
      <c r="N80" s="720"/>
      <c r="O80" s="23">
        <f t="shared" si="18"/>
        <v>1</v>
      </c>
      <c r="P80" s="720"/>
      <c r="Q80" s="23">
        <f t="shared" si="19"/>
        <v>1</v>
      </c>
      <c r="R80" s="716">
        <f t="shared" ca="1" si="20"/>
        <v>7908</v>
      </c>
      <c r="S80" s="361">
        <f t="shared" ca="1" si="22"/>
        <v>52</v>
      </c>
    </row>
    <row r="81" spans="1:19">
      <c r="A81" s="159" t="str">
        <f>'数据-基础表'!C70</f>
        <v>7-1315</v>
      </c>
      <c r="B81" s="58">
        <f>'数据-基础表'!I70</f>
        <v>80.73</v>
      </c>
      <c r="C81" s="23">
        <f t="shared" si="12"/>
        <v>1</v>
      </c>
      <c r="D81" s="2966" t="s">
        <v>3701</v>
      </c>
      <c r="E81" s="23">
        <f t="shared" si="13"/>
        <v>1</v>
      </c>
      <c r="F81" s="2966" t="s">
        <v>3691</v>
      </c>
      <c r="G81" s="23">
        <f t="shared" si="14"/>
        <v>1</v>
      </c>
      <c r="H81" s="720"/>
      <c r="I81" s="23">
        <f t="shared" si="15"/>
        <v>1</v>
      </c>
      <c r="J81" s="720"/>
      <c r="K81" s="23">
        <f t="shared" si="16"/>
        <v>1</v>
      </c>
      <c r="L81" s="720"/>
      <c r="M81" s="23">
        <f t="shared" si="17"/>
        <v>1</v>
      </c>
      <c r="N81" s="720"/>
      <c r="O81" s="23">
        <f t="shared" si="18"/>
        <v>1</v>
      </c>
      <c r="P81" s="720"/>
      <c r="Q81" s="23">
        <f t="shared" si="19"/>
        <v>1</v>
      </c>
      <c r="R81" s="716">
        <f t="shared" ca="1" si="20"/>
        <v>7908</v>
      </c>
      <c r="S81" s="361">
        <f t="shared" ca="1" si="22"/>
        <v>64</v>
      </c>
    </row>
    <row r="82" spans="1:19">
      <c r="A82" s="159" t="str">
        <f>'数据-基础表'!C71</f>
        <v>7-1316</v>
      </c>
      <c r="B82" s="58">
        <f>'数据-基础表'!I71</f>
        <v>52.17</v>
      </c>
      <c r="C82" s="23">
        <f t="shared" si="12"/>
        <v>1.01</v>
      </c>
      <c r="D82" s="2966" t="s">
        <v>3701</v>
      </c>
      <c r="E82" s="23">
        <f t="shared" si="13"/>
        <v>1</v>
      </c>
      <c r="F82" s="2966" t="s">
        <v>3691</v>
      </c>
      <c r="G82" s="23">
        <f t="shared" si="14"/>
        <v>1</v>
      </c>
      <c r="H82" s="720"/>
      <c r="I82" s="23">
        <f t="shared" si="15"/>
        <v>1</v>
      </c>
      <c r="J82" s="720"/>
      <c r="K82" s="23">
        <f t="shared" si="16"/>
        <v>1</v>
      </c>
      <c r="L82" s="720"/>
      <c r="M82" s="23">
        <f t="shared" si="17"/>
        <v>1</v>
      </c>
      <c r="N82" s="720"/>
      <c r="O82" s="23">
        <f t="shared" si="18"/>
        <v>1</v>
      </c>
      <c r="P82" s="720"/>
      <c r="Q82" s="23">
        <f t="shared" si="19"/>
        <v>1</v>
      </c>
      <c r="R82" s="716">
        <f t="shared" ca="1" si="20"/>
        <v>7987</v>
      </c>
      <c r="S82" s="361">
        <f t="shared" ca="1" si="22"/>
        <v>42</v>
      </c>
    </row>
    <row r="83" spans="1:19">
      <c r="A83" s="159" t="str">
        <f>'数据-基础表'!C72</f>
        <v>7-1317</v>
      </c>
      <c r="B83" s="58">
        <f>'数据-基础表'!I72</f>
        <v>52.17</v>
      </c>
      <c r="C83" s="23">
        <f t="shared" si="12"/>
        <v>1.01</v>
      </c>
      <c r="D83" s="2966" t="s">
        <v>3701</v>
      </c>
      <c r="E83" s="23">
        <f t="shared" si="13"/>
        <v>1</v>
      </c>
      <c r="F83" s="2966" t="s">
        <v>3691</v>
      </c>
      <c r="G83" s="23">
        <f t="shared" si="14"/>
        <v>1</v>
      </c>
      <c r="H83" s="720"/>
      <c r="I83" s="23">
        <f t="shared" si="15"/>
        <v>1</v>
      </c>
      <c r="J83" s="720"/>
      <c r="K83" s="23">
        <f t="shared" si="16"/>
        <v>1</v>
      </c>
      <c r="L83" s="720"/>
      <c r="M83" s="23">
        <f t="shared" si="17"/>
        <v>1</v>
      </c>
      <c r="N83" s="720"/>
      <c r="O83" s="23">
        <f t="shared" si="18"/>
        <v>1</v>
      </c>
      <c r="P83" s="720"/>
      <c r="Q83" s="23">
        <f t="shared" si="19"/>
        <v>1</v>
      </c>
      <c r="R83" s="716">
        <f t="shared" ca="1" si="20"/>
        <v>7987</v>
      </c>
      <c r="S83" s="361">
        <f t="shared" ca="1" si="22"/>
        <v>42</v>
      </c>
    </row>
    <row r="84" spans="1:19">
      <c r="A84" s="159" t="str">
        <f>'数据-基础表'!C73</f>
        <v>7-1318</v>
      </c>
      <c r="B84" s="58">
        <f>'数据-基础表'!I73</f>
        <v>52.17</v>
      </c>
      <c r="C84" s="23">
        <f t="shared" si="12"/>
        <v>1.01</v>
      </c>
      <c r="D84" s="2966" t="s">
        <v>3701</v>
      </c>
      <c r="E84" s="23">
        <f t="shared" si="13"/>
        <v>1</v>
      </c>
      <c r="F84" s="2966" t="s">
        <v>3691</v>
      </c>
      <c r="G84" s="23">
        <f t="shared" si="14"/>
        <v>1</v>
      </c>
      <c r="H84" s="720"/>
      <c r="I84" s="23">
        <f t="shared" si="15"/>
        <v>1</v>
      </c>
      <c r="J84" s="720"/>
      <c r="K84" s="23">
        <f t="shared" si="16"/>
        <v>1</v>
      </c>
      <c r="L84" s="720"/>
      <c r="M84" s="23">
        <f t="shared" si="17"/>
        <v>1</v>
      </c>
      <c r="N84" s="720"/>
      <c r="O84" s="23">
        <f t="shared" si="18"/>
        <v>1</v>
      </c>
      <c r="P84" s="720"/>
      <c r="Q84" s="23">
        <f t="shared" si="19"/>
        <v>1</v>
      </c>
      <c r="R84" s="716">
        <f t="shared" ca="1" si="20"/>
        <v>7987</v>
      </c>
      <c r="S84" s="361">
        <f t="shared" ca="1" si="22"/>
        <v>42</v>
      </c>
    </row>
    <row r="85" spans="1:19">
      <c r="A85" s="159" t="str">
        <f>'数据-基础表'!C74</f>
        <v>7-1319</v>
      </c>
      <c r="B85" s="58">
        <f>'数据-基础表'!I74</f>
        <v>52.17</v>
      </c>
      <c r="C85" s="23">
        <f t="shared" si="12"/>
        <v>1.01</v>
      </c>
      <c r="D85" s="2966" t="s">
        <v>3701</v>
      </c>
      <c r="E85" s="23">
        <f t="shared" si="13"/>
        <v>1</v>
      </c>
      <c r="F85" s="2966" t="s">
        <v>3691</v>
      </c>
      <c r="G85" s="23">
        <f t="shared" si="14"/>
        <v>1</v>
      </c>
      <c r="H85" s="720"/>
      <c r="I85" s="23">
        <f t="shared" si="15"/>
        <v>1</v>
      </c>
      <c r="J85" s="720"/>
      <c r="K85" s="23">
        <f t="shared" si="16"/>
        <v>1</v>
      </c>
      <c r="L85" s="720"/>
      <c r="M85" s="23">
        <f t="shared" si="17"/>
        <v>1</v>
      </c>
      <c r="N85" s="720"/>
      <c r="O85" s="23">
        <f t="shared" si="18"/>
        <v>1</v>
      </c>
      <c r="P85" s="720"/>
      <c r="Q85" s="23">
        <f t="shared" si="19"/>
        <v>1</v>
      </c>
      <c r="R85" s="716">
        <f t="shared" ca="1" si="20"/>
        <v>7987</v>
      </c>
      <c r="S85" s="361">
        <f t="shared" ca="1" si="22"/>
        <v>42</v>
      </c>
    </row>
    <row r="86" spans="1:19">
      <c r="A86" s="159" t="str">
        <f>'数据-基础表'!C75</f>
        <v>7-1320</v>
      </c>
      <c r="B86" s="58">
        <f>'数据-基础表'!I75</f>
        <v>52.17</v>
      </c>
      <c r="C86" s="23">
        <f t="shared" si="12"/>
        <v>1.01</v>
      </c>
      <c r="D86" s="2966" t="s">
        <v>3701</v>
      </c>
      <c r="E86" s="23">
        <f t="shared" si="13"/>
        <v>1</v>
      </c>
      <c r="F86" s="2966" t="s">
        <v>3691</v>
      </c>
      <c r="G86" s="23">
        <f t="shared" si="14"/>
        <v>1</v>
      </c>
      <c r="H86" s="720"/>
      <c r="I86" s="23">
        <f t="shared" si="15"/>
        <v>1</v>
      </c>
      <c r="J86" s="720"/>
      <c r="K86" s="23">
        <f t="shared" si="16"/>
        <v>1</v>
      </c>
      <c r="L86" s="720"/>
      <c r="M86" s="23">
        <f t="shared" si="17"/>
        <v>1</v>
      </c>
      <c r="N86" s="720"/>
      <c r="O86" s="23">
        <f t="shared" si="18"/>
        <v>1</v>
      </c>
      <c r="P86" s="720"/>
      <c r="Q86" s="23">
        <f t="shared" si="19"/>
        <v>1</v>
      </c>
      <c r="R86" s="716">
        <f t="shared" ca="1" si="20"/>
        <v>7987</v>
      </c>
      <c r="S86" s="361">
        <f t="shared" ca="1" si="22"/>
        <v>42</v>
      </c>
    </row>
    <row r="87" spans="1:19">
      <c r="A87" s="159" t="str">
        <f>'数据-基础表'!C76</f>
        <v>7-1321</v>
      </c>
      <c r="B87" s="58">
        <f>'数据-基础表'!I76</f>
        <v>52.17</v>
      </c>
      <c r="C87" s="23">
        <f t="shared" si="12"/>
        <v>1.01</v>
      </c>
      <c r="D87" s="2966" t="s">
        <v>3701</v>
      </c>
      <c r="E87" s="23">
        <f t="shared" si="13"/>
        <v>1</v>
      </c>
      <c r="F87" s="2966" t="s">
        <v>3691</v>
      </c>
      <c r="G87" s="23">
        <f t="shared" si="14"/>
        <v>1</v>
      </c>
      <c r="H87" s="720"/>
      <c r="I87" s="23">
        <f t="shared" si="15"/>
        <v>1</v>
      </c>
      <c r="J87" s="720"/>
      <c r="K87" s="23">
        <f t="shared" si="16"/>
        <v>1</v>
      </c>
      <c r="L87" s="720"/>
      <c r="M87" s="23">
        <f t="shared" si="17"/>
        <v>1</v>
      </c>
      <c r="N87" s="720"/>
      <c r="O87" s="23">
        <f t="shared" si="18"/>
        <v>1</v>
      </c>
      <c r="P87" s="720"/>
      <c r="Q87" s="23">
        <f t="shared" si="19"/>
        <v>1</v>
      </c>
      <c r="R87" s="716">
        <f t="shared" ca="1" si="20"/>
        <v>7987</v>
      </c>
      <c r="S87" s="361">
        <f t="shared" ca="1" si="22"/>
        <v>42</v>
      </c>
    </row>
    <row r="88" spans="1:19">
      <c r="A88" s="159" t="str">
        <f>'数据-基础表'!C77</f>
        <v>7-1322</v>
      </c>
      <c r="B88" s="58">
        <f>'数据-基础表'!I77</f>
        <v>52.17</v>
      </c>
      <c r="C88" s="23">
        <f t="shared" si="12"/>
        <v>1.01</v>
      </c>
      <c r="D88" s="2966" t="s">
        <v>3701</v>
      </c>
      <c r="E88" s="23">
        <f t="shared" si="13"/>
        <v>1</v>
      </c>
      <c r="F88" s="2966" t="s">
        <v>3691</v>
      </c>
      <c r="G88" s="23">
        <f t="shared" si="14"/>
        <v>1</v>
      </c>
      <c r="H88" s="720"/>
      <c r="I88" s="23">
        <f t="shared" si="15"/>
        <v>1</v>
      </c>
      <c r="J88" s="720"/>
      <c r="K88" s="23">
        <f t="shared" si="16"/>
        <v>1</v>
      </c>
      <c r="L88" s="720"/>
      <c r="M88" s="23">
        <f t="shared" si="17"/>
        <v>1</v>
      </c>
      <c r="N88" s="720"/>
      <c r="O88" s="23">
        <f t="shared" si="18"/>
        <v>1</v>
      </c>
      <c r="P88" s="720"/>
      <c r="Q88" s="23">
        <f t="shared" si="19"/>
        <v>1</v>
      </c>
      <c r="R88" s="716">
        <f t="shared" ca="1" si="20"/>
        <v>7987</v>
      </c>
      <c r="S88" s="361">
        <f t="shared" ca="1" si="22"/>
        <v>42</v>
      </c>
    </row>
    <row r="89" spans="1:19">
      <c r="A89" s="159" t="str">
        <f>'数据-基础表'!C78</f>
        <v>7-1323</v>
      </c>
      <c r="B89" s="58">
        <f>'数据-基础表'!I78</f>
        <v>52.17</v>
      </c>
      <c r="C89" s="23">
        <f t="shared" si="12"/>
        <v>1.01</v>
      </c>
      <c r="D89" s="2966" t="s">
        <v>3701</v>
      </c>
      <c r="E89" s="23">
        <f t="shared" si="13"/>
        <v>1</v>
      </c>
      <c r="F89" s="2966" t="s">
        <v>3691</v>
      </c>
      <c r="G89" s="23">
        <f t="shared" si="14"/>
        <v>1</v>
      </c>
      <c r="H89" s="720"/>
      <c r="I89" s="23">
        <f t="shared" si="15"/>
        <v>1</v>
      </c>
      <c r="J89" s="720"/>
      <c r="K89" s="23">
        <f t="shared" si="16"/>
        <v>1</v>
      </c>
      <c r="L89" s="720"/>
      <c r="M89" s="23">
        <f t="shared" si="17"/>
        <v>1</v>
      </c>
      <c r="N89" s="720"/>
      <c r="O89" s="23">
        <f t="shared" si="18"/>
        <v>1</v>
      </c>
      <c r="P89" s="720"/>
      <c r="Q89" s="23">
        <f t="shared" si="19"/>
        <v>1</v>
      </c>
      <c r="R89" s="716">
        <f t="shared" ca="1" si="20"/>
        <v>7987</v>
      </c>
      <c r="S89" s="361">
        <f t="shared" ca="1" si="22"/>
        <v>42</v>
      </c>
    </row>
    <row r="90" spans="1:19">
      <c r="A90" s="159" t="str">
        <f>'数据-基础表'!C79</f>
        <v>7-1324</v>
      </c>
      <c r="B90" s="58">
        <f>'数据-基础表'!I79</f>
        <v>52.17</v>
      </c>
      <c r="C90" s="23">
        <f t="shared" ref="C90:C153" si="23">IF(B90="",1,(LOOKUP(B90,$3:$3,$4:$4)-LOOKUP($B$24,$3:$3,$4:$4)+100)/100)</f>
        <v>1.01</v>
      </c>
      <c r="D90" s="2966" t="s">
        <v>3701</v>
      </c>
      <c r="E90" s="23">
        <f t="shared" ref="E90:E153" si="24">(SUMIF($5:$5,D90,$6:$6)-SUMIF($5:$5,$D$24,$6:$6)+100)/100</f>
        <v>1</v>
      </c>
      <c r="F90" s="2966" t="s">
        <v>3691</v>
      </c>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ca="1" si="31">IF(B90="",0,ROUND($R$24*C90*E90*G90*I90*K90*M90*O90*Q90,0))</f>
        <v>7987</v>
      </c>
      <c r="S90" s="361">
        <f t="shared" ca="1" si="22"/>
        <v>42</v>
      </c>
    </row>
    <row r="91" spans="1:19">
      <c r="A91" s="159" t="str">
        <f>'数据-基础表'!C80</f>
        <v>7-1325</v>
      </c>
      <c r="B91" s="58">
        <f>'数据-基础表'!I80</f>
        <v>52.17</v>
      </c>
      <c r="C91" s="23">
        <f t="shared" si="23"/>
        <v>1.01</v>
      </c>
      <c r="D91" s="2966" t="s">
        <v>3701</v>
      </c>
      <c r="E91" s="23">
        <f t="shared" si="24"/>
        <v>1</v>
      </c>
      <c r="F91" s="2966" t="s">
        <v>3691</v>
      </c>
      <c r="G91" s="23">
        <f t="shared" si="25"/>
        <v>1</v>
      </c>
      <c r="H91" s="720"/>
      <c r="I91" s="23">
        <f t="shared" si="26"/>
        <v>1</v>
      </c>
      <c r="J91" s="720"/>
      <c r="K91" s="23">
        <f t="shared" si="27"/>
        <v>1</v>
      </c>
      <c r="L91" s="720"/>
      <c r="M91" s="23">
        <f t="shared" si="28"/>
        <v>1</v>
      </c>
      <c r="N91" s="720"/>
      <c r="O91" s="23">
        <f t="shared" si="29"/>
        <v>1</v>
      </c>
      <c r="P91" s="720"/>
      <c r="Q91" s="23">
        <f t="shared" si="30"/>
        <v>1</v>
      </c>
      <c r="R91" s="716">
        <f t="shared" ca="1" si="31"/>
        <v>7987</v>
      </c>
      <c r="S91" s="361">
        <f t="shared" ca="1" si="22"/>
        <v>42</v>
      </c>
    </row>
    <row r="92" spans="1:19">
      <c r="A92" s="159" t="str">
        <f>'数据-基础表'!C81</f>
        <v>7-1326</v>
      </c>
      <c r="B92" s="58">
        <f>'数据-基础表'!I81</f>
        <v>80.73</v>
      </c>
      <c r="C92" s="23">
        <f t="shared" si="23"/>
        <v>1</v>
      </c>
      <c r="D92" s="2966" t="s">
        <v>3701</v>
      </c>
      <c r="E92" s="23">
        <f t="shared" si="24"/>
        <v>1</v>
      </c>
      <c r="F92" s="2966" t="s">
        <v>3691</v>
      </c>
      <c r="G92" s="23">
        <f t="shared" si="25"/>
        <v>1</v>
      </c>
      <c r="H92" s="720"/>
      <c r="I92" s="23">
        <f t="shared" si="26"/>
        <v>1</v>
      </c>
      <c r="J92" s="720"/>
      <c r="K92" s="23">
        <f t="shared" si="27"/>
        <v>1</v>
      </c>
      <c r="L92" s="720"/>
      <c r="M92" s="23">
        <f t="shared" si="28"/>
        <v>1</v>
      </c>
      <c r="N92" s="720"/>
      <c r="O92" s="23">
        <f t="shared" si="29"/>
        <v>1</v>
      </c>
      <c r="P92" s="720"/>
      <c r="Q92" s="23">
        <f t="shared" si="30"/>
        <v>1</v>
      </c>
      <c r="R92" s="716">
        <f t="shared" ca="1" si="31"/>
        <v>7908</v>
      </c>
      <c r="S92" s="361">
        <f t="shared" ca="1" si="22"/>
        <v>64</v>
      </c>
    </row>
    <row r="93" spans="1:19">
      <c r="A93" s="159" t="str">
        <f>'数据-基础表'!C82</f>
        <v>7-1327</v>
      </c>
      <c r="B93" s="58">
        <f>'数据-基础表'!I82</f>
        <v>66.040000000000006</v>
      </c>
      <c r="C93" s="23">
        <f t="shared" si="23"/>
        <v>1</v>
      </c>
      <c r="D93" s="2966" t="s">
        <v>3701</v>
      </c>
      <c r="E93" s="23">
        <f t="shared" si="24"/>
        <v>1</v>
      </c>
      <c r="F93" s="2966" t="s">
        <v>3691</v>
      </c>
      <c r="G93" s="23">
        <f t="shared" si="25"/>
        <v>1</v>
      </c>
      <c r="H93" s="720"/>
      <c r="I93" s="23">
        <f t="shared" si="26"/>
        <v>1</v>
      </c>
      <c r="J93" s="720"/>
      <c r="K93" s="23">
        <f t="shared" si="27"/>
        <v>1</v>
      </c>
      <c r="L93" s="720"/>
      <c r="M93" s="23">
        <f t="shared" si="28"/>
        <v>1</v>
      </c>
      <c r="N93" s="720"/>
      <c r="O93" s="23">
        <f t="shared" si="29"/>
        <v>1</v>
      </c>
      <c r="P93" s="720"/>
      <c r="Q93" s="23">
        <f t="shared" si="30"/>
        <v>1</v>
      </c>
      <c r="R93" s="716">
        <f t="shared" ca="1" si="31"/>
        <v>7908</v>
      </c>
      <c r="S93" s="361">
        <f t="shared" ca="1" si="22"/>
        <v>52</v>
      </c>
    </row>
    <row r="94" spans="1:19">
      <c r="A94" s="159" t="str">
        <f>'数据-基础表'!C83</f>
        <v>7-1328</v>
      </c>
      <c r="B94" s="58">
        <f>'数据-基础表'!I83</f>
        <v>66.040000000000006</v>
      </c>
      <c r="C94" s="23">
        <f t="shared" si="23"/>
        <v>1</v>
      </c>
      <c r="D94" s="2966" t="s">
        <v>3701</v>
      </c>
      <c r="E94" s="23">
        <f t="shared" si="24"/>
        <v>1</v>
      </c>
      <c r="F94" s="2966" t="s">
        <v>3691</v>
      </c>
      <c r="G94" s="23">
        <f t="shared" si="25"/>
        <v>1</v>
      </c>
      <c r="H94" s="720"/>
      <c r="I94" s="23">
        <f t="shared" si="26"/>
        <v>1</v>
      </c>
      <c r="J94" s="720"/>
      <c r="K94" s="23">
        <f t="shared" si="27"/>
        <v>1</v>
      </c>
      <c r="L94" s="720"/>
      <c r="M94" s="23">
        <f t="shared" si="28"/>
        <v>1</v>
      </c>
      <c r="N94" s="720"/>
      <c r="O94" s="23">
        <f t="shared" si="29"/>
        <v>1</v>
      </c>
      <c r="P94" s="720"/>
      <c r="Q94" s="23">
        <f t="shared" si="30"/>
        <v>1</v>
      </c>
      <c r="R94" s="716">
        <f t="shared" ca="1" si="31"/>
        <v>7908</v>
      </c>
      <c r="S94" s="361">
        <f t="shared" ca="1" si="22"/>
        <v>52</v>
      </c>
    </row>
    <row r="95" spans="1:19">
      <c r="A95" s="159" t="str">
        <f>'数据-基础表'!C84</f>
        <v>7-1401</v>
      </c>
      <c r="B95" s="58">
        <f>'数据-基础表'!I84</f>
        <v>80.73</v>
      </c>
      <c r="C95" s="23">
        <f t="shared" si="23"/>
        <v>1</v>
      </c>
      <c r="D95" s="2966" t="s">
        <v>3701</v>
      </c>
      <c r="E95" s="23">
        <f t="shared" si="24"/>
        <v>1</v>
      </c>
      <c r="F95" s="2966" t="s">
        <v>3691</v>
      </c>
      <c r="G95" s="23">
        <f t="shared" si="25"/>
        <v>1</v>
      </c>
      <c r="H95" s="720"/>
      <c r="I95" s="23">
        <f t="shared" si="26"/>
        <v>1</v>
      </c>
      <c r="J95" s="720"/>
      <c r="K95" s="23">
        <f t="shared" si="27"/>
        <v>1</v>
      </c>
      <c r="L95" s="720"/>
      <c r="M95" s="23">
        <f t="shared" si="28"/>
        <v>1</v>
      </c>
      <c r="N95" s="720"/>
      <c r="O95" s="23">
        <f t="shared" si="29"/>
        <v>1</v>
      </c>
      <c r="P95" s="720"/>
      <c r="Q95" s="23">
        <f t="shared" si="30"/>
        <v>1</v>
      </c>
      <c r="R95" s="716">
        <f t="shared" ca="1" si="31"/>
        <v>7908</v>
      </c>
      <c r="S95" s="361">
        <f t="shared" ca="1" si="22"/>
        <v>64</v>
      </c>
    </row>
    <row r="96" spans="1:19">
      <c r="A96" s="159" t="str">
        <f>'数据-基础表'!C85</f>
        <v>7-1402</v>
      </c>
      <c r="B96" s="58">
        <f>'数据-基础表'!I85</f>
        <v>52.17</v>
      </c>
      <c r="C96" s="23">
        <f t="shared" si="23"/>
        <v>1.01</v>
      </c>
      <c r="D96" s="2966" t="s">
        <v>3701</v>
      </c>
      <c r="E96" s="23">
        <f t="shared" si="24"/>
        <v>1</v>
      </c>
      <c r="F96" s="2966" t="s">
        <v>3691</v>
      </c>
      <c r="G96" s="23">
        <f t="shared" si="25"/>
        <v>1</v>
      </c>
      <c r="H96" s="720"/>
      <c r="I96" s="23">
        <f t="shared" si="26"/>
        <v>1</v>
      </c>
      <c r="J96" s="720"/>
      <c r="K96" s="23">
        <f t="shared" si="27"/>
        <v>1</v>
      </c>
      <c r="L96" s="720"/>
      <c r="M96" s="23">
        <f t="shared" si="28"/>
        <v>1</v>
      </c>
      <c r="N96" s="720"/>
      <c r="O96" s="23">
        <f t="shared" si="29"/>
        <v>1</v>
      </c>
      <c r="P96" s="720"/>
      <c r="Q96" s="23">
        <f t="shared" si="30"/>
        <v>1</v>
      </c>
      <c r="R96" s="716">
        <f t="shared" ca="1" si="31"/>
        <v>7987</v>
      </c>
      <c r="S96" s="361">
        <f t="shared" ca="1" si="22"/>
        <v>42</v>
      </c>
    </row>
    <row r="97" spans="1:19">
      <c r="A97" s="159" t="str">
        <f>'数据-基础表'!C86</f>
        <v>7-1403</v>
      </c>
      <c r="B97" s="58">
        <f>'数据-基础表'!I86</f>
        <v>52.17</v>
      </c>
      <c r="C97" s="23">
        <f t="shared" si="23"/>
        <v>1.01</v>
      </c>
      <c r="D97" s="2966" t="s">
        <v>3701</v>
      </c>
      <c r="E97" s="23">
        <f t="shared" si="24"/>
        <v>1</v>
      </c>
      <c r="F97" s="2966" t="s">
        <v>3691</v>
      </c>
      <c r="G97" s="23">
        <f t="shared" si="25"/>
        <v>1</v>
      </c>
      <c r="H97" s="720"/>
      <c r="I97" s="23">
        <f t="shared" si="26"/>
        <v>1</v>
      </c>
      <c r="J97" s="720"/>
      <c r="K97" s="23">
        <f t="shared" si="27"/>
        <v>1</v>
      </c>
      <c r="L97" s="720"/>
      <c r="M97" s="23">
        <f t="shared" si="28"/>
        <v>1</v>
      </c>
      <c r="N97" s="720"/>
      <c r="O97" s="23">
        <f t="shared" si="29"/>
        <v>1</v>
      </c>
      <c r="P97" s="720"/>
      <c r="Q97" s="23">
        <f t="shared" si="30"/>
        <v>1</v>
      </c>
      <c r="R97" s="716">
        <f t="shared" ca="1" si="31"/>
        <v>7987</v>
      </c>
      <c r="S97" s="361">
        <f t="shared" ca="1" si="22"/>
        <v>42</v>
      </c>
    </row>
    <row r="98" spans="1:19">
      <c r="A98" s="159" t="str">
        <f>'数据-基础表'!C87</f>
        <v>7-1404</v>
      </c>
      <c r="B98" s="58">
        <f>'数据-基础表'!I87</f>
        <v>52.17</v>
      </c>
      <c r="C98" s="23">
        <f t="shared" si="23"/>
        <v>1.01</v>
      </c>
      <c r="D98" s="2966" t="s">
        <v>3701</v>
      </c>
      <c r="E98" s="23">
        <f t="shared" si="24"/>
        <v>1</v>
      </c>
      <c r="F98" s="2966" t="s">
        <v>3691</v>
      </c>
      <c r="G98" s="23">
        <f t="shared" si="25"/>
        <v>1</v>
      </c>
      <c r="H98" s="720"/>
      <c r="I98" s="23">
        <f t="shared" si="26"/>
        <v>1</v>
      </c>
      <c r="J98" s="720"/>
      <c r="K98" s="23">
        <f t="shared" si="27"/>
        <v>1</v>
      </c>
      <c r="L98" s="720"/>
      <c r="M98" s="23">
        <f t="shared" si="28"/>
        <v>1</v>
      </c>
      <c r="N98" s="720"/>
      <c r="O98" s="23">
        <f t="shared" si="29"/>
        <v>1</v>
      </c>
      <c r="P98" s="720"/>
      <c r="Q98" s="23">
        <f t="shared" si="30"/>
        <v>1</v>
      </c>
      <c r="R98" s="716">
        <f t="shared" ca="1" si="31"/>
        <v>7987</v>
      </c>
      <c r="S98" s="361">
        <f t="shared" ca="1" si="22"/>
        <v>42</v>
      </c>
    </row>
    <row r="99" spans="1:19">
      <c r="A99" s="159" t="str">
        <f>'数据-基础表'!C88</f>
        <v>7-1405</v>
      </c>
      <c r="B99" s="58">
        <f>'数据-基础表'!I88</f>
        <v>52.17</v>
      </c>
      <c r="C99" s="23">
        <f t="shared" si="23"/>
        <v>1.01</v>
      </c>
      <c r="D99" s="2966" t="s">
        <v>3701</v>
      </c>
      <c r="E99" s="23">
        <f t="shared" si="24"/>
        <v>1</v>
      </c>
      <c r="F99" s="2966" t="s">
        <v>3691</v>
      </c>
      <c r="G99" s="23">
        <f t="shared" si="25"/>
        <v>1</v>
      </c>
      <c r="H99" s="720"/>
      <c r="I99" s="23">
        <f t="shared" si="26"/>
        <v>1</v>
      </c>
      <c r="J99" s="720"/>
      <c r="K99" s="23">
        <f t="shared" si="27"/>
        <v>1</v>
      </c>
      <c r="L99" s="720"/>
      <c r="M99" s="23">
        <f t="shared" si="28"/>
        <v>1</v>
      </c>
      <c r="N99" s="720"/>
      <c r="O99" s="23">
        <f t="shared" si="29"/>
        <v>1</v>
      </c>
      <c r="P99" s="720"/>
      <c r="Q99" s="23">
        <f t="shared" si="30"/>
        <v>1</v>
      </c>
      <c r="R99" s="716">
        <f t="shared" ca="1" si="31"/>
        <v>7987</v>
      </c>
      <c r="S99" s="361">
        <f t="shared" ca="1" si="22"/>
        <v>42</v>
      </c>
    </row>
    <row r="100" spans="1:19">
      <c r="A100" s="159" t="str">
        <f>'数据-基础表'!C89</f>
        <v>7-1406</v>
      </c>
      <c r="B100" s="58">
        <f>'数据-基础表'!I89</f>
        <v>52.17</v>
      </c>
      <c r="C100" s="23">
        <f t="shared" si="23"/>
        <v>1.01</v>
      </c>
      <c r="D100" s="2966" t="s">
        <v>3701</v>
      </c>
      <c r="E100" s="23">
        <f t="shared" si="24"/>
        <v>1</v>
      </c>
      <c r="F100" s="2966" t="s">
        <v>3691</v>
      </c>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ca="1" si="31"/>
        <v>7987</v>
      </c>
      <c r="S100" s="361">
        <f t="shared" ca="1" si="22"/>
        <v>42</v>
      </c>
    </row>
    <row r="101" spans="1:19">
      <c r="A101" s="159" t="str">
        <f>'数据-基础表'!C90</f>
        <v>7-1407</v>
      </c>
      <c r="B101" s="58">
        <f>'数据-基础表'!I90</f>
        <v>52.17</v>
      </c>
      <c r="C101" s="23">
        <f t="shared" si="23"/>
        <v>1.01</v>
      </c>
      <c r="D101" s="2966" t="s">
        <v>3701</v>
      </c>
      <c r="E101" s="23">
        <f t="shared" si="24"/>
        <v>1</v>
      </c>
      <c r="F101" s="2966" t="s">
        <v>3691</v>
      </c>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ca="1" si="31"/>
        <v>7987</v>
      </c>
      <c r="S101" s="361">
        <f t="shared" ca="1" si="22"/>
        <v>42</v>
      </c>
    </row>
    <row r="102" spans="1:19">
      <c r="A102" s="159" t="str">
        <f>'数据-基础表'!C91</f>
        <v>7-1408</v>
      </c>
      <c r="B102" s="58">
        <f>'数据-基础表'!I91</f>
        <v>52.17</v>
      </c>
      <c r="C102" s="23">
        <f t="shared" si="23"/>
        <v>1.01</v>
      </c>
      <c r="D102" s="2966" t="s">
        <v>3701</v>
      </c>
      <c r="E102" s="23">
        <f t="shared" si="24"/>
        <v>1</v>
      </c>
      <c r="F102" s="2966" t="s">
        <v>3691</v>
      </c>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ca="1" si="31"/>
        <v>7987</v>
      </c>
      <c r="S102" s="361">
        <f t="shared" ca="1" si="22"/>
        <v>42</v>
      </c>
    </row>
    <row r="103" spans="1:19">
      <c r="A103" s="159" t="str">
        <f>'数据-基础表'!C92</f>
        <v>7-1409</v>
      </c>
      <c r="B103" s="58">
        <f>'数据-基础表'!I92</f>
        <v>52.17</v>
      </c>
      <c r="C103" s="23">
        <f t="shared" si="23"/>
        <v>1.01</v>
      </c>
      <c r="D103" s="2966" t="s">
        <v>3701</v>
      </c>
      <c r="E103" s="23">
        <f t="shared" si="24"/>
        <v>1</v>
      </c>
      <c r="F103" s="2966" t="s">
        <v>3691</v>
      </c>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ca="1" si="31"/>
        <v>7987</v>
      </c>
      <c r="S103" s="361">
        <f t="shared" ca="1" si="22"/>
        <v>42</v>
      </c>
    </row>
    <row r="104" spans="1:19">
      <c r="A104" s="159" t="str">
        <f>'数据-基础表'!C93</f>
        <v>7-1410</v>
      </c>
      <c r="B104" s="58">
        <f>'数据-基础表'!I93</f>
        <v>52.17</v>
      </c>
      <c r="C104" s="23">
        <f t="shared" si="23"/>
        <v>1.01</v>
      </c>
      <c r="D104" s="2966" t="s">
        <v>3701</v>
      </c>
      <c r="E104" s="23">
        <f t="shared" si="24"/>
        <v>1</v>
      </c>
      <c r="F104" s="2966" t="s">
        <v>3691</v>
      </c>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ca="1" si="31"/>
        <v>7987</v>
      </c>
      <c r="S104" s="361">
        <f t="shared" ca="1" si="22"/>
        <v>42</v>
      </c>
    </row>
    <row r="105" spans="1:19">
      <c r="A105" s="159" t="str">
        <f>'数据-基础表'!C94</f>
        <v>7-1411</v>
      </c>
      <c r="B105" s="58">
        <f>'数据-基础表'!I94</f>
        <v>52.17</v>
      </c>
      <c r="C105" s="23">
        <f t="shared" si="23"/>
        <v>1.01</v>
      </c>
      <c r="D105" s="2966" t="s">
        <v>3701</v>
      </c>
      <c r="E105" s="23">
        <f t="shared" si="24"/>
        <v>1</v>
      </c>
      <c r="F105" s="2966" t="s">
        <v>3691</v>
      </c>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ca="1" si="31"/>
        <v>7987</v>
      </c>
      <c r="S105" s="361">
        <f t="shared" ca="1" si="22"/>
        <v>42</v>
      </c>
    </row>
    <row r="106" spans="1:19">
      <c r="A106" s="159" t="str">
        <f>'数据-基础表'!C95</f>
        <v>7-1412</v>
      </c>
      <c r="B106" s="58">
        <f>'数据-基础表'!I95</f>
        <v>80.73</v>
      </c>
      <c r="C106" s="23">
        <f t="shared" si="23"/>
        <v>1</v>
      </c>
      <c r="D106" s="2966" t="s">
        <v>3701</v>
      </c>
      <c r="E106" s="23">
        <f t="shared" si="24"/>
        <v>1</v>
      </c>
      <c r="F106" s="2966" t="s">
        <v>3691</v>
      </c>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ca="1" si="31"/>
        <v>7908</v>
      </c>
      <c r="S106" s="361">
        <f t="shared" ca="1" si="22"/>
        <v>64</v>
      </c>
    </row>
    <row r="107" spans="1:19">
      <c r="A107" s="159" t="str">
        <f>'数据-基础表'!C96</f>
        <v>7-1413</v>
      </c>
      <c r="B107" s="58">
        <f>'数据-基础表'!I96</f>
        <v>66.040000000000006</v>
      </c>
      <c r="C107" s="23">
        <f t="shared" si="23"/>
        <v>1</v>
      </c>
      <c r="D107" s="2966" t="s">
        <v>3701</v>
      </c>
      <c r="E107" s="23">
        <f t="shared" si="24"/>
        <v>1</v>
      </c>
      <c r="F107" s="2966" t="s">
        <v>3691</v>
      </c>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ca="1" si="31"/>
        <v>7908</v>
      </c>
      <c r="S107" s="361">
        <f t="shared" ca="1" si="22"/>
        <v>52</v>
      </c>
    </row>
    <row r="108" spans="1:19">
      <c r="A108" s="159" t="str">
        <f>'数据-基础表'!C97</f>
        <v>7-1414</v>
      </c>
      <c r="B108" s="58">
        <f>'数据-基础表'!I97</f>
        <v>66.040000000000006</v>
      </c>
      <c r="C108" s="23">
        <f t="shared" si="23"/>
        <v>1</v>
      </c>
      <c r="D108" s="2966" t="s">
        <v>3701</v>
      </c>
      <c r="E108" s="23">
        <f t="shared" si="24"/>
        <v>1</v>
      </c>
      <c r="F108" s="2966" t="s">
        <v>3691</v>
      </c>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ca="1" si="31"/>
        <v>7908</v>
      </c>
      <c r="S108" s="361">
        <f t="shared" ca="1" si="22"/>
        <v>52</v>
      </c>
    </row>
    <row r="109" spans="1:19">
      <c r="A109" s="159" t="str">
        <f>'数据-基础表'!C98</f>
        <v>7-1415</v>
      </c>
      <c r="B109" s="58">
        <f>'数据-基础表'!I98</f>
        <v>80.73</v>
      </c>
      <c r="C109" s="23">
        <f t="shared" si="23"/>
        <v>1</v>
      </c>
      <c r="D109" s="2966" t="s">
        <v>3701</v>
      </c>
      <c r="E109" s="23">
        <f t="shared" si="24"/>
        <v>1</v>
      </c>
      <c r="F109" s="2966" t="s">
        <v>3691</v>
      </c>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ca="1" si="31"/>
        <v>7908</v>
      </c>
      <c r="S109" s="361">
        <f t="shared" ca="1" si="22"/>
        <v>64</v>
      </c>
    </row>
    <row r="110" spans="1:19">
      <c r="A110" s="159" t="str">
        <f>'数据-基础表'!C99</f>
        <v>7-1416</v>
      </c>
      <c r="B110" s="58">
        <f>'数据-基础表'!I99</f>
        <v>52.17</v>
      </c>
      <c r="C110" s="23">
        <f t="shared" si="23"/>
        <v>1.01</v>
      </c>
      <c r="D110" s="2966" t="s">
        <v>3701</v>
      </c>
      <c r="E110" s="23">
        <f t="shared" si="24"/>
        <v>1</v>
      </c>
      <c r="F110" s="2966" t="s">
        <v>3691</v>
      </c>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ca="1" si="31"/>
        <v>7987</v>
      </c>
      <c r="S110" s="361">
        <f t="shared" ca="1" si="22"/>
        <v>42</v>
      </c>
    </row>
    <row r="111" spans="1:19">
      <c r="A111" s="159" t="str">
        <f>'数据-基础表'!C100</f>
        <v>7-1417</v>
      </c>
      <c r="B111" s="58">
        <f>'数据-基础表'!I100</f>
        <v>52.17</v>
      </c>
      <c r="C111" s="23">
        <f t="shared" si="23"/>
        <v>1.01</v>
      </c>
      <c r="D111" s="2966" t="s">
        <v>3701</v>
      </c>
      <c r="E111" s="23">
        <f t="shared" si="24"/>
        <v>1</v>
      </c>
      <c r="F111" s="2966" t="s">
        <v>3691</v>
      </c>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ca="1" si="31"/>
        <v>7987</v>
      </c>
      <c r="S111" s="361">
        <f t="shared" ca="1" si="22"/>
        <v>42</v>
      </c>
    </row>
    <row r="112" spans="1:19">
      <c r="A112" s="159" t="str">
        <f>'数据-基础表'!C101</f>
        <v>7-1418</v>
      </c>
      <c r="B112" s="58">
        <f>'数据-基础表'!I101</f>
        <v>52.17</v>
      </c>
      <c r="C112" s="23">
        <f t="shared" si="23"/>
        <v>1.01</v>
      </c>
      <c r="D112" s="2966" t="s">
        <v>3701</v>
      </c>
      <c r="E112" s="23">
        <f t="shared" si="24"/>
        <v>1</v>
      </c>
      <c r="F112" s="2966" t="s">
        <v>3691</v>
      </c>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ca="1" si="31"/>
        <v>7987</v>
      </c>
      <c r="S112" s="361">
        <f t="shared" ca="1" si="22"/>
        <v>42</v>
      </c>
    </row>
    <row r="113" spans="1:19">
      <c r="A113" s="159" t="str">
        <f>'数据-基础表'!C102</f>
        <v>7-1419</v>
      </c>
      <c r="B113" s="58">
        <f>'数据-基础表'!I102</f>
        <v>52.17</v>
      </c>
      <c r="C113" s="23">
        <f t="shared" si="23"/>
        <v>1.01</v>
      </c>
      <c r="D113" s="2966" t="s">
        <v>3701</v>
      </c>
      <c r="E113" s="23">
        <f t="shared" si="24"/>
        <v>1</v>
      </c>
      <c r="F113" s="2966" t="s">
        <v>3691</v>
      </c>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ca="1" si="31"/>
        <v>7987</v>
      </c>
      <c r="S113" s="361">
        <f t="shared" ca="1" si="22"/>
        <v>42</v>
      </c>
    </row>
    <row r="114" spans="1:19">
      <c r="A114" s="159" t="str">
        <f>'数据-基础表'!C103</f>
        <v>7-1420</v>
      </c>
      <c r="B114" s="58">
        <f>'数据-基础表'!I103</f>
        <v>52.17</v>
      </c>
      <c r="C114" s="23">
        <f t="shared" si="23"/>
        <v>1.01</v>
      </c>
      <c r="D114" s="2966" t="s">
        <v>3701</v>
      </c>
      <c r="E114" s="23">
        <f t="shared" si="24"/>
        <v>1</v>
      </c>
      <c r="F114" s="2966" t="s">
        <v>3691</v>
      </c>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ca="1" si="31"/>
        <v>7987</v>
      </c>
      <c r="S114" s="361">
        <f t="shared" ca="1" si="22"/>
        <v>42</v>
      </c>
    </row>
    <row r="115" spans="1:19">
      <c r="A115" s="159" t="str">
        <f>'数据-基础表'!C104</f>
        <v>7-1421</v>
      </c>
      <c r="B115" s="58">
        <f>'数据-基础表'!I104</f>
        <v>52.17</v>
      </c>
      <c r="C115" s="23">
        <f t="shared" si="23"/>
        <v>1.01</v>
      </c>
      <c r="D115" s="2966" t="s">
        <v>3701</v>
      </c>
      <c r="E115" s="23">
        <f t="shared" si="24"/>
        <v>1</v>
      </c>
      <c r="F115" s="2966" t="s">
        <v>3691</v>
      </c>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ca="1" si="31"/>
        <v>7987</v>
      </c>
      <c r="S115" s="361">
        <f t="shared" ca="1" si="22"/>
        <v>42</v>
      </c>
    </row>
    <row r="116" spans="1:19">
      <c r="A116" s="159" t="str">
        <f>'数据-基础表'!C105</f>
        <v>7-1422</v>
      </c>
      <c r="B116" s="58">
        <f>'数据-基础表'!I105</f>
        <v>52.17</v>
      </c>
      <c r="C116" s="23">
        <f t="shared" si="23"/>
        <v>1.01</v>
      </c>
      <c r="D116" s="2966" t="s">
        <v>3701</v>
      </c>
      <c r="E116" s="23">
        <f t="shared" si="24"/>
        <v>1</v>
      </c>
      <c r="F116" s="2966" t="s">
        <v>3691</v>
      </c>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ca="1" si="31"/>
        <v>7987</v>
      </c>
      <c r="S116" s="361">
        <f t="shared" ca="1" si="22"/>
        <v>42</v>
      </c>
    </row>
    <row r="117" spans="1:19">
      <c r="A117" s="159" t="str">
        <f>'数据-基础表'!C106</f>
        <v>7-1423</v>
      </c>
      <c r="B117" s="58">
        <f>'数据-基础表'!I106</f>
        <v>52.17</v>
      </c>
      <c r="C117" s="23">
        <f t="shared" si="23"/>
        <v>1.01</v>
      </c>
      <c r="D117" s="2966" t="s">
        <v>3701</v>
      </c>
      <c r="E117" s="23">
        <f t="shared" si="24"/>
        <v>1</v>
      </c>
      <c r="F117" s="2966" t="s">
        <v>3691</v>
      </c>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ca="1" si="31"/>
        <v>7987</v>
      </c>
      <c r="S117" s="361">
        <f t="shared" ca="1" si="22"/>
        <v>42</v>
      </c>
    </row>
    <row r="118" spans="1:19">
      <c r="A118" s="159" t="str">
        <f>'数据-基础表'!C107</f>
        <v>7-1424</v>
      </c>
      <c r="B118" s="58">
        <f>'数据-基础表'!I107</f>
        <v>52.17</v>
      </c>
      <c r="C118" s="23">
        <f t="shared" si="23"/>
        <v>1.01</v>
      </c>
      <c r="D118" s="2966" t="s">
        <v>3701</v>
      </c>
      <c r="E118" s="23">
        <f t="shared" si="24"/>
        <v>1</v>
      </c>
      <c r="F118" s="2966" t="s">
        <v>3691</v>
      </c>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ca="1" si="31"/>
        <v>7987</v>
      </c>
      <c r="S118" s="361">
        <f t="shared" ca="1" si="22"/>
        <v>42</v>
      </c>
    </row>
    <row r="119" spans="1:19">
      <c r="A119" s="159" t="str">
        <f>'数据-基础表'!C108</f>
        <v>7-1425</v>
      </c>
      <c r="B119" s="58">
        <f>'数据-基础表'!I108</f>
        <v>52.17</v>
      </c>
      <c r="C119" s="23">
        <f t="shared" si="23"/>
        <v>1.01</v>
      </c>
      <c r="D119" s="2966" t="s">
        <v>3701</v>
      </c>
      <c r="E119" s="23">
        <f t="shared" si="24"/>
        <v>1</v>
      </c>
      <c r="F119" s="2966" t="s">
        <v>3691</v>
      </c>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ca="1" si="31"/>
        <v>7987</v>
      </c>
      <c r="S119" s="361">
        <f t="shared" ca="1" si="22"/>
        <v>42</v>
      </c>
    </row>
    <row r="120" spans="1:19">
      <c r="A120" s="159" t="str">
        <f>'数据-基础表'!C109</f>
        <v>7-1426</v>
      </c>
      <c r="B120" s="58">
        <f>'数据-基础表'!I109</f>
        <v>80.73</v>
      </c>
      <c r="C120" s="23">
        <f t="shared" si="23"/>
        <v>1</v>
      </c>
      <c r="D120" s="2966" t="s">
        <v>3701</v>
      </c>
      <c r="E120" s="23">
        <f t="shared" si="24"/>
        <v>1</v>
      </c>
      <c r="F120" s="2966" t="s">
        <v>3691</v>
      </c>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ca="1" si="31"/>
        <v>7908</v>
      </c>
      <c r="S120" s="361">
        <f t="shared" ca="1" si="22"/>
        <v>64</v>
      </c>
    </row>
    <row r="121" spans="1:19">
      <c r="A121" s="159" t="str">
        <f>'数据-基础表'!C110</f>
        <v>7-1427</v>
      </c>
      <c r="B121" s="58">
        <f>'数据-基础表'!I110</f>
        <v>93.08</v>
      </c>
      <c r="C121" s="23">
        <f t="shared" si="23"/>
        <v>1</v>
      </c>
      <c r="D121" s="2966" t="s">
        <v>3701</v>
      </c>
      <c r="E121" s="23">
        <f t="shared" si="24"/>
        <v>1</v>
      </c>
      <c r="F121" s="2966" t="s">
        <v>3691</v>
      </c>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ca="1" si="31"/>
        <v>7908</v>
      </c>
      <c r="S121" s="361">
        <f t="shared" ca="1" si="22"/>
        <v>74</v>
      </c>
    </row>
    <row r="122" spans="1:19">
      <c r="A122" s="159" t="str">
        <f>'数据-基础表'!C111</f>
        <v>7-1428</v>
      </c>
      <c r="B122" s="58">
        <f>'数据-基础表'!I111</f>
        <v>93.08</v>
      </c>
      <c r="C122" s="23">
        <f t="shared" si="23"/>
        <v>1</v>
      </c>
      <c r="D122" s="2966" t="s">
        <v>3701</v>
      </c>
      <c r="E122" s="23">
        <f t="shared" si="24"/>
        <v>1</v>
      </c>
      <c r="F122" s="2966" t="s">
        <v>3691</v>
      </c>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ca="1" si="31"/>
        <v>7908</v>
      </c>
      <c r="S122" s="361">
        <f t="shared" ca="1" si="22"/>
        <v>74</v>
      </c>
    </row>
    <row r="123" spans="1:19">
      <c r="A123" s="159" t="str">
        <f>'数据-基础表'!C112</f>
        <v>7-1501</v>
      </c>
      <c r="B123" s="58">
        <f>'数据-基础表'!I112</f>
        <v>80.73</v>
      </c>
      <c r="C123" s="23">
        <f t="shared" si="23"/>
        <v>1</v>
      </c>
      <c r="D123" s="2966" t="s">
        <v>3701</v>
      </c>
      <c r="E123" s="23">
        <f t="shared" si="24"/>
        <v>1</v>
      </c>
      <c r="F123" s="2966" t="s">
        <v>3691</v>
      </c>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ca="1" si="31"/>
        <v>7908</v>
      </c>
      <c r="S123" s="361">
        <f t="shared" ref="S123:S186" ca="1" si="32">ROUND(R123*B123/10000,0)</f>
        <v>64</v>
      </c>
    </row>
    <row r="124" spans="1:19">
      <c r="A124" s="159" t="str">
        <f>'数据-基础表'!C113</f>
        <v>7-1502</v>
      </c>
      <c r="B124" s="58">
        <f>'数据-基础表'!I113</f>
        <v>52.17</v>
      </c>
      <c r="C124" s="23">
        <f t="shared" si="23"/>
        <v>1.01</v>
      </c>
      <c r="D124" s="2966" t="s">
        <v>3701</v>
      </c>
      <c r="E124" s="23">
        <f t="shared" si="24"/>
        <v>1</v>
      </c>
      <c r="F124" s="2966" t="s">
        <v>3691</v>
      </c>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ca="1" si="31"/>
        <v>7987</v>
      </c>
      <c r="S124" s="361">
        <f t="shared" ca="1" si="32"/>
        <v>42</v>
      </c>
    </row>
    <row r="125" spans="1:19">
      <c r="A125" s="159" t="str">
        <f>'数据-基础表'!C114</f>
        <v>7-1503</v>
      </c>
      <c r="B125" s="58">
        <f>'数据-基础表'!I114</f>
        <v>52.17</v>
      </c>
      <c r="C125" s="23">
        <f t="shared" si="23"/>
        <v>1.01</v>
      </c>
      <c r="D125" s="2966" t="s">
        <v>3701</v>
      </c>
      <c r="E125" s="23">
        <f t="shared" si="24"/>
        <v>1</v>
      </c>
      <c r="F125" s="2966" t="s">
        <v>3691</v>
      </c>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ca="1" si="31"/>
        <v>7987</v>
      </c>
      <c r="S125" s="361">
        <f t="shared" ca="1" si="32"/>
        <v>42</v>
      </c>
    </row>
    <row r="126" spans="1:19">
      <c r="A126" s="159" t="str">
        <f>'数据-基础表'!C115</f>
        <v>7-1504</v>
      </c>
      <c r="B126" s="58">
        <f>'数据-基础表'!I115</f>
        <v>52.17</v>
      </c>
      <c r="C126" s="23">
        <f t="shared" si="23"/>
        <v>1.01</v>
      </c>
      <c r="D126" s="2966" t="s">
        <v>3701</v>
      </c>
      <c r="E126" s="23">
        <f t="shared" si="24"/>
        <v>1</v>
      </c>
      <c r="F126" s="2966" t="s">
        <v>3691</v>
      </c>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ca="1" si="31"/>
        <v>7987</v>
      </c>
      <c r="S126" s="361">
        <f t="shared" ca="1" si="32"/>
        <v>42</v>
      </c>
    </row>
    <row r="127" spans="1:19">
      <c r="A127" s="159" t="str">
        <f>'数据-基础表'!C116</f>
        <v>7-1505</v>
      </c>
      <c r="B127" s="58">
        <f>'数据-基础表'!I116</f>
        <v>52.17</v>
      </c>
      <c r="C127" s="23">
        <f t="shared" si="23"/>
        <v>1.01</v>
      </c>
      <c r="D127" s="2966" t="s">
        <v>3701</v>
      </c>
      <c r="E127" s="23">
        <f t="shared" si="24"/>
        <v>1</v>
      </c>
      <c r="F127" s="2966" t="s">
        <v>3691</v>
      </c>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ca="1" si="31"/>
        <v>7987</v>
      </c>
      <c r="S127" s="361">
        <f t="shared" ca="1" si="32"/>
        <v>42</v>
      </c>
    </row>
    <row r="128" spans="1:19">
      <c r="A128" s="159" t="str">
        <f>'数据-基础表'!C117</f>
        <v>7-1506</v>
      </c>
      <c r="B128" s="58">
        <f>'数据-基础表'!I117</f>
        <v>52.17</v>
      </c>
      <c r="C128" s="23">
        <f t="shared" si="23"/>
        <v>1.01</v>
      </c>
      <c r="D128" s="2966" t="s">
        <v>3701</v>
      </c>
      <c r="E128" s="23">
        <f t="shared" si="24"/>
        <v>1</v>
      </c>
      <c r="F128" s="2966" t="s">
        <v>3691</v>
      </c>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ca="1" si="31"/>
        <v>7987</v>
      </c>
      <c r="S128" s="361">
        <f t="shared" ca="1" si="32"/>
        <v>42</v>
      </c>
    </row>
    <row r="129" spans="1:19">
      <c r="A129" s="159" t="str">
        <f>'数据-基础表'!C118</f>
        <v>7-1507</v>
      </c>
      <c r="B129" s="58">
        <f>'数据-基础表'!I118</f>
        <v>52.17</v>
      </c>
      <c r="C129" s="23">
        <f t="shared" si="23"/>
        <v>1.01</v>
      </c>
      <c r="D129" s="2966" t="s">
        <v>3701</v>
      </c>
      <c r="E129" s="23">
        <f t="shared" si="24"/>
        <v>1</v>
      </c>
      <c r="F129" s="2966" t="s">
        <v>3691</v>
      </c>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ca="1" si="31"/>
        <v>7987</v>
      </c>
      <c r="S129" s="361">
        <f t="shared" ca="1" si="32"/>
        <v>42</v>
      </c>
    </row>
    <row r="130" spans="1:19">
      <c r="A130" s="159" t="str">
        <f>'数据-基础表'!C119</f>
        <v>7-1508</v>
      </c>
      <c r="B130" s="58">
        <f>'数据-基础表'!I119</f>
        <v>52.17</v>
      </c>
      <c r="C130" s="23">
        <f t="shared" si="23"/>
        <v>1.01</v>
      </c>
      <c r="D130" s="2966" t="s">
        <v>3701</v>
      </c>
      <c r="E130" s="23">
        <f t="shared" si="24"/>
        <v>1</v>
      </c>
      <c r="F130" s="2966" t="s">
        <v>3691</v>
      </c>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ca="1" si="31"/>
        <v>7987</v>
      </c>
      <c r="S130" s="361">
        <f t="shared" ca="1" si="32"/>
        <v>42</v>
      </c>
    </row>
    <row r="131" spans="1:19">
      <c r="A131" s="159" t="str">
        <f>'数据-基础表'!C120</f>
        <v>7-1517</v>
      </c>
      <c r="B131" s="58">
        <f>'数据-基础表'!I120</f>
        <v>52.17</v>
      </c>
      <c r="C131" s="23">
        <f t="shared" si="23"/>
        <v>1.01</v>
      </c>
      <c r="D131" s="2966" t="s">
        <v>3701</v>
      </c>
      <c r="E131" s="23">
        <f t="shared" si="24"/>
        <v>1</v>
      </c>
      <c r="F131" s="2966" t="s">
        <v>3691</v>
      </c>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ca="1" si="31"/>
        <v>7987</v>
      </c>
      <c r="S131" s="361">
        <f t="shared" ca="1" si="32"/>
        <v>42</v>
      </c>
    </row>
    <row r="132" spans="1:19">
      <c r="A132" s="159" t="str">
        <f>'数据-基础表'!C121</f>
        <v>7-1518</v>
      </c>
      <c r="B132" s="58">
        <f>'数据-基础表'!I121</f>
        <v>52.17</v>
      </c>
      <c r="C132" s="23">
        <f t="shared" si="23"/>
        <v>1.01</v>
      </c>
      <c r="D132" s="2966" t="s">
        <v>3701</v>
      </c>
      <c r="E132" s="23">
        <f t="shared" si="24"/>
        <v>1</v>
      </c>
      <c r="F132" s="2966" t="s">
        <v>3691</v>
      </c>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ca="1" si="31"/>
        <v>7987</v>
      </c>
      <c r="S132" s="361">
        <f t="shared" ca="1" si="32"/>
        <v>42</v>
      </c>
    </row>
    <row r="133" spans="1:19">
      <c r="A133" s="159" t="str">
        <f>'数据-基础表'!C122</f>
        <v>7-1519</v>
      </c>
      <c r="B133" s="58">
        <f>'数据-基础表'!I122</f>
        <v>52.17</v>
      </c>
      <c r="C133" s="23">
        <f t="shared" si="23"/>
        <v>1.01</v>
      </c>
      <c r="D133" s="2966" t="s">
        <v>3701</v>
      </c>
      <c r="E133" s="23">
        <f t="shared" si="24"/>
        <v>1</v>
      </c>
      <c r="F133" s="2966" t="s">
        <v>3691</v>
      </c>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ca="1" si="31"/>
        <v>7987</v>
      </c>
      <c r="S133" s="361">
        <f t="shared" ca="1" si="32"/>
        <v>42</v>
      </c>
    </row>
    <row r="134" spans="1:19">
      <c r="A134" s="159" t="str">
        <f>'数据-基础表'!C123</f>
        <v>7-1520</v>
      </c>
      <c r="B134" s="58">
        <f>'数据-基础表'!I123</f>
        <v>52.17</v>
      </c>
      <c r="C134" s="23">
        <f t="shared" si="23"/>
        <v>1.01</v>
      </c>
      <c r="D134" s="2966" t="s">
        <v>3701</v>
      </c>
      <c r="E134" s="23">
        <f t="shared" si="24"/>
        <v>1</v>
      </c>
      <c r="F134" s="2966" t="s">
        <v>3691</v>
      </c>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ca="1" si="31"/>
        <v>7987</v>
      </c>
      <c r="S134" s="361">
        <f t="shared" ca="1" si="32"/>
        <v>42</v>
      </c>
    </row>
    <row r="135" spans="1:19">
      <c r="A135" s="159" t="str">
        <f>'数据-基础表'!C124</f>
        <v>7-1521</v>
      </c>
      <c r="B135" s="58">
        <f>'数据-基础表'!I124</f>
        <v>52.17</v>
      </c>
      <c r="C135" s="23">
        <f t="shared" si="23"/>
        <v>1.01</v>
      </c>
      <c r="D135" s="2966" t="s">
        <v>3701</v>
      </c>
      <c r="E135" s="23">
        <f t="shared" si="24"/>
        <v>1</v>
      </c>
      <c r="F135" s="2966" t="s">
        <v>3691</v>
      </c>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ca="1" si="31"/>
        <v>7987</v>
      </c>
      <c r="S135" s="361">
        <f t="shared" ca="1" si="32"/>
        <v>42</v>
      </c>
    </row>
    <row r="136" spans="1:19">
      <c r="A136" s="159" t="str">
        <f>'数据-基础表'!C125</f>
        <v>7-1522</v>
      </c>
      <c r="B136" s="58">
        <f>'数据-基础表'!I125</f>
        <v>52.17</v>
      </c>
      <c r="C136" s="23">
        <f t="shared" si="23"/>
        <v>1.01</v>
      </c>
      <c r="D136" s="2966" t="s">
        <v>3701</v>
      </c>
      <c r="E136" s="23">
        <f t="shared" si="24"/>
        <v>1</v>
      </c>
      <c r="F136" s="2966" t="s">
        <v>3691</v>
      </c>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ca="1" si="31"/>
        <v>7987</v>
      </c>
      <c r="S136" s="361">
        <f t="shared" ca="1" si="32"/>
        <v>42</v>
      </c>
    </row>
    <row r="137" spans="1:19">
      <c r="A137" s="159" t="str">
        <f>'数据-基础表'!C126</f>
        <v>7-1527</v>
      </c>
      <c r="B137" s="58">
        <f>'数据-基础表'!I126</f>
        <v>93.08</v>
      </c>
      <c r="C137" s="23">
        <f t="shared" si="23"/>
        <v>1</v>
      </c>
      <c r="D137" s="2966" t="s">
        <v>3701</v>
      </c>
      <c r="E137" s="23">
        <f t="shared" si="24"/>
        <v>1</v>
      </c>
      <c r="F137" s="2966" t="s">
        <v>3691</v>
      </c>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ca="1" si="31"/>
        <v>7908</v>
      </c>
      <c r="S137" s="361">
        <f t="shared" ca="1" si="32"/>
        <v>74</v>
      </c>
    </row>
    <row r="138" spans="1:19">
      <c r="A138" s="159" t="str">
        <f>'数据-基础表'!C127</f>
        <v>7-1528</v>
      </c>
      <c r="B138" s="58">
        <f>'数据-基础表'!I127</f>
        <v>93.08</v>
      </c>
      <c r="C138" s="23">
        <f t="shared" si="23"/>
        <v>1</v>
      </c>
      <c r="D138" s="2966" t="s">
        <v>3701</v>
      </c>
      <c r="E138" s="23">
        <f t="shared" si="24"/>
        <v>1</v>
      </c>
      <c r="F138" s="2966" t="s">
        <v>3691</v>
      </c>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ca="1" si="31"/>
        <v>7908</v>
      </c>
      <c r="S138" s="361">
        <f t="shared" ca="1" si="32"/>
        <v>74</v>
      </c>
    </row>
    <row r="139" spans="1:19">
      <c r="A139" s="159" t="str">
        <f>'数据-基础表'!C128</f>
        <v>7-1601</v>
      </c>
      <c r="B139" s="58">
        <f>'数据-基础表'!I128</f>
        <v>80.73</v>
      </c>
      <c r="C139" s="23">
        <f t="shared" si="23"/>
        <v>1</v>
      </c>
      <c r="D139" s="2966" t="s">
        <v>3701</v>
      </c>
      <c r="E139" s="23">
        <f t="shared" si="24"/>
        <v>1</v>
      </c>
      <c r="F139" s="2966" t="s">
        <v>3691</v>
      </c>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ca="1" si="31"/>
        <v>7908</v>
      </c>
      <c r="S139" s="361">
        <f t="shared" ca="1" si="32"/>
        <v>64</v>
      </c>
    </row>
    <row r="140" spans="1:19">
      <c r="A140" s="159" t="str">
        <f>'数据-基础表'!C129</f>
        <v>7-1602</v>
      </c>
      <c r="B140" s="58">
        <f>'数据-基础表'!I129</f>
        <v>52.17</v>
      </c>
      <c r="C140" s="23">
        <f t="shared" si="23"/>
        <v>1.01</v>
      </c>
      <c r="D140" s="2966" t="s">
        <v>3701</v>
      </c>
      <c r="E140" s="23">
        <f t="shared" si="24"/>
        <v>1</v>
      </c>
      <c r="F140" s="2966" t="s">
        <v>3691</v>
      </c>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ca="1" si="31"/>
        <v>7987</v>
      </c>
      <c r="S140" s="361">
        <f t="shared" ca="1" si="32"/>
        <v>42</v>
      </c>
    </row>
    <row r="141" spans="1:19">
      <c r="A141" s="159" t="str">
        <f>'数据-基础表'!C130</f>
        <v>7-1603</v>
      </c>
      <c r="B141" s="58">
        <f>'数据-基础表'!I130</f>
        <v>52.17</v>
      </c>
      <c r="C141" s="23">
        <f t="shared" si="23"/>
        <v>1.01</v>
      </c>
      <c r="D141" s="2966" t="s">
        <v>3701</v>
      </c>
      <c r="E141" s="23">
        <f t="shared" si="24"/>
        <v>1</v>
      </c>
      <c r="F141" s="2966" t="s">
        <v>3691</v>
      </c>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ca="1" si="31"/>
        <v>7987</v>
      </c>
      <c r="S141" s="361">
        <f t="shared" ca="1" si="32"/>
        <v>42</v>
      </c>
    </row>
    <row r="142" spans="1:19">
      <c r="A142" s="159" t="str">
        <f>'数据-基础表'!C131</f>
        <v>7-1604</v>
      </c>
      <c r="B142" s="58">
        <f>'数据-基础表'!I131</f>
        <v>52.17</v>
      </c>
      <c r="C142" s="23">
        <f t="shared" si="23"/>
        <v>1.01</v>
      </c>
      <c r="D142" s="2966" t="s">
        <v>3701</v>
      </c>
      <c r="E142" s="23">
        <f t="shared" si="24"/>
        <v>1</v>
      </c>
      <c r="F142" s="2966" t="s">
        <v>3691</v>
      </c>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ca="1" si="31"/>
        <v>7987</v>
      </c>
      <c r="S142" s="361">
        <f t="shared" ca="1" si="32"/>
        <v>42</v>
      </c>
    </row>
    <row r="143" spans="1:19">
      <c r="A143" s="159" t="str">
        <f>'数据-基础表'!C132</f>
        <v>7-1605</v>
      </c>
      <c r="B143" s="58">
        <f>'数据-基础表'!I132</f>
        <v>52.17</v>
      </c>
      <c r="C143" s="23">
        <f t="shared" si="23"/>
        <v>1.01</v>
      </c>
      <c r="D143" s="2966" t="s">
        <v>3701</v>
      </c>
      <c r="E143" s="23">
        <f t="shared" si="24"/>
        <v>1</v>
      </c>
      <c r="F143" s="2966" t="s">
        <v>3691</v>
      </c>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ca="1" si="31"/>
        <v>7987</v>
      </c>
      <c r="S143" s="361">
        <f t="shared" ca="1" si="32"/>
        <v>42</v>
      </c>
    </row>
    <row r="144" spans="1:19">
      <c r="A144" s="159" t="str">
        <f>'数据-基础表'!C133</f>
        <v>7-1606</v>
      </c>
      <c r="B144" s="58">
        <f>'数据-基础表'!I133</f>
        <v>52.17</v>
      </c>
      <c r="C144" s="23">
        <f t="shared" si="23"/>
        <v>1.01</v>
      </c>
      <c r="D144" s="2966" t="s">
        <v>3701</v>
      </c>
      <c r="E144" s="23">
        <f t="shared" si="24"/>
        <v>1</v>
      </c>
      <c r="F144" s="2966" t="s">
        <v>3691</v>
      </c>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ca="1" si="31"/>
        <v>7987</v>
      </c>
      <c r="S144" s="361">
        <f t="shared" ca="1" si="32"/>
        <v>42</v>
      </c>
    </row>
    <row r="145" spans="1:19">
      <c r="A145" s="159" t="str">
        <f>'数据-基础表'!C134</f>
        <v>7-1607</v>
      </c>
      <c r="B145" s="58">
        <f>'数据-基础表'!I134</f>
        <v>52.17</v>
      </c>
      <c r="C145" s="23">
        <f t="shared" si="23"/>
        <v>1.01</v>
      </c>
      <c r="D145" s="2966" t="s">
        <v>3701</v>
      </c>
      <c r="E145" s="23">
        <f t="shared" si="24"/>
        <v>1</v>
      </c>
      <c r="F145" s="2966" t="s">
        <v>3691</v>
      </c>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ca="1" si="31"/>
        <v>7987</v>
      </c>
      <c r="S145" s="361">
        <f t="shared" ca="1" si="32"/>
        <v>42</v>
      </c>
    </row>
    <row r="146" spans="1:19">
      <c r="A146" s="159" t="str">
        <f>'数据-基础表'!C135</f>
        <v>7-1608</v>
      </c>
      <c r="B146" s="58">
        <f>'数据-基础表'!I135</f>
        <v>52.17</v>
      </c>
      <c r="C146" s="23">
        <f t="shared" si="23"/>
        <v>1.01</v>
      </c>
      <c r="D146" s="2966" t="s">
        <v>3701</v>
      </c>
      <c r="E146" s="23">
        <f t="shared" si="24"/>
        <v>1</v>
      </c>
      <c r="F146" s="2966" t="s">
        <v>3691</v>
      </c>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ca="1" si="31"/>
        <v>7987</v>
      </c>
      <c r="S146" s="361">
        <f t="shared" ca="1" si="32"/>
        <v>42</v>
      </c>
    </row>
    <row r="147" spans="1:19">
      <c r="A147" s="159" t="str">
        <f>'数据-基础表'!C136</f>
        <v>7-1619</v>
      </c>
      <c r="B147" s="58">
        <f>'数据-基础表'!I136</f>
        <v>52.17</v>
      </c>
      <c r="C147" s="23">
        <f t="shared" si="23"/>
        <v>1.01</v>
      </c>
      <c r="D147" s="2966" t="s">
        <v>3701</v>
      </c>
      <c r="E147" s="23">
        <f t="shared" si="24"/>
        <v>1</v>
      </c>
      <c r="F147" s="2966" t="s">
        <v>3691</v>
      </c>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ca="1" si="31"/>
        <v>7987</v>
      </c>
      <c r="S147" s="361">
        <f t="shared" ca="1" si="32"/>
        <v>42</v>
      </c>
    </row>
    <row r="148" spans="1:19">
      <c r="A148" s="159" t="str">
        <f>'数据-基础表'!C137</f>
        <v>7-1620</v>
      </c>
      <c r="B148" s="58">
        <f>'数据-基础表'!I137</f>
        <v>52.17</v>
      </c>
      <c r="C148" s="23">
        <f t="shared" si="23"/>
        <v>1.01</v>
      </c>
      <c r="D148" s="2966" t="s">
        <v>3701</v>
      </c>
      <c r="E148" s="23">
        <f t="shared" si="24"/>
        <v>1</v>
      </c>
      <c r="F148" s="2966" t="s">
        <v>3691</v>
      </c>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ca="1" si="31"/>
        <v>7987</v>
      </c>
      <c r="S148" s="361">
        <f t="shared" ca="1" si="32"/>
        <v>42</v>
      </c>
    </row>
    <row r="149" spans="1:19">
      <c r="A149" s="159" t="str">
        <f>'数据-基础表'!C138</f>
        <v>7-1621</v>
      </c>
      <c r="B149" s="58">
        <f>'数据-基础表'!I138</f>
        <v>52.17</v>
      </c>
      <c r="C149" s="23">
        <f t="shared" si="23"/>
        <v>1.01</v>
      </c>
      <c r="D149" s="2966" t="s">
        <v>3701</v>
      </c>
      <c r="E149" s="23">
        <f t="shared" si="24"/>
        <v>1</v>
      </c>
      <c r="F149" s="2966" t="s">
        <v>3691</v>
      </c>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ca="1" si="31"/>
        <v>7987</v>
      </c>
      <c r="S149" s="361">
        <f t="shared" ca="1" si="32"/>
        <v>42</v>
      </c>
    </row>
    <row r="150" spans="1:19">
      <c r="A150" s="159" t="str">
        <f>'数据-基础表'!C139</f>
        <v>7-1622</v>
      </c>
      <c r="B150" s="58">
        <f>'数据-基础表'!I139</f>
        <v>52.17</v>
      </c>
      <c r="C150" s="23">
        <f t="shared" si="23"/>
        <v>1.01</v>
      </c>
      <c r="D150" s="2966" t="s">
        <v>3701</v>
      </c>
      <c r="E150" s="23">
        <f t="shared" si="24"/>
        <v>1</v>
      </c>
      <c r="F150" s="2966" t="s">
        <v>3691</v>
      </c>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ca="1" si="31"/>
        <v>7987</v>
      </c>
      <c r="S150" s="361">
        <f t="shared" ca="1" si="32"/>
        <v>42</v>
      </c>
    </row>
    <row r="151" spans="1:19">
      <c r="A151" s="159" t="str">
        <f>'数据-基础表'!C140</f>
        <v>7-1623</v>
      </c>
      <c r="B151" s="58">
        <f>'数据-基础表'!I140</f>
        <v>52.17</v>
      </c>
      <c r="C151" s="23">
        <f t="shared" si="23"/>
        <v>1.01</v>
      </c>
      <c r="D151" s="2966" t="s">
        <v>3701</v>
      </c>
      <c r="E151" s="23">
        <f t="shared" si="24"/>
        <v>1</v>
      </c>
      <c r="F151" s="2966" t="s">
        <v>3691</v>
      </c>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ca="1" si="31"/>
        <v>7987</v>
      </c>
      <c r="S151" s="361">
        <f t="shared" ca="1" si="32"/>
        <v>42</v>
      </c>
    </row>
    <row r="152" spans="1:19">
      <c r="A152" s="159" t="str">
        <f>'数据-基础表'!C141</f>
        <v>7-1624</v>
      </c>
      <c r="B152" s="58">
        <f>'数据-基础表'!I141</f>
        <v>52.17</v>
      </c>
      <c r="C152" s="23">
        <f t="shared" si="23"/>
        <v>1.01</v>
      </c>
      <c r="D152" s="2966" t="s">
        <v>3701</v>
      </c>
      <c r="E152" s="23">
        <f t="shared" si="24"/>
        <v>1</v>
      </c>
      <c r="F152" s="2966" t="s">
        <v>3691</v>
      </c>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ca="1" si="31"/>
        <v>7987</v>
      </c>
      <c r="S152" s="361">
        <f t="shared" ca="1" si="32"/>
        <v>42</v>
      </c>
    </row>
    <row r="153" spans="1:19">
      <c r="A153" s="159" t="str">
        <f>'数据-基础表'!C142</f>
        <v>7-1625</v>
      </c>
      <c r="B153" s="58">
        <f>'数据-基础表'!I142</f>
        <v>52.17</v>
      </c>
      <c r="C153" s="23">
        <f t="shared" si="23"/>
        <v>1.01</v>
      </c>
      <c r="D153" s="2966" t="s">
        <v>3701</v>
      </c>
      <c r="E153" s="23">
        <f t="shared" si="24"/>
        <v>1</v>
      </c>
      <c r="F153" s="2966" t="s">
        <v>3691</v>
      </c>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ca="1" si="31"/>
        <v>7987</v>
      </c>
      <c r="S153" s="361">
        <f t="shared" ca="1" si="32"/>
        <v>42</v>
      </c>
    </row>
    <row r="154" spans="1:19">
      <c r="A154" s="159" t="str">
        <f>'数据-基础表'!C143</f>
        <v>7-1626</v>
      </c>
      <c r="B154" s="58">
        <f>'数据-基础表'!I143</f>
        <v>80.73</v>
      </c>
      <c r="C154" s="23">
        <f t="shared" ref="C154:C217" si="33">IF(B154="",1,(LOOKUP(B154,$3:$3,$4:$4)-LOOKUP($B$24,$3:$3,$4:$4)+100)/100)</f>
        <v>1</v>
      </c>
      <c r="D154" s="2966" t="s">
        <v>3701</v>
      </c>
      <c r="E154" s="23">
        <f t="shared" ref="E154:E217" si="34">(SUMIF($5:$5,D154,$6:$6)-SUMIF($5:$5,$D$24,$6:$6)+100)/100</f>
        <v>1</v>
      </c>
      <c r="F154" s="2966" t="s">
        <v>3691</v>
      </c>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ca="1" si="41">IF(B154="",0,ROUND($R$24*C154*E154*G154*I154*K154*M154*O154*Q154,0))</f>
        <v>7908</v>
      </c>
      <c r="S154" s="361">
        <f t="shared" ca="1" si="32"/>
        <v>64</v>
      </c>
    </row>
    <row r="155" spans="1:19">
      <c r="A155" s="159" t="str">
        <f>'数据-基础表'!C144</f>
        <v>7-1627</v>
      </c>
      <c r="B155" s="58">
        <f>'数据-基础表'!I144</f>
        <v>93.08</v>
      </c>
      <c r="C155" s="23">
        <f t="shared" si="33"/>
        <v>1</v>
      </c>
      <c r="D155" s="2966" t="s">
        <v>3701</v>
      </c>
      <c r="E155" s="23">
        <f t="shared" si="34"/>
        <v>1</v>
      </c>
      <c r="F155" s="2966" t="s">
        <v>3691</v>
      </c>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ca="1" si="41"/>
        <v>7908</v>
      </c>
      <c r="S155" s="361">
        <f t="shared" ca="1" si="32"/>
        <v>74</v>
      </c>
    </row>
    <row r="156" spans="1:19">
      <c r="A156" s="159" t="str">
        <f>'数据-基础表'!C145</f>
        <v>7-1628</v>
      </c>
      <c r="B156" s="58">
        <f>'数据-基础表'!I145</f>
        <v>93.08</v>
      </c>
      <c r="C156" s="23">
        <f t="shared" si="33"/>
        <v>1</v>
      </c>
      <c r="D156" s="2966" t="s">
        <v>3701</v>
      </c>
      <c r="E156" s="23">
        <f t="shared" si="34"/>
        <v>1</v>
      </c>
      <c r="F156" s="2966" t="s">
        <v>3691</v>
      </c>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ca="1" si="41"/>
        <v>7908</v>
      </c>
      <c r="S156" s="361">
        <f t="shared" ca="1" si="32"/>
        <v>74</v>
      </c>
    </row>
    <row r="157" spans="1:19">
      <c r="A157" s="159" t="str">
        <f>'数据-基础表'!C146</f>
        <v>7-1713</v>
      </c>
      <c r="B157" s="58">
        <f>'数据-基础表'!I146</f>
        <v>66.040000000000006</v>
      </c>
      <c r="C157" s="23">
        <f t="shared" si="33"/>
        <v>1</v>
      </c>
      <c r="D157" s="2966" t="s">
        <v>3701</v>
      </c>
      <c r="E157" s="23">
        <f t="shared" si="34"/>
        <v>1</v>
      </c>
      <c r="F157" s="2966" t="s">
        <v>3691</v>
      </c>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ca="1" si="41"/>
        <v>7908</v>
      </c>
      <c r="S157" s="361">
        <f t="shared" ca="1" si="32"/>
        <v>52</v>
      </c>
    </row>
    <row r="158" spans="1:19">
      <c r="A158" s="159" t="str">
        <f>'数据-基础表'!C147</f>
        <v>7-1714</v>
      </c>
      <c r="B158" s="58">
        <f>'数据-基础表'!I147</f>
        <v>66.040000000000006</v>
      </c>
      <c r="C158" s="23">
        <f t="shared" si="33"/>
        <v>1</v>
      </c>
      <c r="D158" s="2966" t="s">
        <v>3701</v>
      </c>
      <c r="E158" s="23">
        <f t="shared" si="34"/>
        <v>1</v>
      </c>
      <c r="F158" s="2966" t="s">
        <v>3691</v>
      </c>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ca="1" si="41"/>
        <v>7908</v>
      </c>
      <c r="S158" s="361">
        <f t="shared" ca="1" si="32"/>
        <v>52</v>
      </c>
    </row>
    <row r="159" spans="1:19">
      <c r="A159" s="159" t="str">
        <f>'数据-基础表'!C148</f>
        <v>7-1715</v>
      </c>
      <c r="B159" s="58">
        <f>'数据-基础表'!I148</f>
        <v>80.73</v>
      </c>
      <c r="C159" s="23">
        <f t="shared" si="33"/>
        <v>1</v>
      </c>
      <c r="D159" s="2966" t="s">
        <v>3701</v>
      </c>
      <c r="E159" s="23">
        <f t="shared" si="34"/>
        <v>1</v>
      </c>
      <c r="F159" s="2966" t="s">
        <v>3691</v>
      </c>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ca="1" si="41"/>
        <v>7908</v>
      </c>
      <c r="S159" s="361">
        <f t="shared" ca="1" si="32"/>
        <v>64</v>
      </c>
    </row>
    <row r="160" spans="1:19">
      <c r="A160" s="159" t="str">
        <f>'数据-基础表'!C149</f>
        <v>7-1716</v>
      </c>
      <c r="B160" s="58">
        <f>'数据-基础表'!I149</f>
        <v>52.17</v>
      </c>
      <c r="C160" s="23">
        <f t="shared" si="33"/>
        <v>1.01</v>
      </c>
      <c r="D160" s="2966" t="s">
        <v>3701</v>
      </c>
      <c r="E160" s="23">
        <f t="shared" si="34"/>
        <v>1</v>
      </c>
      <c r="F160" s="2966" t="s">
        <v>3691</v>
      </c>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ca="1" si="41"/>
        <v>7987</v>
      </c>
      <c r="S160" s="361">
        <f t="shared" ca="1" si="32"/>
        <v>42</v>
      </c>
    </row>
    <row r="161" spans="1:19">
      <c r="A161" s="159" t="str">
        <f>'数据-基础表'!C150</f>
        <v>7-1717</v>
      </c>
      <c r="B161" s="58">
        <f>'数据-基础表'!I150</f>
        <v>52.17</v>
      </c>
      <c r="C161" s="23">
        <f t="shared" si="33"/>
        <v>1.01</v>
      </c>
      <c r="D161" s="2966" t="s">
        <v>3701</v>
      </c>
      <c r="E161" s="23">
        <f t="shared" si="34"/>
        <v>1</v>
      </c>
      <c r="F161" s="2966" t="s">
        <v>3691</v>
      </c>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ca="1" si="41"/>
        <v>7987</v>
      </c>
      <c r="S161" s="361">
        <f t="shared" ca="1" si="32"/>
        <v>42</v>
      </c>
    </row>
    <row r="162" spans="1:19">
      <c r="A162" s="159" t="str">
        <f>'数据-基础表'!C151</f>
        <v>7-1718</v>
      </c>
      <c r="B162" s="58">
        <f>'数据-基础表'!I151</f>
        <v>52.17</v>
      </c>
      <c r="C162" s="23">
        <f t="shared" si="33"/>
        <v>1.01</v>
      </c>
      <c r="D162" s="2966" t="s">
        <v>3701</v>
      </c>
      <c r="E162" s="23">
        <f t="shared" si="34"/>
        <v>1</v>
      </c>
      <c r="F162" s="2966" t="s">
        <v>3691</v>
      </c>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ca="1" si="41"/>
        <v>7987</v>
      </c>
      <c r="S162" s="361">
        <f t="shared" ca="1" si="32"/>
        <v>42</v>
      </c>
    </row>
    <row r="163" spans="1:19">
      <c r="A163" s="159" t="str">
        <f>'数据-基础表'!C152</f>
        <v>7-1719</v>
      </c>
      <c r="B163" s="58">
        <f>'数据-基础表'!I152</f>
        <v>52.17</v>
      </c>
      <c r="C163" s="23">
        <f t="shared" si="33"/>
        <v>1.01</v>
      </c>
      <c r="D163" s="2966" t="s">
        <v>3701</v>
      </c>
      <c r="E163" s="23">
        <f t="shared" si="34"/>
        <v>1</v>
      </c>
      <c r="F163" s="2966" t="s">
        <v>3691</v>
      </c>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ca="1" si="41"/>
        <v>7987</v>
      </c>
      <c r="S163" s="361">
        <f t="shared" ca="1" si="32"/>
        <v>42</v>
      </c>
    </row>
    <row r="164" spans="1:19">
      <c r="A164" s="159" t="str">
        <f>'数据-基础表'!C153</f>
        <v>7-1720</v>
      </c>
      <c r="B164" s="58">
        <f>'数据-基础表'!I153</f>
        <v>52.17</v>
      </c>
      <c r="C164" s="23">
        <f t="shared" si="33"/>
        <v>1.01</v>
      </c>
      <c r="D164" s="2966" t="s">
        <v>3701</v>
      </c>
      <c r="E164" s="23">
        <f t="shared" si="34"/>
        <v>1</v>
      </c>
      <c r="F164" s="2966" t="s">
        <v>3691</v>
      </c>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ca="1" si="41"/>
        <v>7987</v>
      </c>
      <c r="S164" s="361">
        <f t="shared" ca="1" si="32"/>
        <v>42</v>
      </c>
    </row>
    <row r="165" spans="1:19">
      <c r="A165" s="159" t="str">
        <f>'数据-基础表'!C154</f>
        <v>7-1721</v>
      </c>
      <c r="B165" s="58">
        <f>'数据-基础表'!I154</f>
        <v>52.17</v>
      </c>
      <c r="C165" s="23">
        <f t="shared" si="33"/>
        <v>1.01</v>
      </c>
      <c r="D165" s="2966" t="s">
        <v>3701</v>
      </c>
      <c r="E165" s="23">
        <f t="shared" si="34"/>
        <v>1</v>
      </c>
      <c r="F165" s="2966" t="s">
        <v>3691</v>
      </c>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ca="1" si="41"/>
        <v>7987</v>
      </c>
      <c r="S165" s="361">
        <f t="shared" ca="1" si="32"/>
        <v>42</v>
      </c>
    </row>
    <row r="166" spans="1:19">
      <c r="A166" s="159" t="str">
        <f>'数据-基础表'!C155</f>
        <v>7-1722</v>
      </c>
      <c r="B166" s="58">
        <f>'数据-基础表'!I155</f>
        <v>52.17</v>
      </c>
      <c r="C166" s="23">
        <f t="shared" si="33"/>
        <v>1.01</v>
      </c>
      <c r="D166" s="2966" t="s">
        <v>3701</v>
      </c>
      <c r="E166" s="23">
        <f t="shared" si="34"/>
        <v>1</v>
      </c>
      <c r="F166" s="2966" t="s">
        <v>3691</v>
      </c>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ca="1" si="41"/>
        <v>7987</v>
      </c>
      <c r="S166" s="361">
        <f t="shared" ca="1" si="32"/>
        <v>42</v>
      </c>
    </row>
    <row r="167" spans="1:19">
      <c r="A167" s="159" t="str">
        <f>'数据-基础表'!C156</f>
        <v>7-1723</v>
      </c>
      <c r="B167" s="58">
        <f>'数据-基础表'!I156</f>
        <v>52.17</v>
      </c>
      <c r="C167" s="23">
        <f t="shared" si="33"/>
        <v>1.01</v>
      </c>
      <c r="D167" s="2966" t="s">
        <v>3701</v>
      </c>
      <c r="E167" s="23">
        <f t="shared" si="34"/>
        <v>1</v>
      </c>
      <c r="F167" s="2966" t="s">
        <v>3691</v>
      </c>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ca="1" si="41"/>
        <v>7987</v>
      </c>
      <c r="S167" s="361">
        <f t="shared" ca="1" si="32"/>
        <v>42</v>
      </c>
    </row>
    <row r="168" spans="1:19">
      <c r="A168" s="159" t="str">
        <f>'数据-基础表'!C157</f>
        <v>7-1724</v>
      </c>
      <c r="B168" s="58">
        <f>'数据-基础表'!I157</f>
        <v>52.17</v>
      </c>
      <c r="C168" s="23">
        <f t="shared" si="33"/>
        <v>1.01</v>
      </c>
      <c r="D168" s="2966" t="s">
        <v>3701</v>
      </c>
      <c r="E168" s="23">
        <f t="shared" si="34"/>
        <v>1</v>
      </c>
      <c r="F168" s="2966" t="s">
        <v>3691</v>
      </c>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ca="1" si="41"/>
        <v>7987</v>
      </c>
      <c r="S168" s="361">
        <f t="shared" ca="1" si="32"/>
        <v>42</v>
      </c>
    </row>
    <row r="169" spans="1:19">
      <c r="A169" s="159" t="str">
        <f>'数据-基础表'!C158</f>
        <v>7-1725</v>
      </c>
      <c r="B169" s="58">
        <f>'数据-基础表'!I158</f>
        <v>52.17</v>
      </c>
      <c r="C169" s="23">
        <f t="shared" si="33"/>
        <v>1.01</v>
      </c>
      <c r="D169" s="2966" t="s">
        <v>3701</v>
      </c>
      <c r="E169" s="23">
        <f t="shared" si="34"/>
        <v>1</v>
      </c>
      <c r="F169" s="2966" t="s">
        <v>3691</v>
      </c>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ca="1" si="41"/>
        <v>7987</v>
      </c>
      <c r="S169" s="361">
        <f t="shared" ca="1" si="32"/>
        <v>42</v>
      </c>
    </row>
    <row r="170" spans="1:19">
      <c r="A170" s="159" t="str">
        <f>'数据-基础表'!C159</f>
        <v>7-1726</v>
      </c>
      <c r="B170" s="58">
        <f>'数据-基础表'!I159</f>
        <v>80.73</v>
      </c>
      <c r="C170" s="23">
        <f t="shared" si="33"/>
        <v>1</v>
      </c>
      <c r="D170" s="2966" t="s">
        <v>3701</v>
      </c>
      <c r="E170" s="23">
        <f t="shared" si="34"/>
        <v>1</v>
      </c>
      <c r="F170" s="2966" t="s">
        <v>3691</v>
      </c>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ca="1" si="41"/>
        <v>7908</v>
      </c>
      <c r="S170" s="361">
        <f t="shared" ca="1" si="32"/>
        <v>64</v>
      </c>
    </row>
    <row r="171" spans="1:19">
      <c r="A171" s="159" t="str">
        <f>'数据-基础表'!C160</f>
        <v>7-1801</v>
      </c>
      <c r="B171" s="58">
        <f>'数据-基础表'!I160</f>
        <v>80.73</v>
      </c>
      <c r="C171" s="23">
        <f t="shared" si="33"/>
        <v>1</v>
      </c>
      <c r="D171" s="2966" t="s">
        <v>3701</v>
      </c>
      <c r="E171" s="23">
        <f t="shared" si="34"/>
        <v>1</v>
      </c>
      <c r="F171" s="2966" t="s">
        <v>3691</v>
      </c>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ca="1" si="41"/>
        <v>7908</v>
      </c>
      <c r="S171" s="361">
        <f t="shared" ca="1" si="32"/>
        <v>64</v>
      </c>
    </row>
    <row r="172" spans="1:19">
      <c r="A172" s="159" t="str">
        <f>'数据-基础表'!C161</f>
        <v>7-1802</v>
      </c>
      <c r="B172" s="58">
        <f>'数据-基础表'!I161</f>
        <v>52.17</v>
      </c>
      <c r="C172" s="23">
        <f t="shared" si="33"/>
        <v>1.01</v>
      </c>
      <c r="D172" s="2966" t="s">
        <v>3701</v>
      </c>
      <c r="E172" s="23">
        <f t="shared" si="34"/>
        <v>1</v>
      </c>
      <c r="F172" s="2966" t="s">
        <v>3691</v>
      </c>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ca="1" si="41"/>
        <v>7987</v>
      </c>
      <c r="S172" s="361">
        <f t="shared" ca="1" si="32"/>
        <v>42</v>
      </c>
    </row>
    <row r="173" spans="1:19">
      <c r="A173" s="159" t="str">
        <f>'数据-基础表'!C162</f>
        <v>7-1803</v>
      </c>
      <c r="B173" s="58">
        <f>'数据-基础表'!I162</f>
        <v>52.17</v>
      </c>
      <c r="C173" s="23">
        <f t="shared" si="33"/>
        <v>1.01</v>
      </c>
      <c r="D173" s="2966" t="s">
        <v>3701</v>
      </c>
      <c r="E173" s="23">
        <f t="shared" si="34"/>
        <v>1</v>
      </c>
      <c r="F173" s="2966" t="s">
        <v>3691</v>
      </c>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ca="1" si="41"/>
        <v>7987</v>
      </c>
      <c r="S173" s="361">
        <f t="shared" ca="1" si="32"/>
        <v>42</v>
      </c>
    </row>
    <row r="174" spans="1:19">
      <c r="A174" s="159" t="str">
        <f>'数据-基础表'!C163</f>
        <v>7-1804</v>
      </c>
      <c r="B174" s="58">
        <f>'数据-基础表'!I163</f>
        <v>52.17</v>
      </c>
      <c r="C174" s="23">
        <f t="shared" si="33"/>
        <v>1.01</v>
      </c>
      <c r="D174" s="2966" t="s">
        <v>3701</v>
      </c>
      <c r="E174" s="23">
        <f t="shared" si="34"/>
        <v>1</v>
      </c>
      <c r="F174" s="2966" t="s">
        <v>3691</v>
      </c>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ca="1" si="41"/>
        <v>7987</v>
      </c>
      <c r="S174" s="361">
        <f t="shared" ca="1" si="32"/>
        <v>42</v>
      </c>
    </row>
    <row r="175" spans="1:19">
      <c r="A175" s="159" t="str">
        <f>'数据-基础表'!C164</f>
        <v>7-1805</v>
      </c>
      <c r="B175" s="58">
        <f>'数据-基础表'!I164</f>
        <v>52.17</v>
      </c>
      <c r="C175" s="23">
        <f t="shared" si="33"/>
        <v>1.01</v>
      </c>
      <c r="D175" s="2966" t="s">
        <v>3701</v>
      </c>
      <c r="E175" s="23">
        <f t="shared" si="34"/>
        <v>1</v>
      </c>
      <c r="F175" s="2966" t="s">
        <v>3691</v>
      </c>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ca="1" si="41"/>
        <v>7987</v>
      </c>
      <c r="S175" s="361">
        <f t="shared" ca="1" si="32"/>
        <v>42</v>
      </c>
    </row>
    <row r="176" spans="1:19">
      <c r="A176" s="159" t="str">
        <f>'数据-基础表'!C165</f>
        <v>7-1806</v>
      </c>
      <c r="B176" s="58">
        <f>'数据-基础表'!I165</f>
        <v>52.17</v>
      </c>
      <c r="C176" s="23">
        <f t="shared" si="33"/>
        <v>1.01</v>
      </c>
      <c r="D176" s="2966" t="s">
        <v>3701</v>
      </c>
      <c r="E176" s="23">
        <f t="shared" si="34"/>
        <v>1</v>
      </c>
      <c r="F176" s="2966" t="s">
        <v>3691</v>
      </c>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ca="1" si="41"/>
        <v>7987</v>
      </c>
      <c r="S176" s="361">
        <f t="shared" ca="1" si="32"/>
        <v>42</v>
      </c>
    </row>
    <row r="177" spans="1:19">
      <c r="A177" s="159" t="str">
        <f>'数据-基础表'!C166</f>
        <v>7-1807</v>
      </c>
      <c r="B177" s="58">
        <f>'数据-基础表'!I166</f>
        <v>52.17</v>
      </c>
      <c r="C177" s="23">
        <f t="shared" si="33"/>
        <v>1.01</v>
      </c>
      <c r="D177" s="2966" t="s">
        <v>3701</v>
      </c>
      <c r="E177" s="23">
        <f t="shared" si="34"/>
        <v>1</v>
      </c>
      <c r="F177" s="2966" t="s">
        <v>3691</v>
      </c>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ca="1" si="41"/>
        <v>7987</v>
      </c>
      <c r="S177" s="361">
        <f t="shared" ca="1" si="32"/>
        <v>42</v>
      </c>
    </row>
    <row r="178" spans="1:19">
      <c r="A178" s="159" t="str">
        <f>'数据-基础表'!C167</f>
        <v>7-1808</v>
      </c>
      <c r="B178" s="58">
        <f>'数据-基础表'!I167</f>
        <v>52.17</v>
      </c>
      <c r="C178" s="23">
        <f t="shared" si="33"/>
        <v>1.01</v>
      </c>
      <c r="D178" s="2966" t="s">
        <v>3701</v>
      </c>
      <c r="E178" s="23">
        <f t="shared" si="34"/>
        <v>1</v>
      </c>
      <c r="F178" s="2966" t="s">
        <v>3691</v>
      </c>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ca="1" si="41"/>
        <v>7987</v>
      </c>
      <c r="S178" s="361">
        <f t="shared" ca="1" si="32"/>
        <v>42</v>
      </c>
    </row>
    <row r="179" spans="1:19">
      <c r="A179" s="159" t="str">
        <f>'数据-基础表'!C168</f>
        <v>7-1809</v>
      </c>
      <c r="B179" s="58">
        <f>'数据-基础表'!I168</f>
        <v>52.17</v>
      </c>
      <c r="C179" s="23">
        <f t="shared" si="33"/>
        <v>1.01</v>
      </c>
      <c r="D179" s="2966" t="s">
        <v>3701</v>
      </c>
      <c r="E179" s="23">
        <f t="shared" si="34"/>
        <v>1</v>
      </c>
      <c r="F179" s="2966" t="s">
        <v>3691</v>
      </c>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ca="1" si="41"/>
        <v>7987</v>
      </c>
      <c r="S179" s="361">
        <f t="shared" ca="1" si="32"/>
        <v>42</v>
      </c>
    </row>
    <row r="180" spans="1:19">
      <c r="A180" s="159" t="str">
        <f>'数据-基础表'!C169</f>
        <v>7-1810</v>
      </c>
      <c r="B180" s="58">
        <f>'数据-基础表'!I169</f>
        <v>52.17</v>
      </c>
      <c r="C180" s="23">
        <f t="shared" si="33"/>
        <v>1.01</v>
      </c>
      <c r="D180" s="2966" t="s">
        <v>3701</v>
      </c>
      <c r="E180" s="23">
        <f t="shared" si="34"/>
        <v>1</v>
      </c>
      <c r="F180" s="2966" t="s">
        <v>3691</v>
      </c>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ca="1" si="41"/>
        <v>7987</v>
      </c>
      <c r="S180" s="361">
        <f t="shared" ca="1" si="32"/>
        <v>42</v>
      </c>
    </row>
    <row r="181" spans="1:19">
      <c r="A181" s="159" t="str">
        <f>'数据-基础表'!C170</f>
        <v>7-1811</v>
      </c>
      <c r="B181" s="58">
        <f>'数据-基础表'!I170</f>
        <v>52.17</v>
      </c>
      <c r="C181" s="23">
        <f t="shared" si="33"/>
        <v>1.01</v>
      </c>
      <c r="D181" s="2966" t="s">
        <v>3701</v>
      </c>
      <c r="E181" s="23">
        <f t="shared" si="34"/>
        <v>1</v>
      </c>
      <c r="F181" s="2966" t="s">
        <v>3691</v>
      </c>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ca="1" si="41"/>
        <v>7987</v>
      </c>
      <c r="S181" s="361">
        <f t="shared" ca="1" si="32"/>
        <v>42</v>
      </c>
    </row>
    <row r="182" spans="1:19">
      <c r="A182" s="159" t="str">
        <f>'数据-基础表'!C171</f>
        <v>7-1812</v>
      </c>
      <c r="B182" s="58">
        <f>'数据-基础表'!I171</f>
        <v>80.73</v>
      </c>
      <c r="C182" s="23">
        <f t="shared" si="33"/>
        <v>1</v>
      </c>
      <c r="D182" s="2966" t="s">
        <v>3701</v>
      </c>
      <c r="E182" s="23">
        <f t="shared" si="34"/>
        <v>1</v>
      </c>
      <c r="F182" s="2966" t="s">
        <v>3691</v>
      </c>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ca="1" si="41"/>
        <v>7908</v>
      </c>
      <c r="S182" s="361">
        <f t="shared" ca="1" si="32"/>
        <v>64</v>
      </c>
    </row>
    <row r="183" spans="1:19">
      <c r="A183" s="159" t="str">
        <f>'数据-基础表'!C172</f>
        <v>7-1813</v>
      </c>
      <c r="B183" s="58">
        <f>'数据-基础表'!I172</f>
        <v>66.040000000000006</v>
      </c>
      <c r="C183" s="23">
        <f t="shared" si="33"/>
        <v>1</v>
      </c>
      <c r="D183" s="2966" t="s">
        <v>3701</v>
      </c>
      <c r="E183" s="23">
        <f t="shared" si="34"/>
        <v>1</v>
      </c>
      <c r="F183" s="2966" t="s">
        <v>3691</v>
      </c>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ca="1" si="41"/>
        <v>7908</v>
      </c>
      <c r="S183" s="361">
        <f t="shared" ca="1" si="32"/>
        <v>52</v>
      </c>
    </row>
    <row r="184" spans="1:19">
      <c r="A184" s="159" t="str">
        <f>'数据-基础表'!C173</f>
        <v>7-1814</v>
      </c>
      <c r="B184" s="58">
        <f>'数据-基础表'!I173</f>
        <v>66.040000000000006</v>
      </c>
      <c r="C184" s="23">
        <f t="shared" si="33"/>
        <v>1</v>
      </c>
      <c r="D184" s="2966" t="s">
        <v>3701</v>
      </c>
      <c r="E184" s="23">
        <f t="shared" si="34"/>
        <v>1</v>
      </c>
      <c r="F184" s="2966" t="s">
        <v>3691</v>
      </c>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ca="1" si="41"/>
        <v>7908</v>
      </c>
      <c r="S184" s="361">
        <f t="shared" ca="1" si="32"/>
        <v>52</v>
      </c>
    </row>
    <row r="185" spans="1:19">
      <c r="A185" s="159" t="str">
        <f>'数据-基础表'!C174</f>
        <v>7-1815</v>
      </c>
      <c r="B185" s="58">
        <f>'数据-基础表'!I174</f>
        <v>80.73</v>
      </c>
      <c r="C185" s="23">
        <f t="shared" si="33"/>
        <v>1</v>
      </c>
      <c r="D185" s="2966" t="s">
        <v>3701</v>
      </c>
      <c r="E185" s="23">
        <f t="shared" si="34"/>
        <v>1</v>
      </c>
      <c r="F185" s="2966" t="s">
        <v>3691</v>
      </c>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ca="1" si="41"/>
        <v>7908</v>
      </c>
      <c r="S185" s="361">
        <f t="shared" ca="1" si="32"/>
        <v>64</v>
      </c>
    </row>
    <row r="186" spans="1:19">
      <c r="A186" s="159" t="str">
        <f>'数据-基础表'!C175</f>
        <v>7-1816</v>
      </c>
      <c r="B186" s="58">
        <f>'数据-基础表'!I175</f>
        <v>52.17</v>
      </c>
      <c r="C186" s="23">
        <f t="shared" si="33"/>
        <v>1.01</v>
      </c>
      <c r="D186" s="2966" t="s">
        <v>3701</v>
      </c>
      <c r="E186" s="23">
        <f t="shared" si="34"/>
        <v>1</v>
      </c>
      <c r="F186" s="2966" t="s">
        <v>3691</v>
      </c>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ca="1" si="41"/>
        <v>7987</v>
      </c>
      <c r="S186" s="361">
        <f t="shared" ca="1" si="32"/>
        <v>42</v>
      </c>
    </row>
    <row r="187" spans="1:19">
      <c r="A187" s="159" t="str">
        <f>'数据-基础表'!C176</f>
        <v>7-1817</v>
      </c>
      <c r="B187" s="58">
        <f>'数据-基础表'!I176</f>
        <v>52.17</v>
      </c>
      <c r="C187" s="23">
        <f t="shared" si="33"/>
        <v>1.01</v>
      </c>
      <c r="D187" s="2966" t="s">
        <v>3701</v>
      </c>
      <c r="E187" s="23">
        <f t="shared" si="34"/>
        <v>1</v>
      </c>
      <c r="F187" s="2966" t="s">
        <v>3691</v>
      </c>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ca="1" si="41"/>
        <v>7987</v>
      </c>
      <c r="S187" s="361">
        <f t="shared" ref="S187:S222" ca="1" si="42">ROUND(R187*B187/10000,0)</f>
        <v>42</v>
      </c>
    </row>
    <row r="188" spans="1:19">
      <c r="A188" s="159" t="str">
        <f>'数据-基础表'!C177</f>
        <v>7-1818</v>
      </c>
      <c r="B188" s="58">
        <f>'数据-基础表'!I177</f>
        <v>52.17</v>
      </c>
      <c r="C188" s="23">
        <f t="shared" si="33"/>
        <v>1.01</v>
      </c>
      <c r="D188" s="2966" t="s">
        <v>3701</v>
      </c>
      <c r="E188" s="23">
        <f t="shared" si="34"/>
        <v>1</v>
      </c>
      <c r="F188" s="2966" t="s">
        <v>3691</v>
      </c>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ca="1" si="41"/>
        <v>7987</v>
      </c>
      <c r="S188" s="361">
        <f t="shared" ca="1" si="42"/>
        <v>42</v>
      </c>
    </row>
    <row r="189" spans="1:19">
      <c r="A189" s="159" t="str">
        <f>'数据-基础表'!C178</f>
        <v>7-1819</v>
      </c>
      <c r="B189" s="58">
        <f>'数据-基础表'!I178</f>
        <v>52.17</v>
      </c>
      <c r="C189" s="23">
        <f t="shared" si="33"/>
        <v>1.01</v>
      </c>
      <c r="D189" s="2966" t="s">
        <v>3701</v>
      </c>
      <c r="E189" s="23">
        <f t="shared" si="34"/>
        <v>1</v>
      </c>
      <c r="F189" s="2966" t="s">
        <v>3691</v>
      </c>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ca="1" si="41"/>
        <v>7987</v>
      </c>
      <c r="S189" s="361">
        <f t="shared" ca="1" si="42"/>
        <v>42</v>
      </c>
    </row>
    <row r="190" spans="1:19">
      <c r="A190" s="159" t="str">
        <f>'数据-基础表'!C179</f>
        <v>7-1820</v>
      </c>
      <c r="B190" s="58">
        <f>'数据-基础表'!I179</f>
        <v>52.17</v>
      </c>
      <c r="C190" s="23">
        <f t="shared" si="33"/>
        <v>1.01</v>
      </c>
      <c r="D190" s="2966" t="s">
        <v>3701</v>
      </c>
      <c r="E190" s="23">
        <f t="shared" si="34"/>
        <v>1</v>
      </c>
      <c r="F190" s="2966" t="s">
        <v>3691</v>
      </c>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ca="1" si="41"/>
        <v>7987</v>
      </c>
      <c r="S190" s="361">
        <f t="shared" ca="1" si="42"/>
        <v>42</v>
      </c>
    </row>
    <row r="191" spans="1:19">
      <c r="A191" s="159" t="str">
        <f>'数据-基础表'!C180</f>
        <v>7-1821</v>
      </c>
      <c r="B191" s="58">
        <f>'数据-基础表'!I180</f>
        <v>52.17</v>
      </c>
      <c r="C191" s="23">
        <f t="shared" si="33"/>
        <v>1.01</v>
      </c>
      <c r="D191" s="2966" t="s">
        <v>3701</v>
      </c>
      <c r="E191" s="23">
        <f t="shared" si="34"/>
        <v>1</v>
      </c>
      <c r="F191" s="2966" t="s">
        <v>3691</v>
      </c>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ca="1" si="41"/>
        <v>7987</v>
      </c>
      <c r="S191" s="361">
        <f t="shared" ca="1" si="42"/>
        <v>42</v>
      </c>
    </row>
    <row r="192" spans="1:19">
      <c r="A192" s="159" t="str">
        <f>'数据-基础表'!C181</f>
        <v>7-1822</v>
      </c>
      <c r="B192" s="58">
        <f>'数据-基础表'!I181</f>
        <v>52.17</v>
      </c>
      <c r="C192" s="23">
        <f t="shared" si="33"/>
        <v>1.01</v>
      </c>
      <c r="D192" s="2966" t="s">
        <v>3701</v>
      </c>
      <c r="E192" s="23">
        <f t="shared" si="34"/>
        <v>1</v>
      </c>
      <c r="F192" s="2966" t="s">
        <v>3691</v>
      </c>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ca="1" si="41"/>
        <v>7987</v>
      </c>
      <c r="S192" s="361">
        <f t="shared" ca="1" si="42"/>
        <v>42</v>
      </c>
    </row>
    <row r="193" spans="1:19">
      <c r="A193" s="159" t="str">
        <f>'数据-基础表'!C182</f>
        <v>7-1823</v>
      </c>
      <c r="B193" s="58">
        <f>'数据-基础表'!I182</f>
        <v>52.17</v>
      </c>
      <c r="C193" s="23">
        <f t="shared" si="33"/>
        <v>1.01</v>
      </c>
      <c r="D193" s="2966" t="s">
        <v>3701</v>
      </c>
      <c r="E193" s="23">
        <f t="shared" si="34"/>
        <v>1</v>
      </c>
      <c r="F193" s="2966" t="s">
        <v>3691</v>
      </c>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ca="1" si="41"/>
        <v>7987</v>
      </c>
      <c r="S193" s="361">
        <f t="shared" ca="1" si="42"/>
        <v>42</v>
      </c>
    </row>
    <row r="194" spans="1:19">
      <c r="A194" s="159" t="str">
        <f>'数据-基础表'!C183</f>
        <v>7-1824</v>
      </c>
      <c r="B194" s="58">
        <f>'数据-基础表'!I183</f>
        <v>52.17</v>
      </c>
      <c r="C194" s="23">
        <f t="shared" si="33"/>
        <v>1.01</v>
      </c>
      <c r="D194" s="2966" t="s">
        <v>3701</v>
      </c>
      <c r="E194" s="23">
        <f t="shared" si="34"/>
        <v>1</v>
      </c>
      <c r="F194" s="2966" t="s">
        <v>3691</v>
      </c>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ca="1" si="41"/>
        <v>7987</v>
      </c>
      <c r="S194" s="361">
        <f t="shared" ca="1" si="42"/>
        <v>42</v>
      </c>
    </row>
    <row r="195" spans="1:19">
      <c r="A195" s="159" t="str">
        <f>'数据-基础表'!C184</f>
        <v>7-1825</v>
      </c>
      <c r="B195" s="58">
        <f>'数据-基础表'!I184</f>
        <v>52.17</v>
      </c>
      <c r="C195" s="23">
        <f t="shared" si="33"/>
        <v>1.01</v>
      </c>
      <c r="D195" s="2966" t="s">
        <v>3701</v>
      </c>
      <c r="E195" s="23">
        <f t="shared" si="34"/>
        <v>1</v>
      </c>
      <c r="F195" s="2966" t="s">
        <v>3691</v>
      </c>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ca="1" si="41"/>
        <v>7987</v>
      </c>
      <c r="S195" s="361">
        <f t="shared" ca="1" si="42"/>
        <v>42</v>
      </c>
    </row>
    <row r="196" spans="1:19">
      <c r="A196" s="159" t="str">
        <f>'数据-基础表'!C185</f>
        <v>7-1826</v>
      </c>
      <c r="B196" s="58">
        <f>'数据-基础表'!I185</f>
        <v>80.73</v>
      </c>
      <c r="C196" s="23">
        <f t="shared" si="33"/>
        <v>1</v>
      </c>
      <c r="D196" s="2966" t="s">
        <v>3701</v>
      </c>
      <c r="E196" s="23">
        <f t="shared" si="34"/>
        <v>1</v>
      </c>
      <c r="F196" s="2966" t="s">
        <v>3691</v>
      </c>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ca="1" si="41"/>
        <v>7908</v>
      </c>
      <c r="S196" s="361">
        <f t="shared" ca="1" si="42"/>
        <v>64</v>
      </c>
    </row>
    <row r="197" spans="1:19">
      <c r="A197" s="159" t="str">
        <f>'数据-基础表'!C186</f>
        <v>7-1827</v>
      </c>
      <c r="B197" s="58">
        <f>'数据-基础表'!I186</f>
        <v>93.08</v>
      </c>
      <c r="C197" s="23">
        <f t="shared" si="33"/>
        <v>1</v>
      </c>
      <c r="D197" s="2966" t="s">
        <v>3701</v>
      </c>
      <c r="E197" s="23">
        <f t="shared" si="34"/>
        <v>1</v>
      </c>
      <c r="F197" s="2966" t="s">
        <v>3691</v>
      </c>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ca="1" si="41"/>
        <v>7908</v>
      </c>
      <c r="S197" s="361">
        <f t="shared" ca="1" si="42"/>
        <v>74</v>
      </c>
    </row>
    <row r="198" spans="1:19">
      <c r="A198" s="159" t="str">
        <f>'数据-基础表'!C187</f>
        <v>7-1828</v>
      </c>
      <c r="B198" s="58">
        <f>'数据-基础表'!I187</f>
        <v>93.08</v>
      </c>
      <c r="C198" s="23">
        <f t="shared" si="33"/>
        <v>1</v>
      </c>
      <c r="D198" s="2966" t="s">
        <v>3701</v>
      </c>
      <c r="E198" s="23">
        <f t="shared" si="34"/>
        <v>1</v>
      </c>
      <c r="F198" s="2966" t="s">
        <v>3691</v>
      </c>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ca="1" si="41"/>
        <v>7908</v>
      </c>
      <c r="S198" s="361">
        <f t="shared" ca="1" si="42"/>
        <v>74</v>
      </c>
    </row>
    <row r="199" spans="1:19">
      <c r="A199" s="159" t="str">
        <f>'数据-基础表'!C188</f>
        <v>7-1901</v>
      </c>
      <c r="B199" s="58">
        <f>'数据-基础表'!I188</f>
        <v>80.73</v>
      </c>
      <c r="C199" s="23">
        <f t="shared" si="33"/>
        <v>1</v>
      </c>
      <c r="D199" s="2966" t="s">
        <v>3709</v>
      </c>
      <c r="E199" s="23">
        <f t="shared" si="34"/>
        <v>1.02</v>
      </c>
      <c r="F199" s="2966" t="s">
        <v>3691</v>
      </c>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ca="1" si="41"/>
        <v>8066</v>
      </c>
      <c r="S199" s="361">
        <f t="shared" ca="1" si="42"/>
        <v>65</v>
      </c>
    </row>
    <row r="200" spans="1:19">
      <c r="A200" s="159" t="str">
        <f>'数据-基础表'!C189</f>
        <v>7-1902</v>
      </c>
      <c r="B200" s="58">
        <f>'数据-基础表'!I189</f>
        <v>52.17</v>
      </c>
      <c r="C200" s="23">
        <f t="shared" si="33"/>
        <v>1.01</v>
      </c>
      <c r="D200" s="2966" t="s">
        <v>3709</v>
      </c>
      <c r="E200" s="23">
        <f t="shared" si="34"/>
        <v>1.02</v>
      </c>
      <c r="F200" s="2966" t="s">
        <v>3691</v>
      </c>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ca="1" si="41"/>
        <v>8147</v>
      </c>
      <c r="S200" s="361">
        <f t="shared" ca="1" si="42"/>
        <v>43</v>
      </c>
    </row>
    <row r="201" spans="1:19">
      <c r="A201" s="159" t="str">
        <f>'数据-基础表'!C190</f>
        <v>7-1903</v>
      </c>
      <c r="B201" s="58">
        <f>'数据-基础表'!I190</f>
        <v>52.17</v>
      </c>
      <c r="C201" s="23">
        <f t="shared" si="33"/>
        <v>1.01</v>
      </c>
      <c r="D201" s="2966" t="s">
        <v>3709</v>
      </c>
      <c r="E201" s="23">
        <f t="shared" si="34"/>
        <v>1.02</v>
      </c>
      <c r="F201" s="2966" t="s">
        <v>3691</v>
      </c>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ca="1" si="41"/>
        <v>8147</v>
      </c>
      <c r="S201" s="361">
        <f t="shared" ca="1" si="42"/>
        <v>43</v>
      </c>
    </row>
    <row r="202" spans="1:19">
      <c r="A202" s="159" t="str">
        <f>'数据-基础表'!C191</f>
        <v>7-1904</v>
      </c>
      <c r="B202" s="58">
        <f>'数据-基础表'!I191</f>
        <v>52.17</v>
      </c>
      <c r="C202" s="23">
        <f t="shared" si="33"/>
        <v>1.01</v>
      </c>
      <c r="D202" s="2966" t="s">
        <v>3709</v>
      </c>
      <c r="E202" s="23">
        <f t="shared" si="34"/>
        <v>1.02</v>
      </c>
      <c r="F202" s="2966" t="s">
        <v>3691</v>
      </c>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ca="1" si="41"/>
        <v>8147</v>
      </c>
      <c r="S202" s="361">
        <f t="shared" ca="1" si="42"/>
        <v>43</v>
      </c>
    </row>
    <row r="203" spans="1:19">
      <c r="A203" s="159" t="str">
        <f>'数据-基础表'!C192</f>
        <v>7-1905</v>
      </c>
      <c r="B203" s="58">
        <f>'数据-基础表'!I192</f>
        <v>52.17</v>
      </c>
      <c r="C203" s="23">
        <f t="shared" si="33"/>
        <v>1.01</v>
      </c>
      <c r="D203" s="2966" t="s">
        <v>3709</v>
      </c>
      <c r="E203" s="23">
        <f t="shared" si="34"/>
        <v>1.02</v>
      </c>
      <c r="F203" s="2966" t="s">
        <v>3691</v>
      </c>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ca="1" si="41"/>
        <v>8147</v>
      </c>
      <c r="S203" s="361">
        <f t="shared" ca="1" si="42"/>
        <v>43</v>
      </c>
    </row>
    <row r="204" spans="1:19">
      <c r="A204" s="159" t="str">
        <f>'数据-基础表'!C193</f>
        <v>7-1906</v>
      </c>
      <c r="B204" s="58">
        <f>'数据-基础表'!I193</f>
        <v>52.17</v>
      </c>
      <c r="C204" s="23">
        <f t="shared" si="33"/>
        <v>1.01</v>
      </c>
      <c r="D204" s="2966" t="s">
        <v>3709</v>
      </c>
      <c r="E204" s="23">
        <f t="shared" si="34"/>
        <v>1.02</v>
      </c>
      <c r="F204" s="2966" t="s">
        <v>3691</v>
      </c>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ca="1" si="41"/>
        <v>8147</v>
      </c>
      <c r="S204" s="361">
        <f t="shared" ca="1" si="42"/>
        <v>43</v>
      </c>
    </row>
    <row r="205" spans="1:19">
      <c r="A205" s="159" t="str">
        <f>'数据-基础表'!C194</f>
        <v>7-1907</v>
      </c>
      <c r="B205" s="58">
        <f>'数据-基础表'!I194</f>
        <v>52.17</v>
      </c>
      <c r="C205" s="23">
        <f t="shared" si="33"/>
        <v>1.01</v>
      </c>
      <c r="D205" s="2966" t="s">
        <v>3709</v>
      </c>
      <c r="E205" s="23">
        <f t="shared" si="34"/>
        <v>1.02</v>
      </c>
      <c r="F205" s="2966" t="s">
        <v>3691</v>
      </c>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ca="1" si="41"/>
        <v>8147</v>
      </c>
      <c r="S205" s="361">
        <f t="shared" ca="1" si="42"/>
        <v>43</v>
      </c>
    </row>
    <row r="206" spans="1:19">
      <c r="A206" s="159" t="str">
        <f>'数据-基础表'!C195</f>
        <v>7-1908</v>
      </c>
      <c r="B206" s="58">
        <f>'数据-基础表'!I195</f>
        <v>52.17</v>
      </c>
      <c r="C206" s="23">
        <f t="shared" si="33"/>
        <v>1.01</v>
      </c>
      <c r="D206" s="2966" t="s">
        <v>3709</v>
      </c>
      <c r="E206" s="23">
        <f t="shared" si="34"/>
        <v>1.02</v>
      </c>
      <c r="F206" s="2966" t="s">
        <v>3691</v>
      </c>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ca="1" si="41"/>
        <v>8147</v>
      </c>
      <c r="S206" s="361">
        <f t="shared" ca="1" si="42"/>
        <v>43</v>
      </c>
    </row>
    <row r="207" spans="1:19">
      <c r="A207" s="159" t="str">
        <f>'数据-基础表'!C196</f>
        <v>7-1909</v>
      </c>
      <c r="B207" s="58">
        <f>'数据-基础表'!I196</f>
        <v>52.17</v>
      </c>
      <c r="C207" s="23">
        <f t="shared" si="33"/>
        <v>1.01</v>
      </c>
      <c r="D207" s="2966" t="s">
        <v>3709</v>
      </c>
      <c r="E207" s="23">
        <f t="shared" si="34"/>
        <v>1.02</v>
      </c>
      <c r="F207" s="2966" t="s">
        <v>3691</v>
      </c>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ca="1" si="41"/>
        <v>8147</v>
      </c>
      <c r="S207" s="361">
        <f t="shared" ca="1" si="42"/>
        <v>43</v>
      </c>
    </row>
    <row r="208" spans="1:19">
      <c r="A208" s="159" t="str">
        <f>'数据-基础表'!C197</f>
        <v>7-1910</v>
      </c>
      <c r="B208" s="58">
        <f>'数据-基础表'!I197</f>
        <v>52.17</v>
      </c>
      <c r="C208" s="23">
        <f t="shared" si="33"/>
        <v>1.01</v>
      </c>
      <c r="D208" s="2966" t="s">
        <v>3709</v>
      </c>
      <c r="E208" s="23">
        <f t="shared" si="34"/>
        <v>1.02</v>
      </c>
      <c r="F208" s="2966" t="s">
        <v>3691</v>
      </c>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ca="1" si="41"/>
        <v>8147</v>
      </c>
      <c r="S208" s="361">
        <f t="shared" ca="1" si="42"/>
        <v>43</v>
      </c>
    </row>
    <row r="209" spans="1:19">
      <c r="A209" s="159" t="str">
        <f>'数据-基础表'!C198</f>
        <v>7-1911</v>
      </c>
      <c r="B209" s="58">
        <f>'数据-基础表'!I198</f>
        <v>52.17</v>
      </c>
      <c r="C209" s="23">
        <f t="shared" si="33"/>
        <v>1.01</v>
      </c>
      <c r="D209" s="2966" t="s">
        <v>3709</v>
      </c>
      <c r="E209" s="23">
        <f t="shared" si="34"/>
        <v>1.02</v>
      </c>
      <c r="F209" s="2966" t="s">
        <v>3691</v>
      </c>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ca="1" si="41"/>
        <v>8147</v>
      </c>
      <c r="S209" s="361">
        <f t="shared" ca="1" si="42"/>
        <v>43</v>
      </c>
    </row>
    <row r="210" spans="1:19">
      <c r="A210" s="159" t="str">
        <f>'数据-基础表'!C199</f>
        <v>7-1912</v>
      </c>
      <c r="B210" s="58">
        <f>'数据-基础表'!I199</f>
        <v>80.73</v>
      </c>
      <c r="C210" s="23">
        <f t="shared" si="33"/>
        <v>1</v>
      </c>
      <c r="D210" s="2966" t="s">
        <v>3709</v>
      </c>
      <c r="E210" s="23">
        <f t="shared" si="34"/>
        <v>1.02</v>
      </c>
      <c r="F210" s="2966" t="s">
        <v>3691</v>
      </c>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ca="1" si="41"/>
        <v>8066</v>
      </c>
      <c r="S210" s="361">
        <f t="shared" ca="1" si="42"/>
        <v>65</v>
      </c>
    </row>
    <row r="211" spans="1:19">
      <c r="A211" s="159" t="str">
        <f>'数据-基础表'!C200</f>
        <v>7-1913</v>
      </c>
      <c r="B211" s="58">
        <f>'数据-基础表'!I200</f>
        <v>66.040000000000006</v>
      </c>
      <c r="C211" s="23">
        <f t="shared" si="33"/>
        <v>1</v>
      </c>
      <c r="D211" s="2966" t="s">
        <v>3709</v>
      </c>
      <c r="E211" s="23">
        <f t="shared" si="34"/>
        <v>1.02</v>
      </c>
      <c r="F211" s="2966" t="s">
        <v>3691</v>
      </c>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ca="1" si="41"/>
        <v>8066</v>
      </c>
      <c r="S211" s="361">
        <f t="shared" ca="1" si="42"/>
        <v>53</v>
      </c>
    </row>
    <row r="212" spans="1:19">
      <c r="A212" s="159" t="str">
        <f>'数据-基础表'!C201</f>
        <v>7-1914</v>
      </c>
      <c r="B212" s="58">
        <f>'数据-基础表'!I201</f>
        <v>66.040000000000006</v>
      </c>
      <c r="C212" s="23">
        <f t="shared" si="33"/>
        <v>1</v>
      </c>
      <c r="D212" s="2966" t="s">
        <v>3709</v>
      </c>
      <c r="E212" s="23">
        <f t="shared" si="34"/>
        <v>1.02</v>
      </c>
      <c r="F212" s="2966" t="s">
        <v>3691</v>
      </c>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ca="1" si="41"/>
        <v>8066</v>
      </c>
      <c r="S212" s="361">
        <f t="shared" ca="1" si="42"/>
        <v>53</v>
      </c>
    </row>
    <row r="213" spans="1:19">
      <c r="A213" s="159" t="str">
        <f>'数据-基础表'!C202</f>
        <v>7-1915</v>
      </c>
      <c r="B213" s="58">
        <f>'数据-基础表'!I202</f>
        <v>80.73</v>
      </c>
      <c r="C213" s="23">
        <f t="shared" si="33"/>
        <v>1</v>
      </c>
      <c r="D213" s="2966" t="s">
        <v>3709</v>
      </c>
      <c r="E213" s="23">
        <f t="shared" si="34"/>
        <v>1.02</v>
      </c>
      <c r="F213" s="2966" t="s">
        <v>3691</v>
      </c>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ca="1" si="41"/>
        <v>8066</v>
      </c>
      <c r="S213" s="361">
        <f t="shared" ca="1" si="42"/>
        <v>65</v>
      </c>
    </row>
    <row r="214" spans="1:19">
      <c r="A214" s="159" t="str">
        <f>'数据-基础表'!C203</f>
        <v>7-1916</v>
      </c>
      <c r="B214" s="58">
        <f>'数据-基础表'!I203</f>
        <v>52.17</v>
      </c>
      <c r="C214" s="23">
        <f t="shared" si="33"/>
        <v>1.01</v>
      </c>
      <c r="D214" s="2966" t="s">
        <v>3709</v>
      </c>
      <c r="E214" s="23">
        <f t="shared" si="34"/>
        <v>1.02</v>
      </c>
      <c r="F214" s="2966" t="s">
        <v>3691</v>
      </c>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ca="1" si="41"/>
        <v>8147</v>
      </c>
      <c r="S214" s="361">
        <f t="shared" ca="1" si="42"/>
        <v>43</v>
      </c>
    </row>
    <row r="215" spans="1:19">
      <c r="A215" s="159" t="str">
        <f>'数据-基础表'!C204</f>
        <v>7-1917</v>
      </c>
      <c r="B215" s="58">
        <f>'数据-基础表'!I204</f>
        <v>52.17</v>
      </c>
      <c r="C215" s="23">
        <f t="shared" si="33"/>
        <v>1.01</v>
      </c>
      <c r="D215" s="2966" t="s">
        <v>3709</v>
      </c>
      <c r="E215" s="23">
        <f t="shared" si="34"/>
        <v>1.02</v>
      </c>
      <c r="F215" s="2966" t="s">
        <v>3691</v>
      </c>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ca="1" si="41"/>
        <v>8147</v>
      </c>
      <c r="S215" s="361">
        <f t="shared" ca="1" si="42"/>
        <v>43</v>
      </c>
    </row>
    <row r="216" spans="1:19">
      <c r="A216" s="159" t="str">
        <f>'数据-基础表'!C205</f>
        <v>7-1918</v>
      </c>
      <c r="B216" s="58">
        <f>'数据-基础表'!I205</f>
        <v>52.17</v>
      </c>
      <c r="C216" s="23">
        <f t="shared" si="33"/>
        <v>1.01</v>
      </c>
      <c r="D216" s="2966" t="s">
        <v>3709</v>
      </c>
      <c r="E216" s="23">
        <f t="shared" si="34"/>
        <v>1.02</v>
      </c>
      <c r="F216" s="2966" t="s">
        <v>3691</v>
      </c>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ca="1" si="41"/>
        <v>8147</v>
      </c>
      <c r="S216" s="361">
        <f t="shared" ca="1" si="42"/>
        <v>43</v>
      </c>
    </row>
    <row r="217" spans="1:19">
      <c r="A217" s="159" t="str">
        <f>'数据-基础表'!C206</f>
        <v>7-1919</v>
      </c>
      <c r="B217" s="58">
        <f>'数据-基础表'!I206</f>
        <v>52.17</v>
      </c>
      <c r="C217" s="23">
        <f t="shared" si="33"/>
        <v>1.01</v>
      </c>
      <c r="D217" s="2966" t="s">
        <v>3709</v>
      </c>
      <c r="E217" s="23">
        <f t="shared" si="34"/>
        <v>1.02</v>
      </c>
      <c r="F217" s="2966" t="s">
        <v>3691</v>
      </c>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ca="1" si="41"/>
        <v>8147</v>
      </c>
      <c r="S217" s="361">
        <f t="shared" ca="1" si="42"/>
        <v>43</v>
      </c>
    </row>
    <row r="218" spans="1:19">
      <c r="A218" s="159" t="str">
        <f>'数据-基础表'!C207</f>
        <v>7-1920</v>
      </c>
      <c r="B218" s="58">
        <f>'数据-基础表'!I207</f>
        <v>52.17</v>
      </c>
      <c r="C218" s="23">
        <f t="shared" ref="C218:C281" si="43">IF(B218="",1,(LOOKUP(B218,$3:$3,$4:$4)-LOOKUP($B$24,$3:$3,$4:$4)+100)/100)</f>
        <v>1.01</v>
      </c>
      <c r="D218" s="2966" t="s">
        <v>3709</v>
      </c>
      <c r="E218" s="23">
        <f t="shared" ref="E218:E281" si="44">(SUMIF($5:$5,D218,$6:$6)-SUMIF($5:$5,$D$24,$6:$6)+100)/100</f>
        <v>1.02</v>
      </c>
      <c r="F218" s="2966" t="s">
        <v>3691</v>
      </c>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ca="1" si="51">IF(B218="",0,ROUND($R$24*C218*E218*G218*I218*K218*M218*O218*Q218,0))</f>
        <v>8147</v>
      </c>
      <c r="S218" s="361">
        <f t="shared" ca="1" si="42"/>
        <v>43</v>
      </c>
    </row>
    <row r="219" spans="1:19">
      <c r="A219" s="159" t="str">
        <f>'数据-基础表'!C208</f>
        <v>7-1921</v>
      </c>
      <c r="B219" s="58">
        <f>'数据-基础表'!I208</f>
        <v>52.17</v>
      </c>
      <c r="C219" s="23">
        <f t="shared" si="43"/>
        <v>1.01</v>
      </c>
      <c r="D219" s="2966" t="s">
        <v>3709</v>
      </c>
      <c r="E219" s="23">
        <f t="shared" si="44"/>
        <v>1.02</v>
      </c>
      <c r="F219" s="2966" t="s">
        <v>3691</v>
      </c>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ca="1" si="51"/>
        <v>8147</v>
      </c>
      <c r="S219" s="361">
        <f t="shared" ca="1" si="42"/>
        <v>43</v>
      </c>
    </row>
    <row r="220" spans="1:19">
      <c r="A220" s="159" t="str">
        <f>'数据-基础表'!C209</f>
        <v>7-1922</v>
      </c>
      <c r="B220" s="58">
        <f>'数据-基础表'!I209</f>
        <v>52.17</v>
      </c>
      <c r="C220" s="23">
        <f t="shared" si="43"/>
        <v>1.01</v>
      </c>
      <c r="D220" s="2966" t="s">
        <v>3709</v>
      </c>
      <c r="E220" s="23">
        <f t="shared" si="44"/>
        <v>1.02</v>
      </c>
      <c r="F220" s="2966" t="s">
        <v>3691</v>
      </c>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ca="1" si="51"/>
        <v>8147</v>
      </c>
      <c r="S220" s="361">
        <f t="shared" ca="1" si="42"/>
        <v>43</v>
      </c>
    </row>
    <row r="221" spans="1:19">
      <c r="A221" s="159" t="str">
        <f>'数据-基础表'!C210</f>
        <v>7-1923</v>
      </c>
      <c r="B221" s="58">
        <f>'数据-基础表'!I210</f>
        <v>52.17</v>
      </c>
      <c r="C221" s="23">
        <f t="shared" si="43"/>
        <v>1.01</v>
      </c>
      <c r="D221" s="2966" t="s">
        <v>3709</v>
      </c>
      <c r="E221" s="23">
        <f t="shared" si="44"/>
        <v>1.02</v>
      </c>
      <c r="F221" s="2966" t="s">
        <v>3691</v>
      </c>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ca="1" si="51"/>
        <v>8147</v>
      </c>
      <c r="S221" s="361">
        <f t="shared" ca="1" si="42"/>
        <v>43</v>
      </c>
    </row>
    <row r="222" spans="1:19">
      <c r="A222" s="159" t="str">
        <f>'数据-基础表'!C211</f>
        <v>7-1924</v>
      </c>
      <c r="B222" s="58">
        <f>'数据-基础表'!I211</f>
        <v>52.17</v>
      </c>
      <c r="C222" s="23">
        <f t="shared" si="43"/>
        <v>1.01</v>
      </c>
      <c r="D222" s="2966" t="s">
        <v>3709</v>
      </c>
      <c r="E222" s="23">
        <f t="shared" si="44"/>
        <v>1.02</v>
      </c>
      <c r="F222" s="2966" t="s">
        <v>3691</v>
      </c>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ca="1" si="51"/>
        <v>8147</v>
      </c>
      <c r="S222" s="361">
        <f t="shared" ca="1" si="42"/>
        <v>43</v>
      </c>
    </row>
    <row r="223" spans="1:19">
      <c r="A223" s="159" t="str">
        <f>'数据-基础表'!C212</f>
        <v>7-1925</v>
      </c>
      <c r="B223" s="58">
        <f>'数据-基础表'!I212</f>
        <v>52.17</v>
      </c>
      <c r="C223" s="23">
        <f t="shared" si="43"/>
        <v>1.01</v>
      </c>
      <c r="D223" s="2966" t="s">
        <v>3709</v>
      </c>
      <c r="E223" s="23">
        <f t="shared" si="44"/>
        <v>1.02</v>
      </c>
      <c r="F223" s="2966" t="s">
        <v>3691</v>
      </c>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ca="1" si="51"/>
        <v>8147</v>
      </c>
      <c r="S223" s="361">
        <f t="shared" ref="S223:S286" ca="1" si="52">ROUND(R223*B223/10000,0)</f>
        <v>43</v>
      </c>
    </row>
    <row r="224" spans="1:19">
      <c r="A224" s="159" t="str">
        <f>'数据-基础表'!C213</f>
        <v>7-1926</v>
      </c>
      <c r="B224" s="58">
        <f>'数据-基础表'!I213</f>
        <v>80.73</v>
      </c>
      <c r="C224" s="23">
        <f t="shared" si="43"/>
        <v>1</v>
      </c>
      <c r="D224" s="2966" t="s">
        <v>3709</v>
      </c>
      <c r="E224" s="23">
        <f t="shared" si="44"/>
        <v>1.02</v>
      </c>
      <c r="F224" s="2966" t="s">
        <v>3691</v>
      </c>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ca="1" si="51"/>
        <v>8066</v>
      </c>
      <c r="S224" s="361">
        <f t="shared" ca="1" si="52"/>
        <v>65</v>
      </c>
    </row>
    <row r="225" spans="1:19">
      <c r="A225" s="159" t="str">
        <f>'数据-基础表'!C214</f>
        <v>7-1927</v>
      </c>
      <c r="B225" s="58">
        <f>'数据-基础表'!I214</f>
        <v>93.08</v>
      </c>
      <c r="C225" s="23">
        <f t="shared" si="43"/>
        <v>1</v>
      </c>
      <c r="D225" s="2966" t="s">
        <v>3709</v>
      </c>
      <c r="E225" s="23">
        <f t="shared" si="44"/>
        <v>1.02</v>
      </c>
      <c r="F225" s="2966" t="s">
        <v>3691</v>
      </c>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ca="1" si="51"/>
        <v>8066</v>
      </c>
      <c r="S225" s="361">
        <f t="shared" ca="1" si="52"/>
        <v>75</v>
      </c>
    </row>
    <row r="226" spans="1:19">
      <c r="A226" s="159" t="str">
        <f>'数据-基础表'!C215</f>
        <v>7-1928</v>
      </c>
      <c r="B226" s="58">
        <f>'数据-基础表'!I215</f>
        <v>93.08</v>
      </c>
      <c r="C226" s="23">
        <f t="shared" si="43"/>
        <v>1</v>
      </c>
      <c r="D226" s="2966" t="s">
        <v>3709</v>
      </c>
      <c r="E226" s="23">
        <f t="shared" si="44"/>
        <v>1.02</v>
      </c>
      <c r="F226" s="2966" t="s">
        <v>3691</v>
      </c>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ca="1" si="51"/>
        <v>8066</v>
      </c>
      <c r="S226" s="361">
        <f t="shared" ca="1" si="52"/>
        <v>75</v>
      </c>
    </row>
    <row r="227" spans="1:19">
      <c r="A227" s="159" t="str">
        <f>'数据-基础表'!C216</f>
        <v>7-2001</v>
      </c>
      <c r="B227" s="58">
        <f>'数据-基础表'!I216</f>
        <v>80.73</v>
      </c>
      <c r="C227" s="23">
        <f t="shared" si="43"/>
        <v>1</v>
      </c>
      <c r="D227" s="2966" t="s">
        <v>3709</v>
      </c>
      <c r="E227" s="23">
        <f t="shared" si="44"/>
        <v>1.02</v>
      </c>
      <c r="F227" s="2966" t="s">
        <v>3691</v>
      </c>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ca="1" si="51"/>
        <v>8066</v>
      </c>
      <c r="S227" s="361">
        <f t="shared" ca="1" si="52"/>
        <v>65</v>
      </c>
    </row>
    <row r="228" spans="1:19">
      <c r="A228" s="159" t="str">
        <f>'数据-基础表'!C217</f>
        <v>7-2002</v>
      </c>
      <c r="B228" s="58">
        <f>'数据-基础表'!I217</f>
        <v>52.17</v>
      </c>
      <c r="C228" s="23">
        <f t="shared" si="43"/>
        <v>1.01</v>
      </c>
      <c r="D228" s="2966" t="s">
        <v>3709</v>
      </c>
      <c r="E228" s="23">
        <f t="shared" si="44"/>
        <v>1.02</v>
      </c>
      <c r="F228" s="2966" t="s">
        <v>3691</v>
      </c>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ca="1" si="51"/>
        <v>8147</v>
      </c>
      <c r="S228" s="361">
        <f t="shared" ca="1" si="52"/>
        <v>43</v>
      </c>
    </row>
    <row r="229" spans="1:19">
      <c r="A229" s="159" t="str">
        <f>'数据-基础表'!C218</f>
        <v>7-2003</v>
      </c>
      <c r="B229" s="58">
        <f>'数据-基础表'!I218</f>
        <v>52.17</v>
      </c>
      <c r="C229" s="23">
        <f t="shared" si="43"/>
        <v>1.01</v>
      </c>
      <c r="D229" s="2966" t="s">
        <v>3709</v>
      </c>
      <c r="E229" s="23">
        <f t="shared" si="44"/>
        <v>1.02</v>
      </c>
      <c r="F229" s="2966" t="s">
        <v>3691</v>
      </c>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ca="1" si="51"/>
        <v>8147</v>
      </c>
      <c r="S229" s="361">
        <f t="shared" ca="1" si="52"/>
        <v>43</v>
      </c>
    </row>
    <row r="230" spans="1:19">
      <c r="A230" s="159" t="str">
        <f>'数据-基础表'!C219</f>
        <v>7-2004</v>
      </c>
      <c r="B230" s="58">
        <f>'数据-基础表'!I219</f>
        <v>52.17</v>
      </c>
      <c r="C230" s="23">
        <f t="shared" si="43"/>
        <v>1.01</v>
      </c>
      <c r="D230" s="2966" t="s">
        <v>3709</v>
      </c>
      <c r="E230" s="23">
        <f t="shared" si="44"/>
        <v>1.02</v>
      </c>
      <c r="F230" s="2966" t="s">
        <v>3691</v>
      </c>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ca="1" si="51"/>
        <v>8147</v>
      </c>
      <c r="S230" s="361">
        <f t="shared" ca="1" si="52"/>
        <v>43</v>
      </c>
    </row>
    <row r="231" spans="1:19">
      <c r="A231" s="159" t="str">
        <f>'数据-基础表'!C220</f>
        <v>7-2005</v>
      </c>
      <c r="B231" s="58">
        <f>'数据-基础表'!I220</f>
        <v>52.17</v>
      </c>
      <c r="C231" s="23">
        <f t="shared" si="43"/>
        <v>1.01</v>
      </c>
      <c r="D231" s="2966" t="s">
        <v>3709</v>
      </c>
      <c r="E231" s="23">
        <f t="shared" si="44"/>
        <v>1.02</v>
      </c>
      <c r="F231" s="2966" t="s">
        <v>3691</v>
      </c>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ca="1" si="51"/>
        <v>8147</v>
      </c>
      <c r="S231" s="361">
        <f t="shared" ca="1" si="52"/>
        <v>43</v>
      </c>
    </row>
    <row r="232" spans="1:19">
      <c r="A232" s="159" t="str">
        <f>'数据-基础表'!C221</f>
        <v>7-2006</v>
      </c>
      <c r="B232" s="58">
        <f>'数据-基础表'!I221</f>
        <v>52.17</v>
      </c>
      <c r="C232" s="23">
        <f t="shared" si="43"/>
        <v>1.01</v>
      </c>
      <c r="D232" s="2966" t="s">
        <v>3709</v>
      </c>
      <c r="E232" s="23">
        <f t="shared" si="44"/>
        <v>1.02</v>
      </c>
      <c r="F232" s="2966" t="s">
        <v>3691</v>
      </c>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ca="1" si="51"/>
        <v>8147</v>
      </c>
      <c r="S232" s="361">
        <f t="shared" ca="1" si="52"/>
        <v>43</v>
      </c>
    </row>
    <row r="233" spans="1:19">
      <c r="A233" s="159" t="str">
        <f>'数据-基础表'!C222</f>
        <v>7-2007</v>
      </c>
      <c r="B233" s="58">
        <f>'数据-基础表'!I222</f>
        <v>52.17</v>
      </c>
      <c r="C233" s="23">
        <f t="shared" si="43"/>
        <v>1.01</v>
      </c>
      <c r="D233" s="2966" t="s">
        <v>3709</v>
      </c>
      <c r="E233" s="23">
        <f t="shared" si="44"/>
        <v>1.02</v>
      </c>
      <c r="F233" s="2966" t="s">
        <v>3691</v>
      </c>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ca="1" si="51"/>
        <v>8147</v>
      </c>
      <c r="S233" s="361">
        <f t="shared" ca="1" si="52"/>
        <v>43</v>
      </c>
    </row>
    <row r="234" spans="1:19">
      <c r="A234" s="159" t="str">
        <f>'数据-基础表'!C223</f>
        <v>7-2008</v>
      </c>
      <c r="B234" s="58">
        <f>'数据-基础表'!I223</f>
        <v>52.17</v>
      </c>
      <c r="C234" s="23">
        <f t="shared" si="43"/>
        <v>1.01</v>
      </c>
      <c r="D234" s="2966" t="s">
        <v>3709</v>
      </c>
      <c r="E234" s="23">
        <f t="shared" si="44"/>
        <v>1.02</v>
      </c>
      <c r="F234" s="2966" t="s">
        <v>3691</v>
      </c>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ca="1" si="51"/>
        <v>8147</v>
      </c>
      <c r="S234" s="361">
        <f t="shared" ca="1" si="52"/>
        <v>43</v>
      </c>
    </row>
    <row r="235" spans="1:19">
      <c r="A235" s="159" t="str">
        <f>'数据-基础表'!C224</f>
        <v>7-2009</v>
      </c>
      <c r="B235" s="58">
        <f>'数据-基础表'!I224</f>
        <v>52.17</v>
      </c>
      <c r="C235" s="23">
        <f t="shared" si="43"/>
        <v>1.01</v>
      </c>
      <c r="D235" s="2966" t="s">
        <v>3709</v>
      </c>
      <c r="E235" s="23">
        <f t="shared" si="44"/>
        <v>1.02</v>
      </c>
      <c r="F235" s="2966" t="s">
        <v>3691</v>
      </c>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ca="1" si="51"/>
        <v>8147</v>
      </c>
      <c r="S235" s="361">
        <f t="shared" ca="1" si="52"/>
        <v>43</v>
      </c>
    </row>
    <row r="236" spans="1:19">
      <c r="A236" s="159" t="str">
        <f>'数据-基础表'!C225</f>
        <v>7-2010</v>
      </c>
      <c r="B236" s="58">
        <f>'数据-基础表'!I225</f>
        <v>52.17</v>
      </c>
      <c r="C236" s="23">
        <f t="shared" si="43"/>
        <v>1.01</v>
      </c>
      <c r="D236" s="2966" t="s">
        <v>3709</v>
      </c>
      <c r="E236" s="23">
        <f t="shared" si="44"/>
        <v>1.02</v>
      </c>
      <c r="F236" s="2966" t="s">
        <v>3691</v>
      </c>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ca="1" si="51"/>
        <v>8147</v>
      </c>
      <c r="S236" s="361">
        <f t="shared" ca="1" si="52"/>
        <v>43</v>
      </c>
    </row>
    <row r="237" spans="1:19">
      <c r="A237" s="159" t="str">
        <f>'数据-基础表'!C226</f>
        <v>7-2011</v>
      </c>
      <c r="B237" s="58">
        <f>'数据-基础表'!I226</f>
        <v>52.17</v>
      </c>
      <c r="C237" s="23">
        <f t="shared" si="43"/>
        <v>1.01</v>
      </c>
      <c r="D237" s="2966" t="s">
        <v>3709</v>
      </c>
      <c r="E237" s="23">
        <f t="shared" si="44"/>
        <v>1.02</v>
      </c>
      <c r="F237" s="2966" t="s">
        <v>3691</v>
      </c>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ca="1" si="51"/>
        <v>8147</v>
      </c>
      <c r="S237" s="361">
        <f t="shared" ca="1" si="52"/>
        <v>43</v>
      </c>
    </row>
    <row r="238" spans="1:19">
      <c r="A238" s="159" t="str">
        <f>'数据-基础表'!C227</f>
        <v>7-2012</v>
      </c>
      <c r="B238" s="58">
        <f>'数据-基础表'!I227</f>
        <v>80.73</v>
      </c>
      <c r="C238" s="23">
        <f t="shared" si="43"/>
        <v>1</v>
      </c>
      <c r="D238" s="2966" t="s">
        <v>3709</v>
      </c>
      <c r="E238" s="23">
        <f t="shared" si="44"/>
        <v>1.02</v>
      </c>
      <c r="F238" s="2966" t="s">
        <v>3691</v>
      </c>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ca="1" si="51"/>
        <v>8066</v>
      </c>
      <c r="S238" s="361">
        <f t="shared" ca="1" si="52"/>
        <v>65</v>
      </c>
    </row>
    <row r="239" spans="1:19">
      <c r="A239" s="159" t="str">
        <f>'数据-基础表'!C228</f>
        <v>7-2013</v>
      </c>
      <c r="B239" s="58">
        <f>'数据-基础表'!I228</f>
        <v>66.040000000000006</v>
      </c>
      <c r="C239" s="23">
        <f t="shared" si="43"/>
        <v>1</v>
      </c>
      <c r="D239" s="2966" t="s">
        <v>3709</v>
      </c>
      <c r="E239" s="23">
        <f t="shared" si="44"/>
        <v>1.02</v>
      </c>
      <c r="F239" s="2966" t="s">
        <v>3691</v>
      </c>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ca="1" si="51"/>
        <v>8066</v>
      </c>
      <c r="S239" s="361">
        <f t="shared" ca="1" si="52"/>
        <v>53</v>
      </c>
    </row>
    <row r="240" spans="1:19">
      <c r="A240" s="159" t="str">
        <f>'数据-基础表'!C229</f>
        <v>7-2014</v>
      </c>
      <c r="B240" s="58">
        <f>'数据-基础表'!I229</f>
        <v>66.040000000000006</v>
      </c>
      <c r="C240" s="23">
        <f t="shared" si="43"/>
        <v>1</v>
      </c>
      <c r="D240" s="2966" t="s">
        <v>3709</v>
      </c>
      <c r="E240" s="23">
        <f t="shared" si="44"/>
        <v>1.02</v>
      </c>
      <c r="F240" s="2966" t="s">
        <v>3691</v>
      </c>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ca="1" si="51"/>
        <v>8066</v>
      </c>
      <c r="S240" s="361">
        <f t="shared" ca="1" si="52"/>
        <v>53</v>
      </c>
    </row>
    <row r="241" spans="1:19">
      <c r="A241" s="159" t="str">
        <f>'数据-基础表'!C230</f>
        <v>7-2015</v>
      </c>
      <c r="B241" s="58">
        <f>'数据-基础表'!I230</f>
        <v>80.73</v>
      </c>
      <c r="C241" s="23">
        <f t="shared" si="43"/>
        <v>1</v>
      </c>
      <c r="D241" s="2966" t="s">
        <v>3709</v>
      </c>
      <c r="E241" s="23">
        <f t="shared" si="44"/>
        <v>1.02</v>
      </c>
      <c r="F241" s="2966" t="s">
        <v>3691</v>
      </c>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ca="1" si="51"/>
        <v>8066</v>
      </c>
      <c r="S241" s="361">
        <f t="shared" ca="1" si="52"/>
        <v>65</v>
      </c>
    </row>
    <row r="242" spans="1:19">
      <c r="A242" s="159" t="str">
        <f>'数据-基础表'!C231</f>
        <v>7-2016</v>
      </c>
      <c r="B242" s="58">
        <f>'数据-基础表'!I231</f>
        <v>52.17</v>
      </c>
      <c r="C242" s="23">
        <f t="shared" si="43"/>
        <v>1.01</v>
      </c>
      <c r="D242" s="2966" t="s">
        <v>3709</v>
      </c>
      <c r="E242" s="23">
        <f t="shared" si="44"/>
        <v>1.02</v>
      </c>
      <c r="F242" s="2966" t="s">
        <v>3691</v>
      </c>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ca="1" si="51"/>
        <v>8147</v>
      </c>
      <c r="S242" s="361">
        <f t="shared" ca="1" si="52"/>
        <v>43</v>
      </c>
    </row>
    <row r="243" spans="1:19">
      <c r="A243" s="159" t="str">
        <f>'数据-基础表'!C232</f>
        <v>7-2017</v>
      </c>
      <c r="B243" s="58">
        <f>'数据-基础表'!I232</f>
        <v>52.17</v>
      </c>
      <c r="C243" s="23">
        <f t="shared" si="43"/>
        <v>1.01</v>
      </c>
      <c r="D243" s="2966" t="s">
        <v>3709</v>
      </c>
      <c r="E243" s="23">
        <f t="shared" si="44"/>
        <v>1.02</v>
      </c>
      <c r="F243" s="2966" t="s">
        <v>3691</v>
      </c>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ca="1" si="51"/>
        <v>8147</v>
      </c>
      <c r="S243" s="361">
        <f t="shared" ca="1" si="52"/>
        <v>43</v>
      </c>
    </row>
    <row r="244" spans="1:19">
      <c r="A244" s="159" t="str">
        <f>'数据-基础表'!C233</f>
        <v>7-2018</v>
      </c>
      <c r="B244" s="58">
        <f>'数据-基础表'!I233</f>
        <v>52.17</v>
      </c>
      <c r="C244" s="23">
        <f t="shared" si="43"/>
        <v>1.01</v>
      </c>
      <c r="D244" s="2966" t="s">
        <v>3709</v>
      </c>
      <c r="E244" s="23">
        <f t="shared" si="44"/>
        <v>1.02</v>
      </c>
      <c r="F244" s="2966" t="s">
        <v>3691</v>
      </c>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ca="1" si="51"/>
        <v>8147</v>
      </c>
      <c r="S244" s="361">
        <f t="shared" ca="1" si="52"/>
        <v>43</v>
      </c>
    </row>
    <row r="245" spans="1:19">
      <c r="A245" s="159" t="str">
        <f>'数据-基础表'!C234</f>
        <v>7-2019</v>
      </c>
      <c r="B245" s="58">
        <f>'数据-基础表'!I234</f>
        <v>52.17</v>
      </c>
      <c r="C245" s="23">
        <f t="shared" si="43"/>
        <v>1.01</v>
      </c>
      <c r="D245" s="2966" t="s">
        <v>3709</v>
      </c>
      <c r="E245" s="23">
        <f t="shared" si="44"/>
        <v>1.02</v>
      </c>
      <c r="F245" s="2966" t="s">
        <v>3691</v>
      </c>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ca="1" si="51"/>
        <v>8147</v>
      </c>
      <c r="S245" s="361">
        <f t="shared" ca="1" si="52"/>
        <v>43</v>
      </c>
    </row>
    <row r="246" spans="1:19">
      <c r="A246" s="159" t="str">
        <f>'数据-基础表'!C235</f>
        <v>7-2020</v>
      </c>
      <c r="B246" s="58">
        <f>'数据-基础表'!I235</f>
        <v>52.17</v>
      </c>
      <c r="C246" s="23">
        <f t="shared" si="43"/>
        <v>1.01</v>
      </c>
      <c r="D246" s="2966" t="s">
        <v>3709</v>
      </c>
      <c r="E246" s="23">
        <f t="shared" si="44"/>
        <v>1.02</v>
      </c>
      <c r="F246" s="2966" t="s">
        <v>3691</v>
      </c>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ca="1" si="51"/>
        <v>8147</v>
      </c>
      <c r="S246" s="361">
        <f t="shared" ca="1" si="52"/>
        <v>43</v>
      </c>
    </row>
    <row r="247" spans="1:19">
      <c r="A247" s="159" t="str">
        <f>'数据-基础表'!C236</f>
        <v>7-2021</v>
      </c>
      <c r="B247" s="58">
        <f>'数据-基础表'!I236</f>
        <v>52.17</v>
      </c>
      <c r="C247" s="23">
        <f t="shared" si="43"/>
        <v>1.01</v>
      </c>
      <c r="D247" s="2966" t="s">
        <v>3709</v>
      </c>
      <c r="E247" s="23">
        <f t="shared" si="44"/>
        <v>1.02</v>
      </c>
      <c r="F247" s="2966" t="s">
        <v>3691</v>
      </c>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ca="1" si="51"/>
        <v>8147</v>
      </c>
      <c r="S247" s="361">
        <f t="shared" ca="1" si="52"/>
        <v>43</v>
      </c>
    </row>
    <row r="248" spans="1:19">
      <c r="A248" s="159" t="str">
        <f>'数据-基础表'!C237</f>
        <v>7-2022</v>
      </c>
      <c r="B248" s="58">
        <f>'数据-基础表'!I237</f>
        <v>52.17</v>
      </c>
      <c r="C248" s="23">
        <f t="shared" si="43"/>
        <v>1.01</v>
      </c>
      <c r="D248" s="2966" t="s">
        <v>3709</v>
      </c>
      <c r="E248" s="23">
        <f t="shared" si="44"/>
        <v>1.02</v>
      </c>
      <c r="F248" s="2966" t="s">
        <v>3691</v>
      </c>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ca="1" si="51"/>
        <v>8147</v>
      </c>
      <c r="S248" s="361">
        <f t="shared" ca="1" si="52"/>
        <v>43</v>
      </c>
    </row>
    <row r="249" spans="1:19">
      <c r="A249" s="159" t="str">
        <f>'数据-基础表'!C238</f>
        <v>7-2023</v>
      </c>
      <c r="B249" s="58">
        <f>'数据-基础表'!I238</f>
        <v>52.17</v>
      </c>
      <c r="C249" s="23">
        <f t="shared" si="43"/>
        <v>1.01</v>
      </c>
      <c r="D249" s="2966" t="s">
        <v>3709</v>
      </c>
      <c r="E249" s="23">
        <f t="shared" si="44"/>
        <v>1.02</v>
      </c>
      <c r="F249" s="2966" t="s">
        <v>3691</v>
      </c>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ca="1" si="51"/>
        <v>8147</v>
      </c>
      <c r="S249" s="361">
        <f t="shared" ca="1" si="52"/>
        <v>43</v>
      </c>
    </row>
    <row r="250" spans="1:19">
      <c r="A250" s="159" t="str">
        <f>'数据-基础表'!C239</f>
        <v>7-2024</v>
      </c>
      <c r="B250" s="58">
        <f>'数据-基础表'!I239</f>
        <v>52.17</v>
      </c>
      <c r="C250" s="23">
        <f t="shared" si="43"/>
        <v>1.01</v>
      </c>
      <c r="D250" s="2966" t="s">
        <v>3709</v>
      </c>
      <c r="E250" s="23">
        <f t="shared" si="44"/>
        <v>1.02</v>
      </c>
      <c r="F250" s="2966" t="s">
        <v>3691</v>
      </c>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ca="1" si="51"/>
        <v>8147</v>
      </c>
      <c r="S250" s="361">
        <f t="shared" ca="1" si="52"/>
        <v>43</v>
      </c>
    </row>
    <row r="251" spans="1:19">
      <c r="A251" s="159" t="str">
        <f>'数据-基础表'!C240</f>
        <v>7-2025</v>
      </c>
      <c r="B251" s="58">
        <f>'数据-基础表'!I240</f>
        <v>52.17</v>
      </c>
      <c r="C251" s="23">
        <f t="shared" si="43"/>
        <v>1.01</v>
      </c>
      <c r="D251" s="2966" t="s">
        <v>3709</v>
      </c>
      <c r="E251" s="23">
        <f t="shared" si="44"/>
        <v>1.02</v>
      </c>
      <c r="F251" s="2966" t="s">
        <v>3691</v>
      </c>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ca="1" si="51"/>
        <v>8147</v>
      </c>
      <c r="S251" s="361">
        <f t="shared" ca="1" si="52"/>
        <v>43</v>
      </c>
    </row>
    <row r="252" spans="1:19">
      <c r="A252" s="159" t="str">
        <f>'数据-基础表'!C241</f>
        <v>7-2026</v>
      </c>
      <c r="B252" s="58">
        <f>'数据-基础表'!I241</f>
        <v>80.73</v>
      </c>
      <c r="C252" s="23">
        <f t="shared" si="43"/>
        <v>1</v>
      </c>
      <c r="D252" s="2966" t="s">
        <v>3709</v>
      </c>
      <c r="E252" s="23">
        <f t="shared" si="44"/>
        <v>1.02</v>
      </c>
      <c r="F252" s="2966" t="s">
        <v>3691</v>
      </c>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ca="1" si="51"/>
        <v>8066</v>
      </c>
      <c r="S252" s="361">
        <f t="shared" ca="1" si="52"/>
        <v>65</v>
      </c>
    </row>
    <row r="253" spans="1:19">
      <c r="A253" s="159" t="str">
        <f>'数据-基础表'!C242</f>
        <v>7-2027</v>
      </c>
      <c r="B253" s="58">
        <f>'数据-基础表'!I242</f>
        <v>93.08</v>
      </c>
      <c r="C253" s="23">
        <f t="shared" si="43"/>
        <v>1</v>
      </c>
      <c r="D253" s="2966" t="s">
        <v>3709</v>
      </c>
      <c r="E253" s="23">
        <f t="shared" si="44"/>
        <v>1.02</v>
      </c>
      <c r="F253" s="2966" t="s">
        <v>3691</v>
      </c>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ca="1" si="51"/>
        <v>8066</v>
      </c>
      <c r="S253" s="361">
        <f t="shared" ca="1" si="52"/>
        <v>75</v>
      </c>
    </row>
    <row r="254" spans="1:19">
      <c r="A254" s="159" t="str">
        <f>'数据-基础表'!C243</f>
        <v>7-2028</v>
      </c>
      <c r="B254" s="58">
        <f>'数据-基础表'!I243</f>
        <v>93.08</v>
      </c>
      <c r="C254" s="23">
        <f t="shared" si="43"/>
        <v>1</v>
      </c>
      <c r="D254" s="2966" t="s">
        <v>3709</v>
      </c>
      <c r="E254" s="23">
        <f t="shared" si="44"/>
        <v>1.02</v>
      </c>
      <c r="F254" s="2966" t="s">
        <v>3691</v>
      </c>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ca="1" si="51"/>
        <v>8066</v>
      </c>
      <c r="S254" s="361">
        <f t="shared" ca="1" si="52"/>
        <v>75</v>
      </c>
    </row>
    <row r="255" spans="1:19">
      <c r="A255" s="159" t="str">
        <f>'数据-基础表'!C244</f>
        <v>7-2101</v>
      </c>
      <c r="B255" s="58">
        <f>'数据-基础表'!I244</f>
        <v>80.73</v>
      </c>
      <c r="C255" s="23">
        <f t="shared" si="43"/>
        <v>1</v>
      </c>
      <c r="D255" s="2966" t="s">
        <v>3709</v>
      </c>
      <c r="E255" s="23">
        <f t="shared" si="44"/>
        <v>1.02</v>
      </c>
      <c r="F255" s="2966" t="s">
        <v>3691</v>
      </c>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ca="1" si="51"/>
        <v>8066</v>
      </c>
      <c r="S255" s="361">
        <f t="shared" ca="1" si="52"/>
        <v>65</v>
      </c>
    </row>
    <row r="256" spans="1:19">
      <c r="A256" s="159" t="str">
        <f>'数据-基础表'!C245</f>
        <v>7-2102</v>
      </c>
      <c r="B256" s="58">
        <f>'数据-基础表'!I245</f>
        <v>52.17</v>
      </c>
      <c r="C256" s="23">
        <f t="shared" si="43"/>
        <v>1.01</v>
      </c>
      <c r="D256" s="2966" t="s">
        <v>3709</v>
      </c>
      <c r="E256" s="23">
        <f t="shared" si="44"/>
        <v>1.02</v>
      </c>
      <c r="F256" s="2966" t="s">
        <v>3691</v>
      </c>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ca="1" si="51"/>
        <v>8147</v>
      </c>
      <c r="S256" s="361">
        <f t="shared" ca="1" si="52"/>
        <v>43</v>
      </c>
    </row>
    <row r="257" spans="1:19">
      <c r="A257" s="159" t="str">
        <f>'数据-基础表'!C246</f>
        <v>7-2103</v>
      </c>
      <c r="B257" s="58">
        <f>'数据-基础表'!I246</f>
        <v>52.17</v>
      </c>
      <c r="C257" s="23">
        <f t="shared" si="43"/>
        <v>1.01</v>
      </c>
      <c r="D257" s="2966" t="s">
        <v>3709</v>
      </c>
      <c r="E257" s="23">
        <f t="shared" si="44"/>
        <v>1.02</v>
      </c>
      <c r="F257" s="2966" t="s">
        <v>3691</v>
      </c>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ca="1" si="51"/>
        <v>8147</v>
      </c>
      <c r="S257" s="361">
        <f t="shared" ca="1" si="52"/>
        <v>43</v>
      </c>
    </row>
    <row r="258" spans="1:19">
      <c r="A258" s="159" t="str">
        <f>'数据-基础表'!C247</f>
        <v>7-2104</v>
      </c>
      <c r="B258" s="58">
        <f>'数据-基础表'!I247</f>
        <v>52.17</v>
      </c>
      <c r="C258" s="23">
        <f t="shared" si="43"/>
        <v>1.01</v>
      </c>
      <c r="D258" s="2966" t="s">
        <v>3709</v>
      </c>
      <c r="E258" s="23">
        <f t="shared" si="44"/>
        <v>1.02</v>
      </c>
      <c r="F258" s="2966" t="s">
        <v>3691</v>
      </c>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ca="1" si="51"/>
        <v>8147</v>
      </c>
      <c r="S258" s="361">
        <f t="shared" ca="1" si="52"/>
        <v>43</v>
      </c>
    </row>
    <row r="259" spans="1:19">
      <c r="A259" s="159" t="str">
        <f>'数据-基础表'!C248</f>
        <v>7-2105</v>
      </c>
      <c r="B259" s="58">
        <f>'数据-基础表'!I248</f>
        <v>52.17</v>
      </c>
      <c r="C259" s="23">
        <f t="shared" si="43"/>
        <v>1.01</v>
      </c>
      <c r="D259" s="2966" t="s">
        <v>3709</v>
      </c>
      <c r="E259" s="23">
        <f t="shared" si="44"/>
        <v>1.02</v>
      </c>
      <c r="F259" s="2966" t="s">
        <v>3691</v>
      </c>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ca="1" si="51"/>
        <v>8147</v>
      </c>
      <c r="S259" s="361">
        <f t="shared" ca="1" si="52"/>
        <v>43</v>
      </c>
    </row>
    <row r="260" spans="1:19">
      <c r="A260" s="159" t="str">
        <f>'数据-基础表'!C249</f>
        <v>7-2106</v>
      </c>
      <c r="B260" s="58">
        <f>'数据-基础表'!I249</f>
        <v>52.17</v>
      </c>
      <c r="C260" s="23">
        <f t="shared" si="43"/>
        <v>1.01</v>
      </c>
      <c r="D260" s="2966" t="s">
        <v>3709</v>
      </c>
      <c r="E260" s="23">
        <f t="shared" si="44"/>
        <v>1.02</v>
      </c>
      <c r="F260" s="2966" t="s">
        <v>3691</v>
      </c>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ca="1" si="51"/>
        <v>8147</v>
      </c>
      <c r="S260" s="361">
        <f t="shared" ca="1" si="52"/>
        <v>43</v>
      </c>
    </row>
    <row r="261" spans="1:19">
      <c r="A261" s="159" t="str">
        <f>'数据-基础表'!C250</f>
        <v>7-2107</v>
      </c>
      <c r="B261" s="58">
        <f>'数据-基础表'!I250</f>
        <v>52.17</v>
      </c>
      <c r="C261" s="23">
        <f t="shared" si="43"/>
        <v>1.01</v>
      </c>
      <c r="D261" s="2966" t="s">
        <v>3709</v>
      </c>
      <c r="E261" s="23">
        <f t="shared" si="44"/>
        <v>1.02</v>
      </c>
      <c r="F261" s="2966" t="s">
        <v>3691</v>
      </c>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ca="1" si="51"/>
        <v>8147</v>
      </c>
      <c r="S261" s="361">
        <f t="shared" ca="1" si="52"/>
        <v>43</v>
      </c>
    </row>
    <row r="262" spans="1:19">
      <c r="A262" s="159" t="str">
        <f>'数据-基础表'!C251</f>
        <v>7-2108</v>
      </c>
      <c r="B262" s="58">
        <f>'数据-基础表'!I251</f>
        <v>52.17</v>
      </c>
      <c r="C262" s="23">
        <f t="shared" si="43"/>
        <v>1.01</v>
      </c>
      <c r="D262" s="2966" t="s">
        <v>3709</v>
      </c>
      <c r="E262" s="23">
        <f t="shared" si="44"/>
        <v>1.02</v>
      </c>
      <c r="F262" s="2966" t="s">
        <v>3691</v>
      </c>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ca="1" si="51"/>
        <v>8147</v>
      </c>
      <c r="S262" s="361">
        <f t="shared" ca="1" si="52"/>
        <v>43</v>
      </c>
    </row>
    <row r="263" spans="1:19">
      <c r="A263" s="159" t="str">
        <f>'数据-基础表'!C252</f>
        <v>7-2109</v>
      </c>
      <c r="B263" s="58">
        <f>'数据-基础表'!I252</f>
        <v>52.17</v>
      </c>
      <c r="C263" s="23">
        <f t="shared" si="43"/>
        <v>1.01</v>
      </c>
      <c r="D263" s="2966" t="s">
        <v>3709</v>
      </c>
      <c r="E263" s="23">
        <f t="shared" si="44"/>
        <v>1.02</v>
      </c>
      <c r="F263" s="2966" t="s">
        <v>3691</v>
      </c>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ca="1" si="51"/>
        <v>8147</v>
      </c>
      <c r="S263" s="361">
        <f t="shared" ca="1" si="52"/>
        <v>43</v>
      </c>
    </row>
    <row r="264" spans="1:19">
      <c r="A264" s="159" t="str">
        <f>'数据-基础表'!C253</f>
        <v>7-2110</v>
      </c>
      <c r="B264" s="58">
        <f>'数据-基础表'!I253</f>
        <v>52.17</v>
      </c>
      <c r="C264" s="23">
        <f t="shared" si="43"/>
        <v>1.01</v>
      </c>
      <c r="D264" s="2966" t="s">
        <v>3709</v>
      </c>
      <c r="E264" s="23">
        <f t="shared" si="44"/>
        <v>1.02</v>
      </c>
      <c r="F264" s="2966" t="s">
        <v>3691</v>
      </c>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ca="1" si="51"/>
        <v>8147</v>
      </c>
      <c r="S264" s="361">
        <f t="shared" ca="1" si="52"/>
        <v>43</v>
      </c>
    </row>
    <row r="265" spans="1:19">
      <c r="A265" s="159" t="str">
        <f>'数据-基础表'!C254</f>
        <v>7-2111</v>
      </c>
      <c r="B265" s="58">
        <f>'数据-基础表'!I254</f>
        <v>52.17</v>
      </c>
      <c r="C265" s="23">
        <f t="shared" si="43"/>
        <v>1.01</v>
      </c>
      <c r="D265" s="2966" t="s">
        <v>3709</v>
      </c>
      <c r="E265" s="23">
        <f t="shared" si="44"/>
        <v>1.02</v>
      </c>
      <c r="F265" s="2966" t="s">
        <v>3691</v>
      </c>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ca="1" si="51"/>
        <v>8147</v>
      </c>
      <c r="S265" s="361">
        <f t="shared" ca="1" si="52"/>
        <v>43</v>
      </c>
    </row>
    <row r="266" spans="1:19">
      <c r="A266" s="159" t="str">
        <f>'数据-基础表'!C255</f>
        <v>7-2112</v>
      </c>
      <c r="B266" s="58">
        <f>'数据-基础表'!I255</f>
        <v>80.73</v>
      </c>
      <c r="C266" s="23">
        <f t="shared" si="43"/>
        <v>1</v>
      </c>
      <c r="D266" s="2966" t="s">
        <v>3709</v>
      </c>
      <c r="E266" s="23">
        <f t="shared" si="44"/>
        <v>1.02</v>
      </c>
      <c r="F266" s="2966" t="s">
        <v>3691</v>
      </c>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ca="1" si="51"/>
        <v>8066</v>
      </c>
      <c r="S266" s="361">
        <f t="shared" ca="1" si="52"/>
        <v>65</v>
      </c>
    </row>
    <row r="267" spans="1:19">
      <c r="A267" s="159" t="str">
        <f>'数据-基础表'!C256</f>
        <v>7-2113</v>
      </c>
      <c r="B267" s="58">
        <f>'数据-基础表'!I256</f>
        <v>66.040000000000006</v>
      </c>
      <c r="C267" s="23">
        <f t="shared" si="43"/>
        <v>1</v>
      </c>
      <c r="D267" s="2966" t="s">
        <v>3709</v>
      </c>
      <c r="E267" s="23">
        <f t="shared" si="44"/>
        <v>1.02</v>
      </c>
      <c r="F267" s="2966" t="s">
        <v>3691</v>
      </c>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ca="1" si="51"/>
        <v>8066</v>
      </c>
      <c r="S267" s="361">
        <f t="shared" ca="1" si="52"/>
        <v>53</v>
      </c>
    </row>
    <row r="268" spans="1:19">
      <c r="A268" s="159" t="str">
        <f>'数据-基础表'!C257</f>
        <v>7-2114</v>
      </c>
      <c r="B268" s="58">
        <f>'数据-基础表'!I257</f>
        <v>66.040000000000006</v>
      </c>
      <c r="C268" s="23">
        <f t="shared" si="43"/>
        <v>1</v>
      </c>
      <c r="D268" s="2966" t="s">
        <v>3709</v>
      </c>
      <c r="E268" s="23">
        <f t="shared" si="44"/>
        <v>1.02</v>
      </c>
      <c r="F268" s="2966" t="s">
        <v>3691</v>
      </c>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ca="1" si="51"/>
        <v>8066</v>
      </c>
      <c r="S268" s="361">
        <f t="shared" ca="1" si="52"/>
        <v>53</v>
      </c>
    </row>
    <row r="269" spans="1:19">
      <c r="A269" s="159" t="str">
        <f>'数据-基础表'!C258</f>
        <v>7-2115</v>
      </c>
      <c r="B269" s="58">
        <f>'数据-基础表'!I258</f>
        <v>80.73</v>
      </c>
      <c r="C269" s="23">
        <f t="shared" si="43"/>
        <v>1</v>
      </c>
      <c r="D269" s="2966" t="s">
        <v>3709</v>
      </c>
      <c r="E269" s="23">
        <f t="shared" si="44"/>
        <v>1.02</v>
      </c>
      <c r="F269" s="2966" t="s">
        <v>3691</v>
      </c>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ca="1" si="51"/>
        <v>8066</v>
      </c>
      <c r="S269" s="361">
        <f t="shared" ca="1" si="52"/>
        <v>65</v>
      </c>
    </row>
    <row r="270" spans="1:19">
      <c r="A270" s="159" t="str">
        <f>'数据-基础表'!C259</f>
        <v>7-2116</v>
      </c>
      <c r="B270" s="58">
        <f>'数据-基础表'!I259</f>
        <v>52.17</v>
      </c>
      <c r="C270" s="23">
        <f t="shared" si="43"/>
        <v>1.01</v>
      </c>
      <c r="D270" s="2966" t="s">
        <v>3709</v>
      </c>
      <c r="E270" s="23">
        <f t="shared" si="44"/>
        <v>1.02</v>
      </c>
      <c r="F270" s="2966" t="s">
        <v>3691</v>
      </c>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ca="1" si="51"/>
        <v>8147</v>
      </c>
      <c r="S270" s="361">
        <f t="shared" ca="1" si="52"/>
        <v>43</v>
      </c>
    </row>
    <row r="271" spans="1:19">
      <c r="A271" s="159" t="str">
        <f>'数据-基础表'!C260</f>
        <v>7-2117</v>
      </c>
      <c r="B271" s="58">
        <f>'数据-基础表'!I260</f>
        <v>52.17</v>
      </c>
      <c r="C271" s="23">
        <f t="shared" si="43"/>
        <v>1.01</v>
      </c>
      <c r="D271" s="2966" t="s">
        <v>3709</v>
      </c>
      <c r="E271" s="23">
        <f t="shared" si="44"/>
        <v>1.02</v>
      </c>
      <c r="F271" s="2966" t="s">
        <v>3691</v>
      </c>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ca="1" si="51"/>
        <v>8147</v>
      </c>
      <c r="S271" s="361">
        <f t="shared" ca="1" si="52"/>
        <v>43</v>
      </c>
    </row>
    <row r="272" spans="1:19">
      <c r="A272" s="159" t="str">
        <f>'数据-基础表'!C261</f>
        <v>7-2118</v>
      </c>
      <c r="B272" s="58">
        <f>'数据-基础表'!I261</f>
        <v>52.17</v>
      </c>
      <c r="C272" s="23">
        <f t="shared" si="43"/>
        <v>1.01</v>
      </c>
      <c r="D272" s="2966" t="s">
        <v>3709</v>
      </c>
      <c r="E272" s="23">
        <f t="shared" si="44"/>
        <v>1.02</v>
      </c>
      <c r="F272" s="2966" t="s">
        <v>3691</v>
      </c>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ca="1" si="51"/>
        <v>8147</v>
      </c>
      <c r="S272" s="361">
        <f t="shared" ca="1" si="52"/>
        <v>43</v>
      </c>
    </row>
    <row r="273" spans="1:19">
      <c r="A273" s="159" t="str">
        <f>'数据-基础表'!C262</f>
        <v>7-2119</v>
      </c>
      <c r="B273" s="58">
        <f>'数据-基础表'!I262</f>
        <v>52.17</v>
      </c>
      <c r="C273" s="23">
        <f t="shared" si="43"/>
        <v>1.01</v>
      </c>
      <c r="D273" s="2966" t="s">
        <v>3709</v>
      </c>
      <c r="E273" s="23">
        <f t="shared" si="44"/>
        <v>1.02</v>
      </c>
      <c r="F273" s="2966" t="s">
        <v>3691</v>
      </c>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ca="1" si="51"/>
        <v>8147</v>
      </c>
      <c r="S273" s="361">
        <f t="shared" ca="1" si="52"/>
        <v>43</v>
      </c>
    </row>
    <row r="274" spans="1:19">
      <c r="A274" s="159" t="str">
        <f>'数据-基础表'!C263</f>
        <v>7-2120</v>
      </c>
      <c r="B274" s="58">
        <f>'数据-基础表'!I263</f>
        <v>52.17</v>
      </c>
      <c r="C274" s="23">
        <f t="shared" si="43"/>
        <v>1.01</v>
      </c>
      <c r="D274" s="2966" t="s">
        <v>3709</v>
      </c>
      <c r="E274" s="23">
        <f t="shared" si="44"/>
        <v>1.02</v>
      </c>
      <c r="F274" s="2966" t="s">
        <v>3691</v>
      </c>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ca="1" si="51"/>
        <v>8147</v>
      </c>
      <c r="S274" s="361">
        <f t="shared" ca="1" si="52"/>
        <v>43</v>
      </c>
    </row>
    <row r="275" spans="1:19">
      <c r="A275" s="159" t="str">
        <f>'数据-基础表'!C264</f>
        <v>7-2121</v>
      </c>
      <c r="B275" s="58">
        <f>'数据-基础表'!I264</f>
        <v>52.17</v>
      </c>
      <c r="C275" s="23">
        <f t="shared" si="43"/>
        <v>1.01</v>
      </c>
      <c r="D275" s="2966" t="s">
        <v>3709</v>
      </c>
      <c r="E275" s="23">
        <f t="shared" si="44"/>
        <v>1.02</v>
      </c>
      <c r="F275" s="2966" t="s">
        <v>3691</v>
      </c>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ca="1" si="51"/>
        <v>8147</v>
      </c>
      <c r="S275" s="361">
        <f t="shared" ca="1" si="52"/>
        <v>43</v>
      </c>
    </row>
    <row r="276" spans="1:19">
      <c r="A276" s="159" t="str">
        <f>'数据-基础表'!C265</f>
        <v>7-2122</v>
      </c>
      <c r="B276" s="58">
        <f>'数据-基础表'!I265</f>
        <v>52.17</v>
      </c>
      <c r="C276" s="23">
        <f t="shared" si="43"/>
        <v>1.01</v>
      </c>
      <c r="D276" s="2966" t="s">
        <v>3709</v>
      </c>
      <c r="E276" s="23">
        <f t="shared" si="44"/>
        <v>1.02</v>
      </c>
      <c r="F276" s="2966" t="s">
        <v>3691</v>
      </c>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ca="1" si="51"/>
        <v>8147</v>
      </c>
      <c r="S276" s="361">
        <f t="shared" ca="1" si="52"/>
        <v>43</v>
      </c>
    </row>
    <row r="277" spans="1:19">
      <c r="A277" s="159" t="str">
        <f>'数据-基础表'!C266</f>
        <v>7-2123</v>
      </c>
      <c r="B277" s="58">
        <f>'数据-基础表'!I266</f>
        <v>52.17</v>
      </c>
      <c r="C277" s="23">
        <f t="shared" si="43"/>
        <v>1.01</v>
      </c>
      <c r="D277" s="2966" t="s">
        <v>3709</v>
      </c>
      <c r="E277" s="23">
        <f t="shared" si="44"/>
        <v>1.02</v>
      </c>
      <c r="F277" s="2966" t="s">
        <v>3691</v>
      </c>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ca="1" si="51"/>
        <v>8147</v>
      </c>
      <c r="S277" s="361">
        <f t="shared" ca="1" si="52"/>
        <v>43</v>
      </c>
    </row>
    <row r="278" spans="1:19">
      <c r="A278" s="159" t="str">
        <f>'数据-基础表'!C267</f>
        <v>7-2124</v>
      </c>
      <c r="B278" s="58">
        <f>'数据-基础表'!I267</f>
        <v>52.17</v>
      </c>
      <c r="C278" s="23">
        <f t="shared" si="43"/>
        <v>1.01</v>
      </c>
      <c r="D278" s="2966" t="s">
        <v>3709</v>
      </c>
      <c r="E278" s="23">
        <f t="shared" si="44"/>
        <v>1.02</v>
      </c>
      <c r="F278" s="2966" t="s">
        <v>3691</v>
      </c>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ca="1" si="51"/>
        <v>8147</v>
      </c>
      <c r="S278" s="361">
        <f t="shared" ca="1" si="52"/>
        <v>43</v>
      </c>
    </row>
    <row r="279" spans="1:19">
      <c r="A279" s="159" t="str">
        <f>'数据-基础表'!C268</f>
        <v>7-2125</v>
      </c>
      <c r="B279" s="58">
        <f>'数据-基础表'!I268</f>
        <v>52.17</v>
      </c>
      <c r="C279" s="23">
        <f t="shared" si="43"/>
        <v>1.01</v>
      </c>
      <c r="D279" s="2966" t="s">
        <v>3709</v>
      </c>
      <c r="E279" s="23">
        <f t="shared" si="44"/>
        <v>1.02</v>
      </c>
      <c r="F279" s="2966" t="s">
        <v>3691</v>
      </c>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ca="1" si="51"/>
        <v>8147</v>
      </c>
      <c r="S279" s="361">
        <f t="shared" ca="1" si="52"/>
        <v>43</v>
      </c>
    </row>
    <row r="280" spans="1:19">
      <c r="A280" s="159" t="str">
        <f>'数据-基础表'!C269</f>
        <v>7-2126</v>
      </c>
      <c r="B280" s="58">
        <f>'数据-基础表'!I269</f>
        <v>80.73</v>
      </c>
      <c r="C280" s="23">
        <f t="shared" si="43"/>
        <v>1</v>
      </c>
      <c r="D280" s="2966" t="s">
        <v>3709</v>
      </c>
      <c r="E280" s="23">
        <f t="shared" si="44"/>
        <v>1.02</v>
      </c>
      <c r="F280" s="2966" t="s">
        <v>3691</v>
      </c>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ca="1" si="51"/>
        <v>8066</v>
      </c>
      <c r="S280" s="361">
        <f t="shared" ca="1" si="52"/>
        <v>65</v>
      </c>
    </row>
    <row r="281" spans="1:19">
      <c r="A281" s="159" t="str">
        <f>'数据-基础表'!C270</f>
        <v>7-2127</v>
      </c>
      <c r="B281" s="58">
        <f>'数据-基础表'!I270</f>
        <v>93.08</v>
      </c>
      <c r="C281" s="23">
        <f t="shared" si="43"/>
        <v>1</v>
      </c>
      <c r="D281" s="2966" t="s">
        <v>3709</v>
      </c>
      <c r="E281" s="23">
        <f t="shared" si="44"/>
        <v>1.02</v>
      </c>
      <c r="F281" s="2966" t="s">
        <v>3691</v>
      </c>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ca="1" si="51"/>
        <v>8066</v>
      </c>
      <c r="S281" s="361">
        <f t="shared" ca="1" si="52"/>
        <v>75</v>
      </c>
    </row>
    <row r="282" spans="1:19">
      <c r="A282" s="159" t="str">
        <f>'数据-基础表'!C271</f>
        <v>7-2128</v>
      </c>
      <c r="B282" s="58">
        <f>'数据-基础表'!I271</f>
        <v>93.08</v>
      </c>
      <c r="C282" s="23">
        <f t="shared" ref="C282:C345" si="53">IF(B282="",1,(LOOKUP(B282,$3:$3,$4:$4)-LOOKUP($B$24,$3:$3,$4:$4)+100)/100)</f>
        <v>1</v>
      </c>
      <c r="D282" s="2966" t="s">
        <v>3709</v>
      </c>
      <c r="E282" s="23">
        <f t="shared" ref="E282:E345" si="54">(SUMIF($5:$5,D282,$6:$6)-SUMIF($5:$5,$D$24,$6:$6)+100)/100</f>
        <v>1.02</v>
      </c>
      <c r="F282" s="2966" t="s">
        <v>3691</v>
      </c>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ca="1" si="61">IF(B282="",0,ROUND($R$24*C282*E282*G282*I282*K282*M282*O282*Q282,0))</f>
        <v>8066</v>
      </c>
      <c r="S282" s="361">
        <f t="shared" ca="1" si="52"/>
        <v>75</v>
      </c>
    </row>
    <row r="283" spans="1:19">
      <c r="A283" s="159" t="str">
        <f>'数据-基础表'!C272</f>
        <v>7-2201</v>
      </c>
      <c r="B283" s="58">
        <f>'数据-基础表'!I272</f>
        <v>80.73</v>
      </c>
      <c r="C283" s="23">
        <f t="shared" si="53"/>
        <v>1</v>
      </c>
      <c r="D283" s="2966" t="s">
        <v>3709</v>
      </c>
      <c r="E283" s="23">
        <f t="shared" si="54"/>
        <v>1.02</v>
      </c>
      <c r="F283" s="2966" t="s">
        <v>3691</v>
      </c>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ca="1" si="61"/>
        <v>8066</v>
      </c>
      <c r="S283" s="361">
        <f t="shared" ca="1" si="52"/>
        <v>65</v>
      </c>
    </row>
    <row r="284" spans="1:19">
      <c r="A284" s="159" t="str">
        <f>'数据-基础表'!C273</f>
        <v>7-2202</v>
      </c>
      <c r="B284" s="58">
        <f>'数据-基础表'!I273</f>
        <v>52.17</v>
      </c>
      <c r="C284" s="23">
        <f t="shared" si="53"/>
        <v>1.01</v>
      </c>
      <c r="D284" s="2966" t="s">
        <v>3709</v>
      </c>
      <c r="E284" s="23">
        <f t="shared" si="54"/>
        <v>1.02</v>
      </c>
      <c r="F284" s="2966" t="s">
        <v>3691</v>
      </c>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ca="1" si="61"/>
        <v>8147</v>
      </c>
      <c r="S284" s="361">
        <f t="shared" ca="1" si="52"/>
        <v>43</v>
      </c>
    </row>
    <row r="285" spans="1:19">
      <c r="A285" s="159" t="str">
        <f>'数据-基础表'!C274</f>
        <v>7-2203</v>
      </c>
      <c r="B285" s="58">
        <f>'数据-基础表'!I274</f>
        <v>52.17</v>
      </c>
      <c r="C285" s="23">
        <f t="shared" si="53"/>
        <v>1.01</v>
      </c>
      <c r="D285" s="2966" t="s">
        <v>3709</v>
      </c>
      <c r="E285" s="23">
        <f t="shared" si="54"/>
        <v>1.02</v>
      </c>
      <c r="F285" s="2966" t="s">
        <v>3691</v>
      </c>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ca="1" si="61"/>
        <v>8147</v>
      </c>
      <c r="S285" s="361">
        <f t="shared" ca="1" si="52"/>
        <v>43</v>
      </c>
    </row>
    <row r="286" spans="1:19">
      <c r="A286" s="159" t="str">
        <f>'数据-基础表'!C275</f>
        <v>7-2204</v>
      </c>
      <c r="B286" s="58">
        <f>'数据-基础表'!I275</f>
        <v>52.17</v>
      </c>
      <c r="C286" s="23">
        <f t="shared" si="53"/>
        <v>1.01</v>
      </c>
      <c r="D286" s="2966" t="s">
        <v>3709</v>
      </c>
      <c r="E286" s="23">
        <f t="shared" si="54"/>
        <v>1.02</v>
      </c>
      <c r="F286" s="2966" t="s">
        <v>3691</v>
      </c>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ca="1" si="61"/>
        <v>8147</v>
      </c>
      <c r="S286" s="361">
        <f t="shared" ca="1" si="52"/>
        <v>43</v>
      </c>
    </row>
    <row r="287" spans="1:19">
      <c r="A287" s="159" t="str">
        <f>'数据-基础表'!C276</f>
        <v>7-2205</v>
      </c>
      <c r="B287" s="58">
        <f>'数据-基础表'!I276</f>
        <v>52.17</v>
      </c>
      <c r="C287" s="23">
        <f t="shared" si="53"/>
        <v>1.01</v>
      </c>
      <c r="D287" s="2966" t="s">
        <v>3709</v>
      </c>
      <c r="E287" s="23">
        <f t="shared" si="54"/>
        <v>1.02</v>
      </c>
      <c r="F287" s="2966" t="s">
        <v>3691</v>
      </c>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ca="1" si="61"/>
        <v>8147</v>
      </c>
      <c r="S287" s="361">
        <f t="shared" ref="S287:S320" ca="1" si="62">ROUND(R287*B287/10000,0)</f>
        <v>43</v>
      </c>
    </row>
    <row r="288" spans="1:19">
      <c r="A288" s="159" t="str">
        <f>'数据-基础表'!C277</f>
        <v>7-2206</v>
      </c>
      <c r="B288" s="58">
        <f>'数据-基础表'!I277</f>
        <v>52.17</v>
      </c>
      <c r="C288" s="23">
        <f t="shared" si="53"/>
        <v>1.01</v>
      </c>
      <c r="D288" s="2966" t="s">
        <v>3709</v>
      </c>
      <c r="E288" s="23">
        <f t="shared" si="54"/>
        <v>1.02</v>
      </c>
      <c r="F288" s="2966" t="s">
        <v>3691</v>
      </c>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ca="1" si="61"/>
        <v>8147</v>
      </c>
      <c r="S288" s="361">
        <f t="shared" ca="1" si="62"/>
        <v>43</v>
      </c>
    </row>
    <row r="289" spans="1:19">
      <c r="A289" s="159" t="str">
        <f>'数据-基础表'!C278</f>
        <v>7-2207</v>
      </c>
      <c r="B289" s="58">
        <f>'数据-基础表'!I278</f>
        <v>52.17</v>
      </c>
      <c r="C289" s="23">
        <f t="shared" si="53"/>
        <v>1.01</v>
      </c>
      <c r="D289" s="2966" t="s">
        <v>3709</v>
      </c>
      <c r="E289" s="23">
        <f t="shared" si="54"/>
        <v>1.02</v>
      </c>
      <c r="F289" s="2966" t="s">
        <v>3691</v>
      </c>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ca="1" si="61"/>
        <v>8147</v>
      </c>
      <c r="S289" s="361">
        <f t="shared" ca="1" si="62"/>
        <v>43</v>
      </c>
    </row>
    <row r="290" spans="1:19">
      <c r="A290" s="159" t="str">
        <f>'数据-基础表'!C279</f>
        <v>7-2208</v>
      </c>
      <c r="B290" s="58">
        <f>'数据-基础表'!I279</f>
        <v>52.17</v>
      </c>
      <c r="C290" s="23">
        <f t="shared" si="53"/>
        <v>1.01</v>
      </c>
      <c r="D290" s="2966" t="s">
        <v>3709</v>
      </c>
      <c r="E290" s="23">
        <f t="shared" si="54"/>
        <v>1.02</v>
      </c>
      <c r="F290" s="2966" t="s">
        <v>3691</v>
      </c>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ca="1" si="61"/>
        <v>8147</v>
      </c>
      <c r="S290" s="361">
        <f t="shared" ca="1" si="62"/>
        <v>43</v>
      </c>
    </row>
    <row r="291" spans="1:19">
      <c r="A291" s="159" t="str">
        <f>'数据-基础表'!C280</f>
        <v>7-2209</v>
      </c>
      <c r="B291" s="58">
        <f>'数据-基础表'!I280</f>
        <v>52.17</v>
      </c>
      <c r="C291" s="23">
        <f t="shared" si="53"/>
        <v>1.01</v>
      </c>
      <c r="D291" s="2966" t="s">
        <v>3709</v>
      </c>
      <c r="E291" s="23">
        <f t="shared" si="54"/>
        <v>1.02</v>
      </c>
      <c r="F291" s="2966" t="s">
        <v>3691</v>
      </c>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ca="1" si="61"/>
        <v>8147</v>
      </c>
      <c r="S291" s="361">
        <f t="shared" ca="1" si="62"/>
        <v>43</v>
      </c>
    </row>
    <row r="292" spans="1:19">
      <c r="A292" s="159" t="str">
        <f>'数据-基础表'!C281</f>
        <v>7-2210</v>
      </c>
      <c r="B292" s="58">
        <f>'数据-基础表'!I281</f>
        <v>52.17</v>
      </c>
      <c r="C292" s="23">
        <f t="shared" si="53"/>
        <v>1.01</v>
      </c>
      <c r="D292" s="2966" t="s">
        <v>3709</v>
      </c>
      <c r="E292" s="23">
        <f t="shared" si="54"/>
        <v>1.02</v>
      </c>
      <c r="F292" s="2966" t="s">
        <v>3691</v>
      </c>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ca="1" si="61"/>
        <v>8147</v>
      </c>
      <c r="S292" s="361">
        <f t="shared" ca="1" si="62"/>
        <v>43</v>
      </c>
    </row>
    <row r="293" spans="1:19">
      <c r="A293" s="159" t="str">
        <f>'数据-基础表'!C282</f>
        <v>7-2211</v>
      </c>
      <c r="B293" s="58">
        <f>'数据-基础表'!I282</f>
        <v>52.17</v>
      </c>
      <c r="C293" s="23">
        <f t="shared" si="53"/>
        <v>1.01</v>
      </c>
      <c r="D293" s="2966" t="s">
        <v>3709</v>
      </c>
      <c r="E293" s="23">
        <f t="shared" si="54"/>
        <v>1.02</v>
      </c>
      <c r="F293" s="2966" t="s">
        <v>3691</v>
      </c>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ca="1" si="61"/>
        <v>8147</v>
      </c>
      <c r="S293" s="361">
        <f t="shared" ca="1" si="62"/>
        <v>43</v>
      </c>
    </row>
    <row r="294" spans="1:19">
      <c r="A294" s="159" t="str">
        <f>'数据-基础表'!C283</f>
        <v>7-2212</v>
      </c>
      <c r="B294" s="58">
        <f>'数据-基础表'!I283</f>
        <v>80.73</v>
      </c>
      <c r="C294" s="23">
        <f t="shared" si="53"/>
        <v>1</v>
      </c>
      <c r="D294" s="2966" t="s">
        <v>3709</v>
      </c>
      <c r="E294" s="23">
        <f t="shared" si="54"/>
        <v>1.02</v>
      </c>
      <c r="F294" s="2966" t="s">
        <v>3691</v>
      </c>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ca="1" si="61"/>
        <v>8066</v>
      </c>
      <c r="S294" s="361">
        <f t="shared" ca="1" si="62"/>
        <v>65</v>
      </c>
    </row>
    <row r="295" spans="1:19">
      <c r="A295" s="159" t="str">
        <f>'数据-基础表'!C284</f>
        <v>7-2213</v>
      </c>
      <c r="B295" s="58">
        <f>'数据-基础表'!I284</f>
        <v>67.36</v>
      </c>
      <c r="C295" s="23">
        <f t="shared" si="53"/>
        <v>1</v>
      </c>
      <c r="D295" s="2966" t="s">
        <v>3709</v>
      </c>
      <c r="E295" s="23">
        <f t="shared" si="54"/>
        <v>1.02</v>
      </c>
      <c r="F295" s="2966" t="s">
        <v>3691</v>
      </c>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ca="1" si="61"/>
        <v>8066</v>
      </c>
      <c r="S295" s="361">
        <f t="shared" ca="1" si="62"/>
        <v>54</v>
      </c>
    </row>
    <row r="296" spans="1:19">
      <c r="A296" s="159" t="str">
        <f>'数据-基础表'!C285</f>
        <v>7-2214</v>
      </c>
      <c r="B296" s="58">
        <f>'数据-基础表'!I285</f>
        <v>67.36</v>
      </c>
      <c r="C296" s="23">
        <f t="shared" si="53"/>
        <v>1</v>
      </c>
      <c r="D296" s="2966" t="s">
        <v>3709</v>
      </c>
      <c r="E296" s="23">
        <f t="shared" si="54"/>
        <v>1.02</v>
      </c>
      <c r="F296" s="2966" t="s">
        <v>3691</v>
      </c>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ca="1" si="61"/>
        <v>8066</v>
      </c>
      <c r="S296" s="361">
        <f t="shared" ca="1" si="62"/>
        <v>54</v>
      </c>
    </row>
    <row r="297" spans="1:19">
      <c r="A297" s="159" t="str">
        <f>'数据-基础表'!C286</f>
        <v>7-2215</v>
      </c>
      <c r="B297" s="58">
        <f>'数据-基础表'!I286</f>
        <v>80.73</v>
      </c>
      <c r="C297" s="23">
        <f t="shared" si="53"/>
        <v>1</v>
      </c>
      <c r="D297" s="2966" t="s">
        <v>3709</v>
      </c>
      <c r="E297" s="23">
        <f t="shared" si="54"/>
        <v>1.02</v>
      </c>
      <c r="F297" s="2966" t="s">
        <v>3691</v>
      </c>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ca="1" si="61"/>
        <v>8066</v>
      </c>
      <c r="S297" s="361">
        <f t="shared" ca="1" si="62"/>
        <v>65</v>
      </c>
    </row>
    <row r="298" spans="1:19">
      <c r="A298" s="159" t="str">
        <f>'数据-基础表'!C287</f>
        <v>7-2216</v>
      </c>
      <c r="B298" s="58">
        <f>'数据-基础表'!I287</f>
        <v>52.17</v>
      </c>
      <c r="C298" s="23">
        <f t="shared" si="53"/>
        <v>1.01</v>
      </c>
      <c r="D298" s="2966" t="s">
        <v>3709</v>
      </c>
      <c r="E298" s="23">
        <f t="shared" si="54"/>
        <v>1.02</v>
      </c>
      <c r="F298" s="2966" t="s">
        <v>3691</v>
      </c>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ca="1" si="61"/>
        <v>8147</v>
      </c>
      <c r="S298" s="361">
        <f t="shared" ca="1" si="62"/>
        <v>43</v>
      </c>
    </row>
    <row r="299" spans="1:19">
      <c r="A299" s="159" t="str">
        <f>'数据-基础表'!C288</f>
        <v>7-2217</v>
      </c>
      <c r="B299" s="58">
        <f>'数据-基础表'!I288</f>
        <v>52.17</v>
      </c>
      <c r="C299" s="23">
        <f t="shared" si="53"/>
        <v>1.01</v>
      </c>
      <c r="D299" s="2966" t="s">
        <v>3709</v>
      </c>
      <c r="E299" s="23">
        <f t="shared" si="54"/>
        <v>1.02</v>
      </c>
      <c r="F299" s="2966" t="s">
        <v>3691</v>
      </c>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ca="1" si="61"/>
        <v>8147</v>
      </c>
      <c r="S299" s="361">
        <f t="shared" ca="1" si="62"/>
        <v>43</v>
      </c>
    </row>
    <row r="300" spans="1:19">
      <c r="A300" s="159" t="str">
        <f>'数据-基础表'!C289</f>
        <v>7-2218</v>
      </c>
      <c r="B300" s="58">
        <f>'数据-基础表'!I289</f>
        <v>52.17</v>
      </c>
      <c r="C300" s="23">
        <f t="shared" si="53"/>
        <v>1.01</v>
      </c>
      <c r="D300" s="2966" t="s">
        <v>3709</v>
      </c>
      <c r="E300" s="23">
        <f t="shared" si="54"/>
        <v>1.02</v>
      </c>
      <c r="F300" s="2966" t="s">
        <v>3691</v>
      </c>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ca="1" si="61"/>
        <v>8147</v>
      </c>
      <c r="S300" s="361">
        <f t="shared" ca="1" si="62"/>
        <v>43</v>
      </c>
    </row>
    <row r="301" spans="1:19">
      <c r="A301" s="159" t="str">
        <f>'数据-基础表'!C290</f>
        <v>7-2219</v>
      </c>
      <c r="B301" s="58">
        <f>'数据-基础表'!I290</f>
        <v>52.17</v>
      </c>
      <c r="C301" s="23">
        <f t="shared" si="53"/>
        <v>1.01</v>
      </c>
      <c r="D301" s="2966" t="s">
        <v>3709</v>
      </c>
      <c r="E301" s="23">
        <f t="shared" si="54"/>
        <v>1.02</v>
      </c>
      <c r="F301" s="2966" t="s">
        <v>3691</v>
      </c>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ca="1" si="61"/>
        <v>8147</v>
      </c>
      <c r="S301" s="361">
        <f t="shared" ca="1" si="62"/>
        <v>43</v>
      </c>
    </row>
    <row r="302" spans="1:19">
      <c r="A302" s="159" t="str">
        <f>'数据-基础表'!C291</f>
        <v>7-2220</v>
      </c>
      <c r="B302" s="58">
        <f>'数据-基础表'!I291</f>
        <v>52.17</v>
      </c>
      <c r="C302" s="23">
        <f t="shared" si="53"/>
        <v>1.01</v>
      </c>
      <c r="D302" s="2966" t="s">
        <v>3709</v>
      </c>
      <c r="E302" s="23">
        <f t="shared" si="54"/>
        <v>1.02</v>
      </c>
      <c r="F302" s="2966" t="s">
        <v>3691</v>
      </c>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ca="1" si="61"/>
        <v>8147</v>
      </c>
      <c r="S302" s="361">
        <f t="shared" ca="1" si="62"/>
        <v>43</v>
      </c>
    </row>
    <row r="303" spans="1:19">
      <c r="A303" s="159" t="str">
        <f>'数据-基础表'!C292</f>
        <v>7-2221</v>
      </c>
      <c r="B303" s="58">
        <f>'数据-基础表'!I292</f>
        <v>52.17</v>
      </c>
      <c r="C303" s="23">
        <f t="shared" si="53"/>
        <v>1.01</v>
      </c>
      <c r="D303" s="2966" t="s">
        <v>3709</v>
      </c>
      <c r="E303" s="23">
        <f t="shared" si="54"/>
        <v>1.02</v>
      </c>
      <c r="F303" s="2966" t="s">
        <v>3691</v>
      </c>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ca="1" si="61"/>
        <v>8147</v>
      </c>
      <c r="S303" s="361">
        <f t="shared" ca="1" si="62"/>
        <v>43</v>
      </c>
    </row>
    <row r="304" spans="1:19">
      <c r="A304" s="159" t="str">
        <f>'数据-基础表'!C293</f>
        <v>7-2222</v>
      </c>
      <c r="B304" s="58">
        <f>'数据-基础表'!I293</f>
        <v>52.17</v>
      </c>
      <c r="C304" s="23">
        <f t="shared" si="53"/>
        <v>1.01</v>
      </c>
      <c r="D304" s="2966" t="s">
        <v>3709</v>
      </c>
      <c r="E304" s="23">
        <f t="shared" si="54"/>
        <v>1.02</v>
      </c>
      <c r="F304" s="2966" t="s">
        <v>3691</v>
      </c>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ca="1" si="61"/>
        <v>8147</v>
      </c>
      <c r="S304" s="361">
        <f t="shared" ca="1" si="62"/>
        <v>43</v>
      </c>
    </row>
    <row r="305" spans="1:19">
      <c r="A305" s="159" t="str">
        <f>'数据-基础表'!C294</f>
        <v>7-2223</v>
      </c>
      <c r="B305" s="58">
        <f>'数据-基础表'!I294</f>
        <v>52.17</v>
      </c>
      <c r="C305" s="23">
        <f t="shared" si="53"/>
        <v>1.01</v>
      </c>
      <c r="D305" s="2966" t="s">
        <v>3709</v>
      </c>
      <c r="E305" s="23">
        <f t="shared" si="54"/>
        <v>1.02</v>
      </c>
      <c r="F305" s="2966" t="s">
        <v>3691</v>
      </c>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ca="1" si="61"/>
        <v>8147</v>
      </c>
      <c r="S305" s="361">
        <f t="shared" ca="1" si="62"/>
        <v>43</v>
      </c>
    </row>
    <row r="306" spans="1:19">
      <c r="A306" s="159" t="str">
        <f>'数据-基础表'!C295</f>
        <v>7-2224</v>
      </c>
      <c r="B306" s="58">
        <f>'数据-基础表'!I295</f>
        <v>52.17</v>
      </c>
      <c r="C306" s="23">
        <f t="shared" si="53"/>
        <v>1.01</v>
      </c>
      <c r="D306" s="2966" t="s">
        <v>3709</v>
      </c>
      <c r="E306" s="23">
        <f t="shared" si="54"/>
        <v>1.02</v>
      </c>
      <c r="F306" s="2966" t="s">
        <v>3691</v>
      </c>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ca="1" si="61"/>
        <v>8147</v>
      </c>
      <c r="S306" s="361">
        <f t="shared" ca="1" si="62"/>
        <v>43</v>
      </c>
    </row>
    <row r="307" spans="1:19">
      <c r="A307" s="159" t="str">
        <f>'数据-基础表'!C296</f>
        <v>7-2225</v>
      </c>
      <c r="B307" s="58">
        <f>'数据-基础表'!I296</f>
        <v>52.17</v>
      </c>
      <c r="C307" s="23">
        <f t="shared" si="53"/>
        <v>1.01</v>
      </c>
      <c r="D307" s="2966" t="s">
        <v>3709</v>
      </c>
      <c r="E307" s="23">
        <f t="shared" si="54"/>
        <v>1.02</v>
      </c>
      <c r="F307" s="2966" t="s">
        <v>3691</v>
      </c>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ca="1" si="61"/>
        <v>8147</v>
      </c>
      <c r="S307" s="361">
        <f t="shared" ca="1" si="62"/>
        <v>43</v>
      </c>
    </row>
    <row r="308" spans="1:19">
      <c r="A308" s="159" t="str">
        <f>'数据-基础表'!C297</f>
        <v>7-2226</v>
      </c>
      <c r="B308" s="58">
        <f>'数据-基础表'!I297</f>
        <v>80.73</v>
      </c>
      <c r="C308" s="23">
        <f t="shared" si="53"/>
        <v>1</v>
      </c>
      <c r="D308" s="2966" t="s">
        <v>3709</v>
      </c>
      <c r="E308" s="23">
        <f t="shared" si="54"/>
        <v>1.02</v>
      </c>
      <c r="F308" s="2966" t="s">
        <v>3691</v>
      </c>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ca="1" si="61"/>
        <v>8066</v>
      </c>
      <c r="S308" s="361">
        <f t="shared" ca="1" si="62"/>
        <v>65</v>
      </c>
    </row>
    <row r="309" spans="1:19">
      <c r="A309" s="159" t="str">
        <f>'数据-基础表'!C298</f>
        <v>7-2227</v>
      </c>
      <c r="B309" s="58">
        <f>'数据-基础表'!I298</f>
        <v>93.08</v>
      </c>
      <c r="C309" s="23">
        <f t="shared" si="53"/>
        <v>1</v>
      </c>
      <c r="D309" s="2966" t="s">
        <v>3709</v>
      </c>
      <c r="E309" s="23">
        <f t="shared" si="54"/>
        <v>1.02</v>
      </c>
      <c r="F309" s="2966" t="s">
        <v>3691</v>
      </c>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ca="1" si="61"/>
        <v>8066</v>
      </c>
      <c r="S309" s="361">
        <f t="shared" ca="1" si="62"/>
        <v>75</v>
      </c>
    </row>
    <row r="310" spans="1:19">
      <c r="A310" s="159" t="str">
        <f>'数据-基础表'!C299</f>
        <v>7-2228</v>
      </c>
      <c r="B310" s="58">
        <f>'数据-基础表'!I299</f>
        <v>93.08</v>
      </c>
      <c r="C310" s="23">
        <f t="shared" si="53"/>
        <v>1</v>
      </c>
      <c r="D310" s="2966" t="s">
        <v>3709</v>
      </c>
      <c r="E310" s="23">
        <f t="shared" si="54"/>
        <v>1.02</v>
      </c>
      <c r="F310" s="2966" t="s">
        <v>3691</v>
      </c>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ca="1" si="61"/>
        <v>8066</v>
      </c>
      <c r="S310" s="361">
        <f t="shared" ca="1" si="62"/>
        <v>75</v>
      </c>
    </row>
    <row r="311" spans="1:19">
      <c r="A311" s="159" t="str">
        <f>'数据-基础表'!C300</f>
        <v>7-2301</v>
      </c>
      <c r="B311" s="58">
        <f>'数据-基础表'!I300</f>
        <v>80.73</v>
      </c>
      <c r="C311" s="23">
        <f t="shared" si="53"/>
        <v>1</v>
      </c>
      <c r="D311" s="2966" t="s">
        <v>3709</v>
      </c>
      <c r="E311" s="23">
        <f t="shared" si="54"/>
        <v>1.02</v>
      </c>
      <c r="F311" s="2966" t="s">
        <v>3691</v>
      </c>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ca="1" si="61"/>
        <v>8066</v>
      </c>
      <c r="S311" s="361">
        <f t="shared" ca="1" si="62"/>
        <v>65</v>
      </c>
    </row>
    <row r="312" spans="1:19">
      <c r="A312" s="159" t="str">
        <f>'数据-基础表'!C301</f>
        <v>7-2302</v>
      </c>
      <c r="B312" s="58">
        <f>'数据-基础表'!I301</f>
        <v>52.17</v>
      </c>
      <c r="C312" s="23">
        <f t="shared" si="53"/>
        <v>1.01</v>
      </c>
      <c r="D312" s="2966" t="s">
        <v>3709</v>
      </c>
      <c r="E312" s="23">
        <f t="shared" si="54"/>
        <v>1.02</v>
      </c>
      <c r="F312" s="2966" t="s">
        <v>3691</v>
      </c>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ca="1" si="61"/>
        <v>8147</v>
      </c>
      <c r="S312" s="361">
        <f t="shared" ca="1" si="62"/>
        <v>43</v>
      </c>
    </row>
    <row r="313" spans="1:19">
      <c r="A313" s="159" t="str">
        <f>'数据-基础表'!C302</f>
        <v>7-2303</v>
      </c>
      <c r="B313" s="58">
        <f>'数据-基础表'!I302</f>
        <v>52.17</v>
      </c>
      <c r="C313" s="23">
        <f t="shared" si="53"/>
        <v>1.01</v>
      </c>
      <c r="D313" s="2966" t="s">
        <v>3709</v>
      </c>
      <c r="E313" s="23">
        <f t="shared" si="54"/>
        <v>1.02</v>
      </c>
      <c r="F313" s="2966" t="s">
        <v>3691</v>
      </c>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ca="1" si="61"/>
        <v>8147</v>
      </c>
      <c r="S313" s="361">
        <f t="shared" ca="1" si="62"/>
        <v>43</v>
      </c>
    </row>
    <row r="314" spans="1:19">
      <c r="A314" s="159" t="str">
        <f>'数据-基础表'!C303</f>
        <v>7-2304</v>
      </c>
      <c r="B314" s="58">
        <f>'数据-基础表'!I303</f>
        <v>52.17</v>
      </c>
      <c r="C314" s="23">
        <f t="shared" si="53"/>
        <v>1.01</v>
      </c>
      <c r="D314" s="2966" t="s">
        <v>3709</v>
      </c>
      <c r="E314" s="23">
        <f t="shared" si="54"/>
        <v>1.02</v>
      </c>
      <c r="F314" s="2966" t="s">
        <v>3691</v>
      </c>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ca="1" si="61"/>
        <v>8147</v>
      </c>
      <c r="S314" s="361">
        <f t="shared" ca="1" si="62"/>
        <v>43</v>
      </c>
    </row>
    <row r="315" spans="1:19">
      <c r="A315" s="159" t="str">
        <f>'数据-基础表'!C304</f>
        <v>7-2305</v>
      </c>
      <c r="B315" s="58">
        <f>'数据-基础表'!I304</f>
        <v>52.17</v>
      </c>
      <c r="C315" s="23">
        <f t="shared" si="53"/>
        <v>1.01</v>
      </c>
      <c r="D315" s="2966" t="s">
        <v>3709</v>
      </c>
      <c r="E315" s="23">
        <f t="shared" si="54"/>
        <v>1.02</v>
      </c>
      <c r="F315" s="2966" t="s">
        <v>3691</v>
      </c>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ca="1" si="61"/>
        <v>8147</v>
      </c>
      <c r="S315" s="361">
        <f t="shared" ca="1" si="62"/>
        <v>43</v>
      </c>
    </row>
    <row r="316" spans="1:19">
      <c r="A316" s="159" t="str">
        <f>'数据-基础表'!C305</f>
        <v>7-2306</v>
      </c>
      <c r="B316" s="58">
        <f>'数据-基础表'!I305</f>
        <v>52.17</v>
      </c>
      <c r="C316" s="23">
        <f t="shared" si="53"/>
        <v>1.01</v>
      </c>
      <c r="D316" s="2966" t="s">
        <v>3709</v>
      </c>
      <c r="E316" s="23">
        <f t="shared" si="54"/>
        <v>1.02</v>
      </c>
      <c r="F316" s="2966" t="s">
        <v>3691</v>
      </c>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ca="1" si="61"/>
        <v>8147</v>
      </c>
      <c r="S316" s="361">
        <f t="shared" ca="1" si="62"/>
        <v>43</v>
      </c>
    </row>
    <row r="317" spans="1:19">
      <c r="A317" s="159" t="str">
        <f>'数据-基础表'!C306</f>
        <v>7-2307</v>
      </c>
      <c r="B317" s="58">
        <f>'数据-基础表'!I306</f>
        <v>52.17</v>
      </c>
      <c r="C317" s="23">
        <f t="shared" si="53"/>
        <v>1.01</v>
      </c>
      <c r="D317" s="2966" t="s">
        <v>3709</v>
      </c>
      <c r="E317" s="23">
        <f t="shared" si="54"/>
        <v>1.02</v>
      </c>
      <c r="F317" s="2966" t="s">
        <v>3691</v>
      </c>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ca="1" si="61"/>
        <v>8147</v>
      </c>
      <c r="S317" s="361">
        <f t="shared" ca="1" si="62"/>
        <v>43</v>
      </c>
    </row>
    <row r="318" spans="1:19">
      <c r="A318" s="159" t="str">
        <f>'数据-基础表'!C307</f>
        <v>7-2308</v>
      </c>
      <c r="B318" s="58">
        <f>'数据-基础表'!I307</f>
        <v>52.17</v>
      </c>
      <c r="C318" s="23">
        <f t="shared" si="53"/>
        <v>1.01</v>
      </c>
      <c r="D318" s="2966" t="s">
        <v>3709</v>
      </c>
      <c r="E318" s="23">
        <f t="shared" si="54"/>
        <v>1.02</v>
      </c>
      <c r="F318" s="2966" t="s">
        <v>3691</v>
      </c>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ca="1" si="61"/>
        <v>8147</v>
      </c>
      <c r="S318" s="361">
        <f t="shared" ca="1" si="62"/>
        <v>43</v>
      </c>
    </row>
    <row r="319" spans="1:19">
      <c r="A319" s="159" t="str">
        <f>'数据-基础表'!C308</f>
        <v>7-2309</v>
      </c>
      <c r="B319" s="58">
        <f>'数据-基础表'!I308</f>
        <v>52.17</v>
      </c>
      <c r="C319" s="23">
        <f t="shared" si="53"/>
        <v>1.01</v>
      </c>
      <c r="D319" s="2966" t="s">
        <v>3709</v>
      </c>
      <c r="E319" s="23">
        <f t="shared" si="54"/>
        <v>1.02</v>
      </c>
      <c r="F319" s="2966" t="s">
        <v>3691</v>
      </c>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ca="1" si="61"/>
        <v>8147</v>
      </c>
      <c r="S319" s="361">
        <f t="shared" ca="1" si="62"/>
        <v>43</v>
      </c>
    </row>
    <row r="320" spans="1:19">
      <c r="A320" s="159" t="str">
        <f>'数据-基础表'!C309</f>
        <v>7-2310</v>
      </c>
      <c r="B320" s="58">
        <f>'数据-基础表'!I309</f>
        <v>52.17</v>
      </c>
      <c r="C320" s="23">
        <f t="shared" si="53"/>
        <v>1.01</v>
      </c>
      <c r="D320" s="2966" t="s">
        <v>3709</v>
      </c>
      <c r="E320" s="23">
        <f t="shared" si="54"/>
        <v>1.02</v>
      </c>
      <c r="F320" s="2966" t="s">
        <v>3691</v>
      </c>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ca="1" si="61"/>
        <v>8147</v>
      </c>
      <c r="S320" s="361">
        <f t="shared" ca="1" si="62"/>
        <v>43</v>
      </c>
    </row>
    <row r="321" spans="1:19">
      <c r="A321" s="159" t="str">
        <f>'数据-基础表'!C310</f>
        <v>7-2311</v>
      </c>
      <c r="B321" s="58">
        <f>'数据-基础表'!I310</f>
        <v>52.17</v>
      </c>
      <c r="C321" s="23">
        <f t="shared" si="53"/>
        <v>1.01</v>
      </c>
      <c r="D321" s="2966" t="s">
        <v>3709</v>
      </c>
      <c r="E321" s="23">
        <f t="shared" si="54"/>
        <v>1.02</v>
      </c>
      <c r="F321" s="2966" t="s">
        <v>3691</v>
      </c>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ca="1" si="61"/>
        <v>8147</v>
      </c>
      <c r="S321" s="361">
        <f t="shared" ref="S321:S384" ca="1" si="63">ROUND(R321*B321/10000,0)</f>
        <v>43</v>
      </c>
    </row>
    <row r="322" spans="1:19">
      <c r="A322" s="159" t="str">
        <f>'数据-基础表'!C311</f>
        <v>7-2312</v>
      </c>
      <c r="B322" s="58">
        <f>'数据-基础表'!I311</f>
        <v>80.73</v>
      </c>
      <c r="C322" s="23">
        <f t="shared" si="53"/>
        <v>1</v>
      </c>
      <c r="D322" s="2966" t="s">
        <v>3709</v>
      </c>
      <c r="E322" s="23">
        <f t="shared" si="54"/>
        <v>1.02</v>
      </c>
      <c r="F322" s="2966" t="s">
        <v>3691</v>
      </c>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ca="1" si="61"/>
        <v>8066</v>
      </c>
      <c r="S322" s="361">
        <f t="shared" ca="1" si="63"/>
        <v>65</v>
      </c>
    </row>
    <row r="323" spans="1:19">
      <c r="A323" s="159" t="str">
        <f>'数据-基础表'!C312</f>
        <v>7-2313</v>
      </c>
      <c r="B323" s="58">
        <f>'数据-基础表'!I312</f>
        <v>67.36</v>
      </c>
      <c r="C323" s="23">
        <f t="shared" si="53"/>
        <v>1</v>
      </c>
      <c r="D323" s="2966" t="s">
        <v>3709</v>
      </c>
      <c r="E323" s="23">
        <f t="shared" si="54"/>
        <v>1.02</v>
      </c>
      <c r="F323" s="2966" t="s">
        <v>3691</v>
      </c>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ca="1" si="61"/>
        <v>8066</v>
      </c>
      <c r="S323" s="361">
        <f t="shared" ca="1" si="63"/>
        <v>54</v>
      </c>
    </row>
    <row r="324" spans="1:19">
      <c r="A324" s="159" t="str">
        <f>'数据-基础表'!C313</f>
        <v>7-2314</v>
      </c>
      <c r="B324" s="58">
        <f>'数据-基础表'!I313</f>
        <v>67.36</v>
      </c>
      <c r="C324" s="23">
        <f t="shared" si="53"/>
        <v>1</v>
      </c>
      <c r="D324" s="2966" t="s">
        <v>3709</v>
      </c>
      <c r="E324" s="23">
        <f t="shared" si="54"/>
        <v>1.02</v>
      </c>
      <c r="F324" s="2966" t="s">
        <v>3691</v>
      </c>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ca="1" si="61"/>
        <v>8066</v>
      </c>
      <c r="S324" s="361">
        <f t="shared" ca="1" si="63"/>
        <v>54</v>
      </c>
    </row>
    <row r="325" spans="1:19">
      <c r="A325" s="159" t="str">
        <f>'数据-基础表'!C314</f>
        <v>7-2315</v>
      </c>
      <c r="B325" s="58">
        <f>'数据-基础表'!I314</f>
        <v>80.73</v>
      </c>
      <c r="C325" s="23">
        <f t="shared" si="53"/>
        <v>1</v>
      </c>
      <c r="D325" s="2966" t="s">
        <v>3709</v>
      </c>
      <c r="E325" s="23">
        <f t="shared" si="54"/>
        <v>1.02</v>
      </c>
      <c r="F325" s="2966" t="s">
        <v>3691</v>
      </c>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ca="1" si="61"/>
        <v>8066</v>
      </c>
      <c r="S325" s="361">
        <f t="shared" ca="1" si="63"/>
        <v>65</v>
      </c>
    </row>
    <row r="326" spans="1:19">
      <c r="A326" s="159" t="str">
        <f>'数据-基础表'!C315</f>
        <v>7-2316</v>
      </c>
      <c r="B326" s="58">
        <f>'数据-基础表'!I315</f>
        <v>52.17</v>
      </c>
      <c r="C326" s="23">
        <f t="shared" si="53"/>
        <v>1.01</v>
      </c>
      <c r="D326" s="2966" t="s">
        <v>3709</v>
      </c>
      <c r="E326" s="23">
        <f t="shared" si="54"/>
        <v>1.02</v>
      </c>
      <c r="F326" s="2966" t="s">
        <v>3691</v>
      </c>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ca="1" si="61"/>
        <v>8147</v>
      </c>
      <c r="S326" s="361">
        <f t="shared" ca="1" si="63"/>
        <v>43</v>
      </c>
    </row>
    <row r="327" spans="1:19">
      <c r="A327" s="159" t="str">
        <f>'数据-基础表'!C316</f>
        <v>7-2317</v>
      </c>
      <c r="B327" s="58">
        <f>'数据-基础表'!I316</f>
        <v>52.17</v>
      </c>
      <c r="C327" s="23">
        <f t="shared" si="53"/>
        <v>1.01</v>
      </c>
      <c r="D327" s="2966" t="s">
        <v>3709</v>
      </c>
      <c r="E327" s="23">
        <f t="shared" si="54"/>
        <v>1.02</v>
      </c>
      <c r="F327" s="2966" t="s">
        <v>3691</v>
      </c>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ca="1" si="61"/>
        <v>8147</v>
      </c>
      <c r="S327" s="361">
        <f t="shared" ca="1" si="63"/>
        <v>43</v>
      </c>
    </row>
    <row r="328" spans="1:19">
      <c r="A328" s="159" t="str">
        <f>'数据-基础表'!C317</f>
        <v>7-2318</v>
      </c>
      <c r="B328" s="58">
        <f>'数据-基础表'!I317</f>
        <v>52.17</v>
      </c>
      <c r="C328" s="23">
        <f t="shared" si="53"/>
        <v>1.01</v>
      </c>
      <c r="D328" s="2966" t="s">
        <v>3709</v>
      </c>
      <c r="E328" s="23">
        <f t="shared" si="54"/>
        <v>1.02</v>
      </c>
      <c r="F328" s="2966" t="s">
        <v>3691</v>
      </c>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ca="1" si="61"/>
        <v>8147</v>
      </c>
      <c r="S328" s="361">
        <f t="shared" ca="1" si="63"/>
        <v>43</v>
      </c>
    </row>
    <row r="329" spans="1:19">
      <c r="A329" s="159" t="str">
        <f>'数据-基础表'!C318</f>
        <v>7-2319</v>
      </c>
      <c r="B329" s="58">
        <f>'数据-基础表'!I318</f>
        <v>52.17</v>
      </c>
      <c r="C329" s="23">
        <f t="shared" si="53"/>
        <v>1.01</v>
      </c>
      <c r="D329" s="2966" t="s">
        <v>3709</v>
      </c>
      <c r="E329" s="23">
        <f t="shared" si="54"/>
        <v>1.02</v>
      </c>
      <c r="F329" s="2966" t="s">
        <v>3691</v>
      </c>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ca="1" si="61"/>
        <v>8147</v>
      </c>
      <c r="S329" s="361">
        <f t="shared" ca="1" si="63"/>
        <v>43</v>
      </c>
    </row>
    <row r="330" spans="1:19">
      <c r="A330" s="159" t="str">
        <f>'数据-基础表'!C319</f>
        <v>7-2320</v>
      </c>
      <c r="B330" s="58">
        <f>'数据-基础表'!I319</f>
        <v>52.17</v>
      </c>
      <c r="C330" s="23">
        <f t="shared" si="53"/>
        <v>1.01</v>
      </c>
      <c r="D330" s="2966" t="s">
        <v>3709</v>
      </c>
      <c r="E330" s="23">
        <f t="shared" si="54"/>
        <v>1.02</v>
      </c>
      <c r="F330" s="2966" t="s">
        <v>3691</v>
      </c>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ca="1" si="61"/>
        <v>8147</v>
      </c>
      <c r="S330" s="361">
        <f t="shared" ca="1" si="63"/>
        <v>43</v>
      </c>
    </row>
    <row r="331" spans="1:19">
      <c r="A331" s="159" t="str">
        <f>'数据-基础表'!C320</f>
        <v>7-2321</v>
      </c>
      <c r="B331" s="58">
        <f>'数据-基础表'!I320</f>
        <v>52.17</v>
      </c>
      <c r="C331" s="23">
        <f t="shared" si="53"/>
        <v>1.01</v>
      </c>
      <c r="D331" s="2966" t="s">
        <v>3709</v>
      </c>
      <c r="E331" s="23">
        <f t="shared" si="54"/>
        <v>1.02</v>
      </c>
      <c r="F331" s="2966" t="s">
        <v>3691</v>
      </c>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ca="1" si="61"/>
        <v>8147</v>
      </c>
      <c r="S331" s="361">
        <f t="shared" ca="1" si="63"/>
        <v>43</v>
      </c>
    </row>
    <row r="332" spans="1:19">
      <c r="A332" s="159" t="str">
        <f>'数据-基础表'!C321</f>
        <v>7-2322</v>
      </c>
      <c r="B332" s="58">
        <f>'数据-基础表'!I321</f>
        <v>52.17</v>
      </c>
      <c r="C332" s="23">
        <f t="shared" si="53"/>
        <v>1.01</v>
      </c>
      <c r="D332" s="2966" t="s">
        <v>3709</v>
      </c>
      <c r="E332" s="23">
        <f t="shared" si="54"/>
        <v>1.02</v>
      </c>
      <c r="F332" s="2966" t="s">
        <v>3691</v>
      </c>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ca="1" si="61"/>
        <v>8147</v>
      </c>
      <c r="S332" s="361">
        <f t="shared" ca="1" si="63"/>
        <v>43</v>
      </c>
    </row>
    <row r="333" spans="1:19">
      <c r="A333" s="159" t="str">
        <f>'数据-基础表'!C322</f>
        <v>7-2323</v>
      </c>
      <c r="B333" s="58">
        <f>'数据-基础表'!I322</f>
        <v>52.17</v>
      </c>
      <c r="C333" s="23">
        <f t="shared" si="53"/>
        <v>1.01</v>
      </c>
      <c r="D333" s="2966" t="s">
        <v>3709</v>
      </c>
      <c r="E333" s="23">
        <f t="shared" si="54"/>
        <v>1.02</v>
      </c>
      <c r="F333" s="2966" t="s">
        <v>3691</v>
      </c>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ca="1" si="61"/>
        <v>8147</v>
      </c>
      <c r="S333" s="361">
        <f t="shared" ca="1" si="63"/>
        <v>43</v>
      </c>
    </row>
    <row r="334" spans="1:19">
      <c r="A334" s="159" t="str">
        <f>'数据-基础表'!C323</f>
        <v>7-2324</v>
      </c>
      <c r="B334" s="58">
        <f>'数据-基础表'!I323</f>
        <v>52.17</v>
      </c>
      <c r="C334" s="23">
        <f t="shared" si="53"/>
        <v>1.01</v>
      </c>
      <c r="D334" s="2966" t="s">
        <v>3709</v>
      </c>
      <c r="E334" s="23">
        <f t="shared" si="54"/>
        <v>1.02</v>
      </c>
      <c r="F334" s="2966" t="s">
        <v>3691</v>
      </c>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ca="1" si="61"/>
        <v>8147</v>
      </c>
      <c r="S334" s="361">
        <f t="shared" ca="1" si="63"/>
        <v>43</v>
      </c>
    </row>
    <row r="335" spans="1:19">
      <c r="A335" s="159" t="str">
        <f>'数据-基础表'!C324</f>
        <v>7-2325</v>
      </c>
      <c r="B335" s="58">
        <f>'数据-基础表'!I324</f>
        <v>52.17</v>
      </c>
      <c r="C335" s="23">
        <f t="shared" si="53"/>
        <v>1.01</v>
      </c>
      <c r="D335" s="2966" t="s">
        <v>3709</v>
      </c>
      <c r="E335" s="23">
        <f t="shared" si="54"/>
        <v>1.02</v>
      </c>
      <c r="F335" s="2966" t="s">
        <v>3691</v>
      </c>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ca="1" si="61"/>
        <v>8147</v>
      </c>
      <c r="S335" s="361">
        <f t="shared" ca="1" si="63"/>
        <v>43</v>
      </c>
    </row>
    <row r="336" spans="1:19">
      <c r="A336" s="159" t="str">
        <f>'数据-基础表'!C325</f>
        <v>7-2326</v>
      </c>
      <c r="B336" s="58">
        <f>'数据-基础表'!I325</f>
        <v>80.73</v>
      </c>
      <c r="C336" s="23">
        <f t="shared" si="53"/>
        <v>1</v>
      </c>
      <c r="D336" s="2966" t="s">
        <v>3709</v>
      </c>
      <c r="E336" s="23">
        <f t="shared" si="54"/>
        <v>1.02</v>
      </c>
      <c r="F336" s="2966" t="s">
        <v>3691</v>
      </c>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ca="1" si="61"/>
        <v>8066</v>
      </c>
      <c r="S336" s="361">
        <f t="shared" ca="1" si="63"/>
        <v>65</v>
      </c>
    </row>
    <row r="337" spans="1:19">
      <c r="A337" s="159" t="str">
        <f>'数据-基础表'!C326</f>
        <v>7-2327</v>
      </c>
      <c r="B337" s="58">
        <f>'数据-基础表'!I326</f>
        <v>93.08</v>
      </c>
      <c r="C337" s="23">
        <f t="shared" si="53"/>
        <v>1</v>
      </c>
      <c r="D337" s="2966" t="s">
        <v>3709</v>
      </c>
      <c r="E337" s="23">
        <f t="shared" si="54"/>
        <v>1.02</v>
      </c>
      <c r="F337" s="2966" t="s">
        <v>3691</v>
      </c>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ca="1" si="61"/>
        <v>8066</v>
      </c>
      <c r="S337" s="361">
        <f t="shared" ca="1" si="63"/>
        <v>75</v>
      </c>
    </row>
    <row r="338" spans="1:19">
      <c r="A338" s="159" t="str">
        <f>'数据-基础表'!C327</f>
        <v>7-2328</v>
      </c>
      <c r="B338" s="58">
        <f>'数据-基础表'!I327</f>
        <v>93.08</v>
      </c>
      <c r="C338" s="23">
        <f t="shared" si="53"/>
        <v>1</v>
      </c>
      <c r="D338" s="2966" t="s">
        <v>3709</v>
      </c>
      <c r="E338" s="23">
        <f t="shared" si="54"/>
        <v>1.02</v>
      </c>
      <c r="F338" s="2966" t="s">
        <v>3691</v>
      </c>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ca="1" si="61"/>
        <v>8066</v>
      </c>
      <c r="S338" s="361">
        <f t="shared" ca="1" si="63"/>
        <v>75</v>
      </c>
    </row>
    <row r="339" spans="1:19">
      <c r="A339" s="159" t="str">
        <f>'数据-基础表'!C328</f>
        <v>7-2401</v>
      </c>
      <c r="B339" s="58">
        <f>'数据-基础表'!I328</f>
        <v>80.73</v>
      </c>
      <c r="C339" s="23">
        <f t="shared" si="53"/>
        <v>1</v>
      </c>
      <c r="D339" s="2966" t="s">
        <v>3709</v>
      </c>
      <c r="E339" s="23">
        <f t="shared" si="54"/>
        <v>1.02</v>
      </c>
      <c r="F339" s="2966" t="s">
        <v>3691</v>
      </c>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ca="1" si="61"/>
        <v>8066</v>
      </c>
      <c r="S339" s="361">
        <f t="shared" ca="1" si="63"/>
        <v>65</v>
      </c>
    </row>
    <row r="340" spans="1:19">
      <c r="A340" s="159" t="str">
        <f>'数据-基础表'!C329</f>
        <v>7-2402</v>
      </c>
      <c r="B340" s="58">
        <f>'数据-基础表'!I329</f>
        <v>52.17</v>
      </c>
      <c r="C340" s="23">
        <f t="shared" si="53"/>
        <v>1.01</v>
      </c>
      <c r="D340" s="2966" t="s">
        <v>3709</v>
      </c>
      <c r="E340" s="23">
        <f t="shared" si="54"/>
        <v>1.02</v>
      </c>
      <c r="F340" s="2966" t="s">
        <v>3691</v>
      </c>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ca="1" si="61"/>
        <v>8147</v>
      </c>
      <c r="S340" s="361">
        <f t="shared" ca="1" si="63"/>
        <v>43</v>
      </c>
    </row>
    <row r="341" spans="1:19">
      <c r="A341" s="159" t="str">
        <f>'数据-基础表'!C330</f>
        <v>7-2403</v>
      </c>
      <c r="B341" s="58">
        <f>'数据-基础表'!I330</f>
        <v>52.17</v>
      </c>
      <c r="C341" s="23">
        <f t="shared" si="53"/>
        <v>1.01</v>
      </c>
      <c r="D341" s="2966" t="s">
        <v>3709</v>
      </c>
      <c r="E341" s="23">
        <f t="shared" si="54"/>
        <v>1.02</v>
      </c>
      <c r="F341" s="2966" t="s">
        <v>3691</v>
      </c>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ca="1" si="61"/>
        <v>8147</v>
      </c>
      <c r="S341" s="361">
        <f t="shared" ca="1" si="63"/>
        <v>43</v>
      </c>
    </row>
    <row r="342" spans="1:19">
      <c r="A342" s="159" t="str">
        <f>'数据-基础表'!C331</f>
        <v>7-2404</v>
      </c>
      <c r="B342" s="58">
        <f>'数据-基础表'!I331</f>
        <v>52.17</v>
      </c>
      <c r="C342" s="23">
        <f t="shared" si="53"/>
        <v>1.01</v>
      </c>
      <c r="D342" s="2966" t="s">
        <v>3709</v>
      </c>
      <c r="E342" s="23">
        <f t="shared" si="54"/>
        <v>1.02</v>
      </c>
      <c r="F342" s="2966" t="s">
        <v>3691</v>
      </c>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ca="1" si="61"/>
        <v>8147</v>
      </c>
      <c r="S342" s="361">
        <f t="shared" ca="1" si="63"/>
        <v>43</v>
      </c>
    </row>
    <row r="343" spans="1:19">
      <c r="A343" s="159" t="str">
        <f>'数据-基础表'!C332</f>
        <v>7-2405</v>
      </c>
      <c r="B343" s="58">
        <f>'数据-基础表'!I332</f>
        <v>52.17</v>
      </c>
      <c r="C343" s="23">
        <f t="shared" si="53"/>
        <v>1.01</v>
      </c>
      <c r="D343" s="2966" t="s">
        <v>3709</v>
      </c>
      <c r="E343" s="23">
        <f t="shared" si="54"/>
        <v>1.02</v>
      </c>
      <c r="F343" s="2966" t="s">
        <v>3691</v>
      </c>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ca="1" si="61"/>
        <v>8147</v>
      </c>
      <c r="S343" s="361">
        <f t="shared" ca="1" si="63"/>
        <v>43</v>
      </c>
    </row>
    <row r="344" spans="1:19">
      <c r="A344" s="159" t="str">
        <f>'数据-基础表'!C333</f>
        <v>7-2406</v>
      </c>
      <c r="B344" s="58">
        <f>'数据-基础表'!I333</f>
        <v>52.17</v>
      </c>
      <c r="C344" s="23">
        <f t="shared" si="53"/>
        <v>1.01</v>
      </c>
      <c r="D344" s="2966" t="s">
        <v>3709</v>
      </c>
      <c r="E344" s="23">
        <f t="shared" si="54"/>
        <v>1.02</v>
      </c>
      <c r="F344" s="2966" t="s">
        <v>3691</v>
      </c>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ca="1" si="61"/>
        <v>8147</v>
      </c>
      <c r="S344" s="361">
        <f t="shared" ca="1" si="63"/>
        <v>43</v>
      </c>
    </row>
    <row r="345" spans="1:19">
      <c r="A345" s="159" t="str">
        <f>'数据-基础表'!C334</f>
        <v>7-2407</v>
      </c>
      <c r="B345" s="58">
        <f>'数据-基础表'!I334</f>
        <v>52.17</v>
      </c>
      <c r="C345" s="23">
        <f t="shared" si="53"/>
        <v>1.01</v>
      </c>
      <c r="D345" s="2966" t="s">
        <v>3709</v>
      </c>
      <c r="E345" s="23">
        <f t="shared" si="54"/>
        <v>1.02</v>
      </c>
      <c r="F345" s="2966" t="s">
        <v>3691</v>
      </c>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ca="1" si="61"/>
        <v>8147</v>
      </c>
      <c r="S345" s="361">
        <f t="shared" ca="1" si="63"/>
        <v>43</v>
      </c>
    </row>
    <row r="346" spans="1:19">
      <c r="A346" s="159" t="str">
        <f>'数据-基础表'!C335</f>
        <v>7-2408</v>
      </c>
      <c r="B346" s="58">
        <f>'数据-基础表'!I335</f>
        <v>52.17</v>
      </c>
      <c r="C346" s="23">
        <f t="shared" ref="C346:C409" si="64">IF(B346="",1,(LOOKUP(B346,$3:$3,$4:$4)-LOOKUP($B$24,$3:$3,$4:$4)+100)/100)</f>
        <v>1.01</v>
      </c>
      <c r="D346" s="2966" t="s">
        <v>3709</v>
      </c>
      <c r="E346" s="23">
        <f t="shared" ref="E346:E409" si="65">(SUMIF($5:$5,D346,$6:$6)-SUMIF($5:$5,$D$24,$6:$6)+100)/100</f>
        <v>1.02</v>
      </c>
      <c r="F346" s="2966" t="s">
        <v>3691</v>
      </c>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ca="1" si="72">IF(B346="",0,ROUND($R$24*C346*E346*G346*I346*K346*M346*O346*Q346,0))</f>
        <v>8147</v>
      </c>
      <c r="S346" s="361">
        <f t="shared" ca="1" si="63"/>
        <v>43</v>
      </c>
    </row>
    <row r="347" spans="1:19">
      <c r="A347" s="159" t="str">
        <f>'数据-基础表'!C336</f>
        <v>7-2409</v>
      </c>
      <c r="B347" s="58">
        <f>'数据-基础表'!I336</f>
        <v>52.17</v>
      </c>
      <c r="C347" s="23">
        <f t="shared" si="64"/>
        <v>1.01</v>
      </c>
      <c r="D347" s="2966" t="s">
        <v>3709</v>
      </c>
      <c r="E347" s="23">
        <f t="shared" si="65"/>
        <v>1.02</v>
      </c>
      <c r="F347" s="2966" t="s">
        <v>3691</v>
      </c>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ca="1" si="72"/>
        <v>8147</v>
      </c>
      <c r="S347" s="361">
        <f t="shared" ca="1" si="63"/>
        <v>43</v>
      </c>
    </row>
    <row r="348" spans="1:19">
      <c r="A348" s="159" t="str">
        <f>'数据-基础表'!C337</f>
        <v>7-2410</v>
      </c>
      <c r="B348" s="58">
        <f>'数据-基础表'!I337</f>
        <v>52.17</v>
      </c>
      <c r="C348" s="23">
        <f t="shared" si="64"/>
        <v>1.01</v>
      </c>
      <c r="D348" s="2966" t="s">
        <v>3709</v>
      </c>
      <c r="E348" s="23">
        <f t="shared" si="65"/>
        <v>1.02</v>
      </c>
      <c r="F348" s="2966" t="s">
        <v>3691</v>
      </c>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ca="1" si="72"/>
        <v>8147</v>
      </c>
      <c r="S348" s="361">
        <f t="shared" ca="1" si="63"/>
        <v>43</v>
      </c>
    </row>
    <row r="349" spans="1:19">
      <c r="A349" s="159" t="str">
        <f>'数据-基础表'!C338</f>
        <v>7-2411</v>
      </c>
      <c r="B349" s="58">
        <f>'数据-基础表'!I338</f>
        <v>52.17</v>
      </c>
      <c r="C349" s="23">
        <f t="shared" si="64"/>
        <v>1.01</v>
      </c>
      <c r="D349" s="2966" t="s">
        <v>3709</v>
      </c>
      <c r="E349" s="23">
        <f t="shared" si="65"/>
        <v>1.02</v>
      </c>
      <c r="F349" s="2966" t="s">
        <v>3691</v>
      </c>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ca="1" si="72"/>
        <v>8147</v>
      </c>
      <c r="S349" s="361">
        <f t="shared" ca="1" si="63"/>
        <v>43</v>
      </c>
    </row>
    <row r="350" spans="1:19">
      <c r="A350" s="159" t="str">
        <f>'数据-基础表'!C339</f>
        <v>7-2412</v>
      </c>
      <c r="B350" s="58">
        <f>'数据-基础表'!I339</f>
        <v>80.73</v>
      </c>
      <c r="C350" s="23">
        <f t="shared" si="64"/>
        <v>1</v>
      </c>
      <c r="D350" s="2966" t="s">
        <v>3709</v>
      </c>
      <c r="E350" s="23">
        <f t="shared" si="65"/>
        <v>1.02</v>
      </c>
      <c r="F350" s="2966" t="s">
        <v>3691</v>
      </c>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ca="1" si="72"/>
        <v>8066</v>
      </c>
      <c r="S350" s="361">
        <f t="shared" ca="1" si="63"/>
        <v>65</v>
      </c>
    </row>
    <row r="351" spans="1:19">
      <c r="A351" s="159" t="str">
        <f>'数据-基础表'!C340</f>
        <v>7-2413</v>
      </c>
      <c r="B351" s="58">
        <f>'数据-基础表'!I340</f>
        <v>67.36</v>
      </c>
      <c r="C351" s="23">
        <f t="shared" si="64"/>
        <v>1</v>
      </c>
      <c r="D351" s="2966" t="s">
        <v>3709</v>
      </c>
      <c r="E351" s="23">
        <f t="shared" si="65"/>
        <v>1.02</v>
      </c>
      <c r="F351" s="2966" t="s">
        <v>3691</v>
      </c>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ca="1" si="72"/>
        <v>8066</v>
      </c>
      <c r="S351" s="361">
        <f t="shared" ca="1" si="63"/>
        <v>54</v>
      </c>
    </row>
    <row r="352" spans="1:19">
      <c r="A352" s="159" t="str">
        <f>'数据-基础表'!C341</f>
        <v>7-2414</v>
      </c>
      <c r="B352" s="58">
        <f>'数据-基础表'!I341</f>
        <v>67.36</v>
      </c>
      <c r="C352" s="23">
        <f t="shared" si="64"/>
        <v>1</v>
      </c>
      <c r="D352" s="2966" t="s">
        <v>3709</v>
      </c>
      <c r="E352" s="23">
        <f t="shared" si="65"/>
        <v>1.02</v>
      </c>
      <c r="F352" s="2966" t="s">
        <v>3691</v>
      </c>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ca="1" si="72"/>
        <v>8066</v>
      </c>
      <c r="S352" s="361">
        <f t="shared" ca="1" si="63"/>
        <v>54</v>
      </c>
    </row>
    <row r="353" spans="1:19">
      <c r="A353" s="159" t="str">
        <f>'数据-基础表'!C342</f>
        <v>7-2415</v>
      </c>
      <c r="B353" s="58">
        <f>'数据-基础表'!I342</f>
        <v>80.73</v>
      </c>
      <c r="C353" s="23">
        <f t="shared" si="64"/>
        <v>1</v>
      </c>
      <c r="D353" s="2966" t="s">
        <v>3709</v>
      </c>
      <c r="E353" s="23">
        <f t="shared" si="65"/>
        <v>1.02</v>
      </c>
      <c r="F353" s="2966" t="s">
        <v>3691</v>
      </c>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ca="1" si="72"/>
        <v>8066</v>
      </c>
      <c r="S353" s="361">
        <f t="shared" ca="1" si="63"/>
        <v>65</v>
      </c>
    </row>
    <row r="354" spans="1:19">
      <c r="A354" s="159" t="str">
        <f>'数据-基础表'!C343</f>
        <v>7-2416</v>
      </c>
      <c r="B354" s="58">
        <f>'数据-基础表'!I343</f>
        <v>52.17</v>
      </c>
      <c r="C354" s="23">
        <f t="shared" si="64"/>
        <v>1.01</v>
      </c>
      <c r="D354" s="2966" t="s">
        <v>3709</v>
      </c>
      <c r="E354" s="23">
        <f t="shared" si="65"/>
        <v>1.02</v>
      </c>
      <c r="F354" s="2966" t="s">
        <v>3691</v>
      </c>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ca="1" si="72"/>
        <v>8147</v>
      </c>
      <c r="S354" s="361">
        <f t="shared" ca="1" si="63"/>
        <v>43</v>
      </c>
    </row>
    <row r="355" spans="1:19">
      <c r="A355" s="159" t="str">
        <f>'数据-基础表'!C344</f>
        <v>7-2417</v>
      </c>
      <c r="B355" s="58">
        <f>'数据-基础表'!I344</f>
        <v>52.17</v>
      </c>
      <c r="C355" s="23">
        <f t="shared" si="64"/>
        <v>1.01</v>
      </c>
      <c r="D355" s="2966" t="s">
        <v>3709</v>
      </c>
      <c r="E355" s="23">
        <f t="shared" si="65"/>
        <v>1.02</v>
      </c>
      <c r="F355" s="2966" t="s">
        <v>3691</v>
      </c>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ca="1" si="72"/>
        <v>8147</v>
      </c>
      <c r="S355" s="361">
        <f t="shared" ca="1" si="63"/>
        <v>43</v>
      </c>
    </row>
    <row r="356" spans="1:19">
      <c r="A356" s="159" t="str">
        <f>'数据-基础表'!C345</f>
        <v>7-2418</v>
      </c>
      <c r="B356" s="58">
        <f>'数据-基础表'!I345</f>
        <v>52.17</v>
      </c>
      <c r="C356" s="23">
        <f t="shared" si="64"/>
        <v>1.01</v>
      </c>
      <c r="D356" s="2966" t="s">
        <v>3709</v>
      </c>
      <c r="E356" s="23">
        <f t="shared" si="65"/>
        <v>1.02</v>
      </c>
      <c r="F356" s="2966" t="s">
        <v>3691</v>
      </c>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ca="1" si="72"/>
        <v>8147</v>
      </c>
      <c r="S356" s="361">
        <f t="shared" ca="1" si="63"/>
        <v>43</v>
      </c>
    </row>
    <row r="357" spans="1:19">
      <c r="A357" s="159" t="str">
        <f>'数据-基础表'!C346</f>
        <v>7-2419</v>
      </c>
      <c r="B357" s="58">
        <f>'数据-基础表'!I346</f>
        <v>52.17</v>
      </c>
      <c r="C357" s="23">
        <f t="shared" si="64"/>
        <v>1.01</v>
      </c>
      <c r="D357" s="2966" t="s">
        <v>3709</v>
      </c>
      <c r="E357" s="23">
        <f t="shared" si="65"/>
        <v>1.02</v>
      </c>
      <c r="F357" s="2966" t="s">
        <v>3691</v>
      </c>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ca="1" si="72"/>
        <v>8147</v>
      </c>
      <c r="S357" s="361">
        <f t="shared" ca="1" si="63"/>
        <v>43</v>
      </c>
    </row>
    <row r="358" spans="1:19">
      <c r="A358" s="159" t="str">
        <f>'数据-基础表'!C347</f>
        <v>7-2420</v>
      </c>
      <c r="B358" s="58">
        <f>'数据-基础表'!I347</f>
        <v>52.17</v>
      </c>
      <c r="C358" s="23">
        <f t="shared" si="64"/>
        <v>1.01</v>
      </c>
      <c r="D358" s="2966" t="s">
        <v>3709</v>
      </c>
      <c r="E358" s="23">
        <f t="shared" si="65"/>
        <v>1.02</v>
      </c>
      <c r="F358" s="2966" t="s">
        <v>3691</v>
      </c>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ca="1" si="72"/>
        <v>8147</v>
      </c>
      <c r="S358" s="361">
        <f t="shared" ca="1" si="63"/>
        <v>43</v>
      </c>
    </row>
    <row r="359" spans="1:19">
      <c r="A359" s="159" t="str">
        <f>'数据-基础表'!C348</f>
        <v>7-2421</v>
      </c>
      <c r="B359" s="58">
        <f>'数据-基础表'!I348</f>
        <v>52.17</v>
      </c>
      <c r="C359" s="23">
        <f t="shared" si="64"/>
        <v>1.01</v>
      </c>
      <c r="D359" s="2966" t="s">
        <v>3709</v>
      </c>
      <c r="E359" s="23">
        <f t="shared" si="65"/>
        <v>1.02</v>
      </c>
      <c r="F359" s="2966" t="s">
        <v>3691</v>
      </c>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ca="1" si="72"/>
        <v>8147</v>
      </c>
      <c r="S359" s="361">
        <f t="shared" ca="1" si="63"/>
        <v>43</v>
      </c>
    </row>
    <row r="360" spans="1:19">
      <c r="A360" s="159" t="str">
        <f>'数据-基础表'!C349</f>
        <v>7-2422</v>
      </c>
      <c r="B360" s="58">
        <f>'数据-基础表'!I349</f>
        <v>52.17</v>
      </c>
      <c r="C360" s="23">
        <f t="shared" si="64"/>
        <v>1.01</v>
      </c>
      <c r="D360" s="2966" t="s">
        <v>3709</v>
      </c>
      <c r="E360" s="23">
        <f t="shared" si="65"/>
        <v>1.02</v>
      </c>
      <c r="F360" s="2966" t="s">
        <v>3691</v>
      </c>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ca="1" si="72"/>
        <v>8147</v>
      </c>
      <c r="S360" s="361">
        <f t="shared" ca="1" si="63"/>
        <v>43</v>
      </c>
    </row>
    <row r="361" spans="1:19">
      <c r="A361" s="159" t="str">
        <f>'数据-基础表'!C350</f>
        <v>7-2423</v>
      </c>
      <c r="B361" s="58">
        <f>'数据-基础表'!I350</f>
        <v>52.17</v>
      </c>
      <c r="C361" s="23">
        <f t="shared" si="64"/>
        <v>1.01</v>
      </c>
      <c r="D361" s="2966" t="s">
        <v>3709</v>
      </c>
      <c r="E361" s="23">
        <f t="shared" si="65"/>
        <v>1.02</v>
      </c>
      <c r="F361" s="2966" t="s">
        <v>3691</v>
      </c>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ca="1" si="72"/>
        <v>8147</v>
      </c>
      <c r="S361" s="361">
        <f t="shared" ca="1" si="63"/>
        <v>43</v>
      </c>
    </row>
    <row r="362" spans="1:19">
      <c r="A362" s="159" t="str">
        <f>'数据-基础表'!C351</f>
        <v>7-2424</v>
      </c>
      <c r="B362" s="58">
        <f>'数据-基础表'!I351</f>
        <v>52.17</v>
      </c>
      <c r="C362" s="23">
        <f t="shared" si="64"/>
        <v>1.01</v>
      </c>
      <c r="D362" s="2966" t="s">
        <v>3709</v>
      </c>
      <c r="E362" s="23">
        <f t="shared" si="65"/>
        <v>1.02</v>
      </c>
      <c r="F362" s="2966" t="s">
        <v>3691</v>
      </c>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ca="1" si="72"/>
        <v>8147</v>
      </c>
      <c r="S362" s="361">
        <f t="shared" ca="1" si="63"/>
        <v>43</v>
      </c>
    </row>
    <row r="363" spans="1:19">
      <c r="A363" s="159" t="str">
        <f>'数据-基础表'!C352</f>
        <v>7-2425</v>
      </c>
      <c r="B363" s="58">
        <f>'数据-基础表'!I352</f>
        <v>52.17</v>
      </c>
      <c r="C363" s="23">
        <f t="shared" si="64"/>
        <v>1.01</v>
      </c>
      <c r="D363" s="2966" t="s">
        <v>3709</v>
      </c>
      <c r="E363" s="23">
        <f t="shared" si="65"/>
        <v>1.02</v>
      </c>
      <c r="F363" s="2966" t="s">
        <v>3691</v>
      </c>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ca="1" si="72"/>
        <v>8147</v>
      </c>
      <c r="S363" s="361">
        <f t="shared" ca="1" si="63"/>
        <v>43</v>
      </c>
    </row>
    <row r="364" spans="1:19">
      <c r="A364" s="159" t="str">
        <f>'数据-基础表'!C353</f>
        <v>7-2426</v>
      </c>
      <c r="B364" s="58">
        <f>'数据-基础表'!I353</f>
        <v>80.73</v>
      </c>
      <c r="C364" s="23">
        <f t="shared" si="64"/>
        <v>1</v>
      </c>
      <c r="D364" s="2966" t="s">
        <v>3709</v>
      </c>
      <c r="E364" s="23">
        <f t="shared" si="65"/>
        <v>1.02</v>
      </c>
      <c r="F364" s="2966" t="s">
        <v>3691</v>
      </c>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ca="1" si="72"/>
        <v>8066</v>
      </c>
      <c r="S364" s="361">
        <f t="shared" ca="1" si="63"/>
        <v>65</v>
      </c>
    </row>
    <row r="365" spans="1:19">
      <c r="A365" s="159" t="str">
        <f>'数据-基础表'!C354</f>
        <v>7-2427</v>
      </c>
      <c r="B365" s="58">
        <f>'数据-基础表'!I354</f>
        <v>93.08</v>
      </c>
      <c r="C365" s="23">
        <f t="shared" si="64"/>
        <v>1</v>
      </c>
      <c r="D365" s="2966" t="s">
        <v>3709</v>
      </c>
      <c r="E365" s="23">
        <f t="shared" si="65"/>
        <v>1.02</v>
      </c>
      <c r="F365" s="2966" t="s">
        <v>3691</v>
      </c>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ca="1" si="72"/>
        <v>8066</v>
      </c>
      <c r="S365" s="361">
        <f t="shared" ca="1" si="63"/>
        <v>75</v>
      </c>
    </row>
    <row r="366" spans="1:19">
      <c r="A366" s="159" t="str">
        <f>'数据-基础表'!C355</f>
        <v>7-2428</v>
      </c>
      <c r="B366" s="58">
        <f>'数据-基础表'!I355</f>
        <v>93.08</v>
      </c>
      <c r="C366" s="23">
        <f t="shared" si="64"/>
        <v>1</v>
      </c>
      <c r="D366" s="2966" t="s">
        <v>3709</v>
      </c>
      <c r="E366" s="23">
        <f t="shared" si="65"/>
        <v>1.02</v>
      </c>
      <c r="F366" s="2966" t="s">
        <v>3691</v>
      </c>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ca="1" si="72"/>
        <v>8066</v>
      </c>
      <c r="S366" s="361">
        <f t="shared" ca="1" si="63"/>
        <v>75</v>
      </c>
    </row>
    <row r="367" spans="1:19">
      <c r="A367" s="159" t="str">
        <f>'数据-基础表'!C356</f>
        <v>7-2501</v>
      </c>
      <c r="B367" s="58">
        <f>'数据-基础表'!I356</f>
        <v>80.73</v>
      </c>
      <c r="C367" s="23">
        <f t="shared" si="64"/>
        <v>1</v>
      </c>
      <c r="D367" s="2966" t="s">
        <v>3709</v>
      </c>
      <c r="E367" s="23">
        <f t="shared" si="65"/>
        <v>1.02</v>
      </c>
      <c r="F367" s="2966" t="s">
        <v>3691</v>
      </c>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ca="1" si="72"/>
        <v>8066</v>
      </c>
      <c r="S367" s="361">
        <f t="shared" ca="1" si="63"/>
        <v>65</v>
      </c>
    </row>
    <row r="368" spans="1:19">
      <c r="A368" s="159" t="str">
        <f>'数据-基础表'!C357</f>
        <v>7-2502</v>
      </c>
      <c r="B368" s="58">
        <f>'数据-基础表'!I357</f>
        <v>52.17</v>
      </c>
      <c r="C368" s="23">
        <f t="shared" si="64"/>
        <v>1.01</v>
      </c>
      <c r="D368" s="2966" t="s">
        <v>3709</v>
      </c>
      <c r="E368" s="23">
        <f t="shared" si="65"/>
        <v>1.02</v>
      </c>
      <c r="F368" s="2966" t="s">
        <v>3691</v>
      </c>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ca="1" si="72"/>
        <v>8147</v>
      </c>
      <c r="S368" s="361">
        <f t="shared" ca="1" si="63"/>
        <v>43</v>
      </c>
    </row>
    <row r="369" spans="1:19">
      <c r="A369" s="159" t="str">
        <f>'数据-基础表'!C358</f>
        <v>7-2503</v>
      </c>
      <c r="B369" s="58">
        <f>'数据-基础表'!I358</f>
        <v>52.17</v>
      </c>
      <c r="C369" s="23">
        <f t="shared" si="64"/>
        <v>1.01</v>
      </c>
      <c r="D369" s="2966" t="s">
        <v>3709</v>
      </c>
      <c r="E369" s="23">
        <f t="shared" si="65"/>
        <v>1.02</v>
      </c>
      <c r="F369" s="2966" t="s">
        <v>3691</v>
      </c>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ca="1" si="72"/>
        <v>8147</v>
      </c>
      <c r="S369" s="361">
        <f t="shared" ca="1" si="63"/>
        <v>43</v>
      </c>
    </row>
    <row r="370" spans="1:19">
      <c r="A370" s="159" t="str">
        <f>'数据-基础表'!C359</f>
        <v>7-2504</v>
      </c>
      <c r="B370" s="58">
        <f>'数据-基础表'!I359</f>
        <v>52.17</v>
      </c>
      <c r="C370" s="23">
        <f t="shared" si="64"/>
        <v>1.01</v>
      </c>
      <c r="D370" s="2966" t="s">
        <v>3709</v>
      </c>
      <c r="E370" s="23">
        <f t="shared" si="65"/>
        <v>1.02</v>
      </c>
      <c r="F370" s="2966" t="s">
        <v>3691</v>
      </c>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ca="1" si="72"/>
        <v>8147</v>
      </c>
      <c r="S370" s="361">
        <f t="shared" ca="1" si="63"/>
        <v>43</v>
      </c>
    </row>
    <row r="371" spans="1:19">
      <c r="A371" s="159" t="str">
        <f>'数据-基础表'!C360</f>
        <v>7-2505</v>
      </c>
      <c r="B371" s="58">
        <f>'数据-基础表'!I360</f>
        <v>52.17</v>
      </c>
      <c r="C371" s="23">
        <f t="shared" si="64"/>
        <v>1.01</v>
      </c>
      <c r="D371" s="2966" t="s">
        <v>3709</v>
      </c>
      <c r="E371" s="23">
        <f t="shared" si="65"/>
        <v>1.02</v>
      </c>
      <c r="F371" s="2966" t="s">
        <v>3691</v>
      </c>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ca="1" si="72"/>
        <v>8147</v>
      </c>
      <c r="S371" s="361">
        <f t="shared" ca="1" si="63"/>
        <v>43</v>
      </c>
    </row>
    <row r="372" spans="1:19">
      <c r="A372" s="159" t="str">
        <f>'数据-基础表'!C361</f>
        <v>7-2506</v>
      </c>
      <c r="B372" s="58">
        <f>'数据-基础表'!I361</f>
        <v>52.17</v>
      </c>
      <c r="C372" s="23">
        <f t="shared" si="64"/>
        <v>1.01</v>
      </c>
      <c r="D372" s="2966" t="s">
        <v>3709</v>
      </c>
      <c r="E372" s="23">
        <f t="shared" si="65"/>
        <v>1.02</v>
      </c>
      <c r="F372" s="2966" t="s">
        <v>3691</v>
      </c>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ca="1" si="72"/>
        <v>8147</v>
      </c>
      <c r="S372" s="361">
        <f t="shared" ca="1" si="63"/>
        <v>43</v>
      </c>
    </row>
    <row r="373" spans="1:19">
      <c r="A373" s="159" t="str">
        <f>'数据-基础表'!C362</f>
        <v>7-2507</v>
      </c>
      <c r="B373" s="58">
        <f>'数据-基础表'!I362</f>
        <v>52.17</v>
      </c>
      <c r="C373" s="23">
        <f t="shared" si="64"/>
        <v>1.01</v>
      </c>
      <c r="D373" s="2966" t="s">
        <v>3709</v>
      </c>
      <c r="E373" s="23">
        <f t="shared" si="65"/>
        <v>1.02</v>
      </c>
      <c r="F373" s="2966" t="s">
        <v>3691</v>
      </c>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ca="1" si="72"/>
        <v>8147</v>
      </c>
      <c r="S373" s="361">
        <f t="shared" ca="1" si="63"/>
        <v>43</v>
      </c>
    </row>
    <row r="374" spans="1:19">
      <c r="A374" s="159" t="str">
        <f>'数据-基础表'!C363</f>
        <v>7-2508</v>
      </c>
      <c r="B374" s="58">
        <f>'数据-基础表'!I363</f>
        <v>52.17</v>
      </c>
      <c r="C374" s="23">
        <f t="shared" si="64"/>
        <v>1.01</v>
      </c>
      <c r="D374" s="2966" t="s">
        <v>3709</v>
      </c>
      <c r="E374" s="23">
        <f t="shared" si="65"/>
        <v>1.02</v>
      </c>
      <c r="F374" s="2966" t="s">
        <v>3691</v>
      </c>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ca="1" si="72"/>
        <v>8147</v>
      </c>
      <c r="S374" s="361">
        <f t="shared" ca="1" si="63"/>
        <v>43</v>
      </c>
    </row>
    <row r="375" spans="1:19">
      <c r="A375" s="159" t="str">
        <f>'数据-基础表'!C364</f>
        <v>7-2509</v>
      </c>
      <c r="B375" s="58">
        <f>'数据-基础表'!I364</f>
        <v>52.17</v>
      </c>
      <c r="C375" s="23">
        <f t="shared" si="64"/>
        <v>1.01</v>
      </c>
      <c r="D375" s="2966" t="s">
        <v>3709</v>
      </c>
      <c r="E375" s="23">
        <f t="shared" si="65"/>
        <v>1.02</v>
      </c>
      <c r="F375" s="2966" t="s">
        <v>3691</v>
      </c>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ca="1" si="72"/>
        <v>8147</v>
      </c>
      <c r="S375" s="361">
        <f t="shared" ca="1" si="63"/>
        <v>43</v>
      </c>
    </row>
    <row r="376" spans="1:19">
      <c r="A376" s="159" t="str">
        <f>'数据-基础表'!C365</f>
        <v>7-2510</v>
      </c>
      <c r="B376" s="58">
        <f>'数据-基础表'!I365</f>
        <v>52.17</v>
      </c>
      <c r="C376" s="23">
        <f t="shared" si="64"/>
        <v>1.01</v>
      </c>
      <c r="D376" s="2966" t="s">
        <v>3709</v>
      </c>
      <c r="E376" s="23">
        <f t="shared" si="65"/>
        <v>1.02</v>
      </c>
      <c r="F376" s="2966" t="s">
        <v>3691</v>
      </c>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ca="1" si="72"/>
        <v>8147</v>
      </c>
      <c r="S376" s="361">
        <f t="shared" ca="1" si="63"/>
        <v>43</v>
      </c>
    </row>
    <row r="377" spans="1:19">
      <c r="A377" s="159" t="str">
        <f>'数据-基础表'!C366</f>
        <v>7-2511</v>
      </c>
      <c r="B377" s="58">
        <f>'数据-基础表'!I366</f>
        <v>52.17</v>
      </c>
      <c r="C377" s="23">
        <f t="shared" si="64"/>
        <v>1.01</v>
      </c>
      <c r="D377" s="2966" t="s">
        <v>3709</v>
      </c>
      <c r="E377" s="23">
        <f t="shared" si="65"/>
        <v>1.02</v>
      </c>
      <c r="F377" s="2966" t="s">
        <v>3691</v>
      </c>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ca="1" si="72"/>
        <v>8147</v>
      </c>
      <c r="S377" s="361">
        <f t="shared" ca="1" si="63"/>
        <v>43</v>
      </c>
    </row>
    <row r="378" spans="1:19">
      <c r="A378" s="159" t="str">
        <f>'数据-基础表'!C367</f>
        <v>7-2512</v>
      </c>
      <c r="B378" s="58">
        <f>'数据-基础表'!I367</f>
        <v>80.73</v>
      </c>
      <c r="C378" s="23">
        <f t="shared" si="64"/>
        <v>1</v>
      </c>
      <c r="D378" s="2966" t="s">
        <v>3709</v>
      </c>
      <c r="E378" s="23">
        <f t="shared" si="65"/>
        <v>1.02</v>
      </c>
      <c r="F378" s="2966" t="s">
        <v>3691</v>
      </c>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ca="1" si="72"/>
        <v>8066</v>
      </c>
      <c r="S378" s="361">
        <f t="shared" ca="1" si="63"/>
        <v>65</v>
      </c>
    </row>
    <row r="379" spans="1:19">
      <c r="A379" s="159" t="str">
        <f>'数据-基础表'!C368</f>
        <v>7-2513</v>
      </c>
      <c r="B379" s="58">
        <f>'数据-基础表'!I368</f>
        <v>67.36</v>
      </c>
      <c r="C379" s="23">
        <f t="shared" si="64"/>
        <v>1</v>
      </c>
      <c r="D379" s="2966" t="s">
        <v>3709</v>
      </c>
      <c r="E379" s="23">
        <f t="shared" si="65"/>
        <v>1.02</v>
      </c>
      <c r="F379" s="2966" t="s">
        <v>3691</v>
      </c>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ca="1" si="72"/>
        <v>8066</v>
      </c>
      <c r="S379" s="361">
        <f t="shared" ca="1" si="63"/>
        <v>54</v>
      </c>
    </row>
    <row r="380" spans="1:19">
      <c r="A380" s="159" t="str">
        <f>'数据-基础表'!C369</f>
        <v>7-2514</v>
      </c>
      <c r="B380" s="58">
        <f>'数据-基础表'!I369</f>
        <v>67.36</v>
      </c>
      <c r="C380" s="23">
        <f t="shared" si="64"/>
        <v>1</v>
      </c>
      <c r="D380" s="2966" t="s">
        <v>3709</v>
      </c>
      <c r="E380" s="23">
        <f t="shared" si="65"/>
        <v>1.02</v>
      </c>
      <c r="F380" s="2966" t="s">
        <v>3691</v>
      </c>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ca="1" si="72"/>
        <v>8066</v>
      </c>
      <c r="S380" s="361">
        <f t="shared" ca="1" si="63"/>
        <v>54</v>
      </c>
    </row>
    <row r="381" spans="1:19">
      <c r="A381" s="159" t="str">
        <f>'数据-基础表'!C370</f>
        <v>7-2515</v>
      </c>
      <c r="B381" s="58">
        <f>'数据-基础表'!I370</f>
        <v>80.73</v>
      </c>
      <c r="C381" s="23">
        <f t="shared" si="64"/>
        <v>1</v>
      </c>
      <c r="D381" s="2966" t="s">
        <v>3709</v>
      </c>
      <c r="E381" s="23">
        <f t="shared" si="65"/>
        <v>1.02</v>
      </c>
      <c r="F381" s="2966" t="s">
        <v>3691</v>
      </c>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ca="1" si="72"/>
        <v>8066</v>
      </c>
      <c r="S381" s="361">
        <f t="shared" ca="1" si="63"/>
        <v>65</v>
      </c>
    </row>
    <row r="382" spans="1:19">
      <c r="A382" s="159" t="str">
        <f>'数据-基础表'!C371</f>
        <v>7-2516</v>
      </c>
      <c r="B382" s="58">
        <f>'数据-基础表'!I371</f>
        <v>52.17</v>
      </c>
      <c r="C382" s="23">
        <f t="shared" si="64"/>
        <v>1.01</v>
      </c>
      <c r="D382" s="2966" t="s">
        <v>3709</v>
      </c>
      <c r="E382" s="23">
        <f t="shared" si="65"/>
        <v>1.02</v>
      </c>
      <c r="F382" s="2966" t="s">
        <v>3691</v>
      </c>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ca="1" si="72"/>
        <v>8147</v>
      </c>
      <c r="S382" s="361">
        <f t="shared" ca="1" si="63"/>
        <v>43</v>
      </c>
    </row>
    <row r="383" spans="1:19">
      <c r="A383" s="159" t="str">
        <f>'数据-基础表'!C372</f>
        <v>7-2517</v>
      </c>
      <c r="B383" s="58">
        <f>'数据-基础表'!I372</f>
        <v>52.17</v>
      </c>
      <c r="C383" s="23">
        <f t="shared" si="64"/>
        <v>1.01</v>
      </c>
      <c r="D383" s="2966" t="s">
        <v>3709</v>
      </c>
      <c r="E383" s="23">
        <f t="shared" si="65"/>
        <v>1.02</v>
      </c>
      <c r="F383" s="2966" t="s">
        <v>3691</v>
      </c>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ca="1" si="72"/>
        <v>8147</v>
      </c>
      <c r="S383" s="361">
        <f t="shared" ca="1" si="63"/>
        <v>43</v>
      </c>
    </row>
    <row r="384" spans="1:19">
      <c r="A384" s="159" t="str">
        <f>'数据-基础表'!C373</f>
        <v>7-2518</v>
      </c>
      <c r="B384" s="58">
        <f>'数据-基础表'!I373</f>
        <v>52.17</v>
      </c>
      <c r="C384" s="23">
        <f t="shared" si="64"/>
        <v>1.01</v>
      </c>
      <c r="D384" s="2966" t="s">
        <v>3709</v>
      </c>
      <c r="E384" s="23">
        <f t="shared" si="65"/>
        <v>1.02</v>
      </c>
      <c r="F384" s="2966" t="s">
        <v>3691</v>
      </c>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ca="1" si="72"/>
        <v>8147</v>
      </c>
      <c r="S384" s="361">
        <f t="shared" ca="1" si="63"/>
        <v>43</v>
      </c>
    </row>
    <row r="385" spans="1:19">
      <c r="A385" s="159" t="str">
        <f>'数据-基础表'!C374</f>
        <v>7-2519</v>
      </c>
      <c r="B385" s="58">
        <f>'数据-基础表'!I374</f>
        <v>52.17</v>
      </c>
      <c r="C385" s="23">
        <f t="shared" si="64"/>
        <v>1.01</v>
      </c>
      <c r="D385" s="2966" t="s">
        <v>3709</v>
      </c>
      <c r="E385" s="23">
        <f t="shared" si="65"/>
        <v>1.02</v>
      </c>
      <c r="F385" s="2966" t="s">
        <v>3691</v>
      </c>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ca="1" si="72"/>
        <v>8147</v>
      </c>
      <c r="S385" s="361">
        <f t="shared" ref="S385:S422" ca="1" si="73">ROUND(R385*B385/10000,0)</f>
        <v>43</v>
      </c>
    </row>
    <row r="386" spans="1:19">
      <c r="A386" s="159" t="str">
        <f>'数据-基础表'!C375</f>
        <v>7-2520</v>
      </c>
      <c r="B386" s="58">
        <f>'数据-基础表'!I375</f>
        <v>52.17</v>
      </c>
      <c r="C386" s="23">
        <f t="shared" si="64"/>
        <v>1.01</v>
      </c>
      <c r="D386" s="2966" t="s">
        <v>3709</v>
      </c>
      <c r="E386" s="23">
        <f t="shared" si="65"/>
        <v>1.02</v>
      </c>
      <c r="F386" s="2966" t="s">
        <v>3691</v>
      </c>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ca="1" si="72"/>
        <v>8147</v>
      </c>
      <c r="S386" s="361">
        <f t="shared" ca="1" si="73"/>
        <v>43</v>
      </c>
    </row>
    <row r="387" spans="1:19">
      <c r="A387" s="159" t="str">
        <f>'数据-基础表'!C376</f>
        <v>7-2521</v>
      </c>
      <c r="B387" s="58">
        <f>'数据-基础表'!I376</f>
        <v>52.17</v>
      </c>
      <c r="C387" s="23">
        <f t="shared" si="64"/>
        <v>1.01</v>
      </c>
      <c r="D387" s="2966" t="s">
        <v>3709</v>
      </c>
      <c r="E387" s="23">
        <f t="shared" si="65"/>
        <v>1.02</v>
      </c>
      <c r="F387" s="2966" t="s">
        <v>3691</v>
      </c>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ca="1" si="72"/>
        <v>8147</v>
      </c>
      <c r="S387" s="361">
        <f t="shared" ca="1" si="73"/>
        <v>43</v>
      </c>
    </row>
    <row r="388" spans="1:19">
      <c r="A388" s="159" t="str">
        <f>'数据-基础表'!C377</f>
        <v>7-2522</v>
      </c>
      <c r="B388" s="58">
        <f>'数据-基础表'!I377</f>
        <v>52.17</v>
      </c>
      <c r="C388" s="23">
        <f t="shared" si="64"/>
        <v>1.01</v>
      </c>
      <c r="D388" s="2966" t="s">
        <v>3709</v>
      </c>
      <c r="E388" s="23">
        <f t="shared" si="65"/>
        <v>1.02</v>
      </c>
      <c r="F388" s="2966" t="s">
        <v>3691</v>
      </c>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ca="1" si="72"/>
        <v>8147</v>
      </c>
      <c r="S388" s="361">
        <f t="shared" ca="1" si="73"/>
        <v>43</v>
      </c>
    </row>
    <row r="389" spans="1:19">
      <c r="A389" s="159" t="str">
        <f>'数据-基础表'!C378</f>
        <v>7-2523</v>
      </c>
      <c r="B389" s="58">
        <f>'数据-基础表'!I378</f>
        <v>52.17</v>
      </c>
      <c r="C389" s="23">
        <f t="shared" si="64"/>
        <v>1.01</v>
      </c>
      <c r="D389" s="2966" t="s">
        <v>3709</v>
      </c>
      <c r="E389" s="23">
        <f t="shared" si="65"/>
        <v>1.02</v>
      </c>
      <c r="F389" s="2966" t="s">
        <v>3691</v>
      </c>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ca="1" si="72"/>
        <v>8147</v>
      </c>
      <c r="S389" s="361">
        <f t="shared" ca="1" si="73"/>
        <v>43</v>
      </c>
    </row>
    <row r="390" spans="1:19">
      <c r="A390" s="159" t="str">
        <f>'数据-基础表'!C379</f>
        <v>7-2524</v>
      </c>
      <c r="B390" s="58">
        <f>'数据-基础表'!I379</f>
        <v>52.17</v>
      </c>
      <c r="C390" s="23">
        <f t="shared" si="64"/>
        <v>1.01</v>
      </c>
      <c r="D390" s="2966" t="s">
        <v>3709</v>
      </c>
      <c r="E390" s="23">
        <f t="shared" si="65"/>
        <v>1.02</v>
      </c>
      <c r="F390" s="2966" t="s">
        <v>3691</v>
      </c>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ca="1" si="72"/>
        <v>8147</v>
      </c>
      <c r="S390" s="361">
        <f t="shared" ca="1" si="73"/>
        <v>43</v>
      </c>
    </row>
    <row r="391" spans="1:19">
      <c r="A391" s="159" t="str">
        <f>'数据-基础表'!C380</f>
        <v>7-2525</v>
      </c>
      <c r="B391" s="58">
        <f>'数据-基础表'!I380</f>
        <v>52.17</v>
      </c>
      <c r="C391" s="23">
        <f t="shared" si="64"/>
        <v>1.01</v>
      </c>
      <c r="D391" s="2966" t="s">
        <v>3709</v>
      </c>
      <c r="E391" s="23">
        <f t="shared" si="65"/>
        <v>1.02</v>
      </c>
      <c r="F391" s="2966" t="s">
        <v>3691</v>
      </c>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ca="1" si="72"/>
        <v>8147</v>
      </c>
      <c r="S391" s="361">
        <f t="shared" ca="1" si="73"/>
        <v>43</v>
      </c>
    </row>
    <row r="392" spans="1:19">
      <c r="A392" s="159" t="str">
        <f>'数据-基础表'!C381</f>
        <v>7-2526</v>
      </c>
      <c r="B392" s="58">
        <f>'数据-基础表'!I381</f>
        <v>80.73</v>
      </c>
      <c r="C392" s="23">
        <f t="shared" si="64"/>
        <v>1</v>
      </c>
      <c r="D392" s="2966" t="s">
        <v>3709</v>
      </c>
      <c r="E392" s="23">
        <f t="shared" si="65"/>
        <v>1.02</v>
      </c>
      <c r="F392" s="2966" t="s">
        <v>3691</v>
      </c>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ca="1" si="72"/>
        <v>8066</v>
      </c>
      <c r="S392" s="361">
        <f t="shared" ca="1" si="73"/>
        <v>65</v>
      </c>
    </row>
    <row r="393" spans="1:19">
      <c r="A393" s="159" t="str">
        <f>'数据-基础表'!C382</f>
        <v>7-2527</v>
      </c>
      <c r="B393" s="58">
        <f>'数据-基础表'!I382</f>
        <v>93.08</v>
      </c>
      <c r="C393" s="23">
        <f t="shared" si="64"/>
        <v>1</v>
      </c>
      <c r="D393" s="2966" t="s">
        <v>3709</v>
      </c>
      <c r="E393" s="23">
        <f t="shared" si="65"/>
        <v>1.02</v>
      </c>
      <c r="F393" s="2966" t="s">
        <v>3691</v>
      </c>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ca="1" si="72"/>
        <v>8066</v>
      </c>
      <c r="S393" s="361">
        <f t="shared" ca="1" si="73"/>
        <v>75</v>
      </c>
    </row>
    <row r="394" spans="1:19">
      <c r="A394" s="159" t="str">
        <f>'数据-基础表'!C383</f>
        <v>7-2528</v>
      </c>
      <c r="B394" s="58">
        <f>'数据-基础表'!I383</f>
        <v>93.08</v>
      </c>
      <c r="C394" s="23">
        <f t="shared" si="64"/>
        <v>1</v>
      </c>
      <c r="D394" s="2966" t="s">
        <v>3709</v>
      </c>
      <c r="E394" s="23">
        <f t="shared" si="65"/>
        <v>1.02</v>
      </c>
      <c r="F394" s="2966" t="s">
        <v>3691</v>
      </c>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ca="1" si="72"/>
        <v>8066</v>
      </c>
      <c r="S394" s="361">
        <f t="shared" ca="1" si="73"/>
        <v>75</v>
      </c>
    </row>
    <row r="395" spans="1:19">
      <c r="A395" s="159" t="str">
        <f>'数据-基础表'!C384</f>
        <v>7-2601</v>
      </c>
      <c r="B395" s="58">
        <f>'数据-基础表'!I384</f>
        <v>80.73</v>
      </c>
      <c r="C395" s="23">
        <f t="shared" si="64"/>
        <v>1</v>
      </c>
      <c r="D395" s="2966" t="s">
        <v>3709</v>
      </c>
      <c r="E395" s="23">
        <f t="shared" si="65"/>
        <v>1.02</v>
      </c>
      <c r="F395" s="2966" t="s">
        <v>3691</v>
      </c>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ca="1" si="72"/>
        <v>8066</v>
      </c>
      <c r="S395" s="361">
        <f t="shared" ca="1" si="73"/>
        <v>65</v>
      </c>
    </row>
    <row r="396" spans="1:19">
      <c r="A396" s="159" t="str">
        <f>'数据-基础表'!C385</f>
        <v>7-2602</v>
      </c>
      <c r="B396" s="58">
        <f>'数据-基础表'!I385</f>
        <v>52.17</v>
      </c>
      <c r="C396" s="23">
        <f t="shared" si="64"/>
        <v>1.01</v>
      </c>
      <c r="D396" s="2966" t="s">
        <v>3709</v>
      </c>
      <c r="E396" s="23">
        <f t="shared" si="65"/>
        <v>1.02</v>
      </c>
      <c r="F396" s="2966" t="s">
        <v>3691</v>
      </c>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ca="1" si="72"/>
        <v>8147</v>
      </c>
      <c r="S396" s="361">
        <f t="shared" ca="1" si="73"/>
        <v>43</v>
      </c>
    </row>
    <row r="397" spans="1:19">
      <c r="A397" s="159" t="str">
        <f>'数据-基础表'!C386</f>
        <v>7-2603</v>
      </c>
      <c r="B397" s="58">
        <f>'数据-基础表'!I386</f>
        <v>52.17</v>
      </c>
      <c r="C397" s="23">
        <f t="shared" si="64"/>
        <v>1.01</v>
      </c>
      <c r="D397" s="2966" t="s">
        <v>3709</v>
      </c>
      <c r="E397" s="23">
        <f t="shared" si="65"/>
        <v>1.02</v>
      </c>
      <c r="F397" s="2966" t="s">
        <v>3691</v>
      </c>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ca="1" si="72"/>
        <v>8147</v>
      </c>
      <c r="S397" s="361">
        <f t="shared" ca="1" si="73"/>
        <v>43</v>
      </c>
    </row>
    <row r="398" spans="1:19">
      <c r="A398" s="159" t="str">
        <f>'数据-基础表'!C387</f>
        <v>7-2604</v>
      </c>
      <c r="B398" s="58">
        <f>'数据-基础表'!I387</f>
        <v>52.17</v>
      </c>
      <c r="C398" s="23">
        <f t="shared" si="64"/>
        <v>1.01</v>
      </c>
      <c r="D398" s="2966" t="s">
        <v>3709</v>
      </c>
      <c r="E398" s="23">
        <f t="shared" si="65"/>
        <v>1.02</v>
      </c>
      <c r="F398" s="2966" t="s">
        <v>3691</v>
      </c>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ca="1" si="72"/>
        <v>8147</v>
      </c>
      <c r="S398" s="361">
        <f t="shared" ca="1" si="73"/>
        <v>43</v>
      </c>
    </row>
    <row r="399" spans="1:19">
      <c r="A399" s="159" t="str">
        <f>'数据-基础表'!C388</f>
        <v>7-2605</v>
      </c>
      <c r="B399" s="58">
        <f>'数据-基础表'!I388</f>
        <v>52.17</v>
      </c>
      <c r="C399" s="23">
        <f t="shared" si="64"/>
        <v>1.01</v>
      </c>
      <c r="D399" s="2966" t="s">
        <v>3709</v>
      </c>
      <c r="E399" s="23">
        <f t="shared" si="65"/>
        <v>1.02</v>
      </c>
      <c r="F399" s="2966" t="s">
        <v>3691</v>
      </c>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ca="1" si="72"/>
        <v>8147</v>
      </c>
      <c r="S399" s="361">
        <f t="shared" ca="1" si="73"/>
        <v>43</v>
      </c>
    </row>
    <row r="400" spans="1:19">
      <c r="A400" s="159" t="str">
        <f>'数据-基础表'!C389</f>
        <v>7-2606</v>
      </c>
      <c r="B400" s="58">
        <f>'数据-基础表'!I389</f>
        <v>52.17</v>
      </c>
      <c r="C400" s="23">
        <f t="shared" si="64"/>
        <v>1.01</v>
      </c>
      <c r="D400" s="2966" t="s">
        <v>3709</v>
      </c>
      <c r="E400" s="23">
        <f t="shared" si="65"/>
        <v>1.02</v>
      </c>
      <c r="F400" s="2966" t="s">
        <v>3691</v>
      </c>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ca="1" si="72"/>
        <v>8147</v>
      </c>
      <c r="S400" s="361">
        <f t="shared" ca="1" si="73"/>
        <v>43</v>
      </c>
    </row>
    <row r="401" spans="1:19">
      <c r="A401" s="159" t="str">
        <f>'数据-基础表'!C390</f>
        <v>7-2607</v>
      </c>
      <c r="B401" s="58">
        <f>'数据-基础表'!I390</f>
        <v>52.17</v>
      </c>
      <c r="C401" s="23">
        <f t="shared" si="64"/>
        <v>1.01</v>
      </c>
      <c r="D401" s="2966" t="s">
        <v>3709</v>
      </c>
      <c r="E401" s="23">
        <f t="shared" si="65"/>
        <v>1.02</v>
      </c>
      <c r="F401" s="2966" t="s">
        <v>3691</v>
      </c>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ca="1" si="72"/>
        <v>8147</v>
      </c>
      <c r="S401" s="361">
        <f t="shared" ca="1" si="73"/>
        <v>43</v>
      </c>
    </row>
    <row r="402" spans="1:19">
      <c r="A402" s="159" t="str">
        <f>'数据-基础表'!C391</f>
        <v>7-2608</v>
      </c>
      <c r="B402" s="58">
        <f>'数据-基础表'!I391</f>
        <v>52.17</v>
      </c>
      <c r="C402" s="23">
        <f t="shared" si="64"/>
        <v>1.01</v>
      </c>
      <c r="D402" s="2966" t="s">
        <v>3709</v>
      </c>
      <c r="E402" s="23">
        <f t="shared" si="65"/>
        <v>1.02</v>
      </c>
      <c r="F402" s="2966" t="s">
        <v>3691</v>
      </c>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ca="1" si="72"/>
        <v>8147</v>
      </c>
      <c r="S402" s="361">
        <f t="shared" ca="1" si="73"/>
        <v>43</v>
      </c>
    </row>
    <row r="403" spans="1:19">
      <c r="A403" s="159" t="str">
        <f>'数据-基础表'!C392</f>
        <v>7-2609</v>
      </c>
      <c r="B403" s="58">
        <f>'数据-基础表'!I392</f>
        <v>52.17</v>
      </c>
      <c r="C403" s="23">
        <f t="shared" si="64"/>
        <v>1.01</v>
      </c>
      <c r="D403" s="2966" t="s">
        <v>3709</v>
      </c>
      <c r="E403" s="23">
        <f t="shared" si="65"/>
        <v>1.02</v>
      </c>
      <c r="F403" s="2966" t="s">
        <v>3691</v>
      </c>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ca="1" si="72"/>
        <v>8147</v>
      </c>
      <c r="S403" s="361">
        <f t="shared" ca="1" si="73"/>
        <v>43</v>
      </c>
    </row>
    <row r="404" spans="1:19">
      <c r="A404" s="159" t="str">
        <f>'数据-基础表'!C393</f>
        <v>7-2610</v>
      </c>
      <c r="B404" s="58">
        <f>'数据-基础表'!I393</f>
        <v>52.17</v>
      </c>
      <c r="C404" s="23">
        <f t="shared" si="64"/>
        <v>1.01</v>
      </c>
      <c r="D404" s="2966" t="s">
        <v>3709</v>
      </c>
      <c r="E404" s="23">
        <f t="shared" si="65"/>
        <v>1.02</v>
      </c>
      <c r="F404" s="2966" t="s">
        <v>3691</v>
      </c>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ca="1" si="72"/>
        <v>8147</v>
      </c>
      <c r="S404" s="361">
        <f t="shared" ca="1" si="73"/>
        <v>43</v>
      </c>
    </row>
    <row r="405" spans="1:19">
      <c r="A405" s="159" t="str">
        <f>'数据-基础表'!C394</f>
        <v>7-2611</v>
      </c>
      <c r="B405" s="58">
        <f>'数据-基础表'!I394</f>
        <v>52.17</v>
      </c>
      <c r="C405" s="23">
        <f t="shared" si="64"/>
        <v>1.01</v>
      </c>
      <c r="D405" s="2966" t="s">
        <v>3709</v>
      </c>
      <c r="E405" s="23">
        <f t="shared" si="65"/>
        <v>1.02</v>
      </c>
      <c r="F405" s="2966" t="s">
        <v>3691</v>
      </c>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ca="1" si="72"/>
        <v>8147</v>
      </c>
      <c r="S405" s="361">
        <f t="shared" ca="1" si="73"/>
        <v>43</v>
      </c>
    </row>
    <row r="406" spans="1:19">
      <c r="A406" s="159" t="str">
        <f>'数据-基础表'!C395</f>
        <v>7-2612</v>
      </c>
      <c r="B406" s="58">
        <f>'数据-基础表'!I395</f>
        <v>80.73</v>
      </c>
      <c r="C406" s="23">
        <f t="shared" si="64"/>
        <v>1</v>
      </c>
      <c r="D406" s="2966" t="s">
        <v>3709</v>
      </c>
      <c r="E406" s="23">
        <f t="shared" si="65"/>
        <v>1.02</v>
      </c>
      <c r="F406" s="2966" t="s">
        <v>3691</v>
      </c>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ca="1" si="72"/>
        <v>8066</v>
      </c>
      <c r="S406" s="361">
        <f t="shared" ca="1" si="73"/>
        <v>65</v>
      </c>
    </row>
    <row r="407" spans="1:19">
      <c r="A407" s="159" t="str">
        <f>'数据-基础表'!C396</f>
        <v>7-2613</v>
      </c>
      <c r="B407" s="58">
        <f>'数据-基础表'!I396</f>
        <v>67.36</v>
      </c>
      <c r="C407" s="23">
        <f t="shared" si="64"/>
        <v>1</v>
      </c>
      <c r="D407" s="2966" t="s">
        <v>3709</v>
      </c>
      <c r="E407" s="23">
        <f t="shared" si="65"/>
        <v>1.02</v>
      </c>
      <c r="F407" s="2966" t="s">
        <v>3691</v>
      </c>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ca="1" si="72"/>
        <v>8066</v>
      </c>
      <c r="S407" s="361">
        <f t="shared" ca="1" si="73"/>
        <v>54</v>
      </c>
    </row>
    <row r="408" spans="1:19">
      <c r="A408" s="159" t="str">
        <f>'数据-基础表'!C397</f>
        <v>7-2614</v>
      </c>
      <c r="B408" s="58">
        <f>'数据-基础表'!I397</f>
        <v>67.36</v>
      </c>
      <c r="C408" s="23">
        <f t="shared" si="64"/>
        <v>1</v>
      </c>
      <c r="D408" s="2966" t="s">
        <v>3709</v>
      </c>
      <c r="E408" s="23">
        <f t="shared" si="65"/>
        <v>1.02</v>
      </c>
      <c r="F408" s="2966" t="s">
        <v>3691</v>
      </c>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ca="1" si="72"/>
        <v>8066</v>
      </c>
      <c r="S408" s="361">
        <f t="shared" ca="1" si="73"/>
        <v>54</v>
      </c>
    </row>
    <row r="409" spans="1:19">
      <c r="A409" s="159" t="str">
        <f>'数据-基础表'!C398</f>
        <v>7-2615</v>
      </c>
      <c r="B409" s="58">
        <f>'数据-基础表'!I398</f>
        <v>80.73</v>
      </c>
      <c r="C409" s="23">
        <f t="shared" si="64"/>
        <v>1</v>
      </c>
      <c r="D409" s="2966" t="s">
        <v>3709</v>
      </c>
      <c r="E409" s="23">
        <f t="shared" si="65"/>
        <v>1.02</v>
      </c>
      <c r="F409" s="2966" t="s">
        <v>3691</v>
      </c>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ca="1" si="72"/>
        <v>8066</v>
      </c>
      <c r="S409" s="361">
        <f t="shared" ca="1" si="73"/>
        <v>65</v>
      </c>
    </row>
    <row r="410" spans="1:19">
      <c r="A410" s="159" t="str">
        <f>'数据-基础表'!C399</f>
        <v>7-2616</v>
      </c>
      <c r="B410" s="58">
        <f>'数据-基础表'!I399</f>
        <v>52.17</v>
      </c>
      <c r="C410" s="23">
        <f t="shared" ref="C410:C473" si="74">IF(B410="",1,(LOOKUP(B410,$3:$3,$4:$4)-LOOKUP($B$24,$3:$3,$4:$4)+100)/100)</f>
        <v>1.01</v>
      </c>
      <c r="D410" s="2966" t="s">
        <v>3709</v>
      </c>
      <c r="E410" s="23">
        <f t="shared" ref="E410:E473" si="75">(SUMIF($5:$5,D410,$6:$6)-SUMIF($5:$5,$D$24,$6:$6)+100)/100</f>
        <v>1.02</v>
      </c>
      <c r="F410" s="2966" t="s">
        <v>3691</v>
      </c>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ca="1" si="82">IF(B410="",0,ROUND($R$24*C410*E410*G410*I410*K410*M410*O410*Q410,0))</f>
        <v>8147</v>
      </c>
      <c r="S410" s="361">
        <f t="shared" ca="1" si="73"/>
        <v>43</v>
      </c>
    </row>
    <row r="411" spans="1:19">
      <c r="A411" s="159" t="str">
        <f>'数据-基础表'!C400</f>
        <v>7-2617</v>
      </c>
      <c r="B411" s="58">
        <f>'数据-基础表'!I400</f>
        <v>52.17</v>
      </c>
      <c r="C411" s="23">
        <f t="shared" si="74"/>
        <v>1.01</v>
      </c>
      <c r="D411" s="2966" t="s">
        <v>3709</v>
      </c>
      <c r="E411" s="23">
        <f t="shared" si="75"/>
        <v>1.02</v>
      </c>
      <c r="F411" s="2966" t="s">
        <v>3691</v>
      </c>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ca="1" si="82"/>
        <v>8147</v>
      </c>
      <c r="S411" s="361">
        <f t="shared" ca="1" si="73"/>
        <v>43</v>
      </c>
    </row>
    <row r="412" spans="1:19">
      <c r="A412" s="159" t="str">
        <f>'数据-基础表'!C401</f>
        <v>7-2618</v>
      </c>
      <c r="B412" s="58">
        <f>'数据-基础表'!I401</f>
        <v>52.17</v>
      </c>
      <c r="C412" s="23">
        <f t="shared" si="74"/>
        <v>1.01</v>
      </c>
      <c r="D412" s="2966" t="s">
        <v>3709</v>
      </c>
      <c r="E412" s="23">
        <f t="shared" si="75"/>
        <v>1.02</v>
      </c>
      <c r="F412" s="2966" t="s">
        <v>3691</v>
      </c>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ca="1" si="82"/>
        <v>8147</v>
      </c>
      <c r="S412" s="361">
        <f t="shared" ca="1" si="73"/>
        <v>43</v>
      </c>
    </row>
    <row r="413" spans="1:19">
      <c r="A413" s="159" t="str">
        <f>'数据-基础表'!C402</f>
        <v>7-2619</v>
      </c>
      <c r="B413" s="58">
        <f>'数据-基础表'!I402</f>
        <v>52.17</v>
      </c>
      <c r="C413" s="23">
        <f t="shared" si="74"/>
        <v>1.01</v>
      </c>
      <c r="D413" s="2966" t="s">
        <v>3709</v>
      </c>
      <c r="E413" s="23">
        <f t="shared" si="75"/>
        <v>1.02</v>
      </c>
      <c r="F413" s="2966" t="s">
        <v>3691</v>
      </c>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ca="1" si="82"/>
        <v>8147</v>
      </c>
      <c r="S413" s="361">
        <f t="shared" ca="1" si="73"/>
        <v>43</v>
      </c>
    </row>
    <row r="414" spans="1:19">
      <c r="A414" s="159" t="str">
        <f>'数据-基础表'!C403</f>
        <v>7-2620</v>
      </c>
      <c r="B414" s="58">
        <f>'数据-基础表'!I403</f>
        <v>52.17</v>
      </c>
      <c r="C414" s="23">
        <f t="shared" si="74"/>
        <v>1.01</v>
      </c>
      <c r="D414" s="2966" t="s">
        <v>3709</v>
      </c>
      <c r="E414" s="23">
        <f t="shared" si="75"/>
        <v>1.02</v>
      </c>
      <c r="F414" s="2966" t="s">
        <v>3691</v>
      </c>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ca="1" si="82"/>
        <v>8147</v>
      </c>
      <c r="S414" s="361">
        <f t="shared" ca="1" si="73"/>
        <v>43</v>
      </c>
    </row>
    <row r="415" spans="1:19">
      <c r="A415" s="159" t="str">
        <f>'数据-基础表'!C404</f>
        <v>7-2621</v>
      </c>
      <c r="B415" s="58">
        <f>'数据-基础表'!I404</f>
        <v>52.17</v>
      </c>
      <c r="C415" s="23">
        <f t="shared" si="74"/>
        <v>1.01</v>
      </c>
      <c r="D415" s="2966" t="s">
        <v>3709</v>
      </c>
      <c r="E415" s="23">
        <f t="shared" si="75"/>
        <v>1.02</v>
      </c>
      <c r="F415" s="2966" t="s">
        <v>3691</v>
      </c>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ca="1" si="82"/>
        <v>8147</v>
      </c>
      <c r="S415" s="361">
        <f t="shared" ca="1" si="73"/>
        <v>43</v>
      </c>
    </row>
    <row r="416" spans="1:19">
      <c r="A416" s="159" t="str">
        <f>'数据-基础表'!C405</f>
        <v>7-2622</v>
      </c>
      <c r="B416" s="58">
        <f>'数据-基础表'!I405</f>
        <v>52.17</v>
      </c>
      <c r="C416" s="23">
        <f t="shared" si="74"/>
        <v>1.01</v>
      </c>
      <c r="D416" s="2966" t="s">
        <v>3709</v>
      </c>
      <c r="E416" s="23">
        <f t="shared" si="75"/>
        <v>1.02</v>
      </c>
      <c r="F416" s="2966" t="s">
        <v>3691</v>
      </c>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ca="1" si="82"/>
        <v>8147</v>
      </c>
      <c r="S416" s="361">
        <f t="shared" ca="1" si="73"/>
        <v>43</v>
      </c>
    </row>
    <row r="417" spans="1:19">
      <c r="A417" s="159" t="str">
        <f>'数据-基础表'!C406</f>
        <v>7-2623</v>
      </c>
      <c r="B417" s="58">
        <f>'数据-基础表'!I406</f>
        <v>52.17</v>
      </c>
      <c r="C417" s="23">
        <f t="shared" si="74"/>
        <v>1.01</v>
      </c>
      <c r="D417" s="2966" t="s">
        <v>3709</v>
      </c>
      <c r="E417" s="23">
        <f t="shared" si="75"/>
        <v>1.02</v>
      </c>
      <c r="F417" s="2966" t="s">
        <v>3691</v>
      </c>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ca="1" si="82"/>
        <v>8147</v>
      </c>
      <c r="S417" s="361">
        <f t="shared" ca="1" si="73"/>
        <v>43</v>
      </c>
    </row>
    <row r="418" spans="1:19">
      <c r="A418" s="159" t="str">
        <f>'数据-基础表'!C407</f>
        <v>7-2624</v>
      </c>
      <c r="B418" s="58">
        <f>'数据-基础表'!I407</f>
        <v>52.17</v>
      </c>
      <c r="C418" s="23">
        <f t="shared" si="74"/>
        <v>1.01</v>
      </c>
      <c r="D418" s="2966" t="s">
        <v>3709</v>
      </c>
      <c r="E418" s="23">
        <f t="shared" si="75"/>
        <v>1.02</v>
      </c>
      <c r="F418" s="2966" t="s">
        <v>3691</v>
      </c>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ca="1" si="82"/>
        <v>8147</v>
      </c>
      <c r="S418" s="361">
        <f t="shared" ca="1" si="73"/>
        <v>43</v>
      </c>
    </row>
    <row r="419" spans="1:19">
      <c r="A419" s="159" t="str">
        <f>'数据-基础表'!C408</f>
        <v>7-2625</v>
      </c>
      <c r="B419" s="58">
        <f>'数据-基础表'!I408</f>
        <v>52.17</v>
      </c>
      <c r="C419" s="23">
        <f t="shared" si="74"/>
        <v>1.01</v>
      </c>
      <c r="D419" s="2966" t="s">
        <v>3709</v>
      </c>
      <c r="E419" s="23">
        <f t="shared" si="75"/>
        <v>1.02</v>
      </c>
      <c r="F419" s="2966" t="s">
        <v>3691</v>
      </c>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ca="1" si="82"/>
        <v>8147</v>
      </c>
      <c r="S419" s="361">
        <f t="shared" ca="1" si="73"/>
        <v>43</v>
      </c>
    </row>
    <row r="420" spans="1:19">
      <c r="A420" s="159" t="str">
        <f>'数据-基础表'!C409</f>
        <v>7-2626</v>
      </c>
      <c r="B420" s="58">
        <f>'数据-基础表'!I409</f>
        <v>80.73</v>
      </c>
      <c r="C420" s="23">
        <f t="shared" si="74"/>
        <v>1</v>
      </c>
      <c r="D420" s="2966" t="s">
        <v>3709</v>
      </c>
      <c r="E420" s="23">
        <f t="shared" si="75"/>
        <v>1.02</v>
      </c>
      <c r="F420" s="2966" t="s">
        <v>3691</v>
      </c>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ca="1" si="82"/>
        <v>8066</v>
      </c>
      <c r="S420" s="361">
        <f t="shared" ca="1" si="73"/>
        <v>65</v>
      </c>
    </row>
    <row r="421" spans="1:19">
      <c r="A421" s="159" t="str">
        <f>'数据-基础表'!C410</f>
        <v>7-2627</v>
      </c>
      <c r="B421" s="58">
        <f>'数据-基础表'!I410</f>
        <v>93.08</v>
      </c>
      <c r="C421" s="23">
        <f t="shared" si="74"/>
        <v>1</v>
      </c>
      <c r="D421" s="2966" t="s">
        <v>3709</v>
      </c>
      <c r="E421" s="23">
        <f t="shared" si="75"/>
        <v>1.02</v>
      </c>
      <c r="F421" s="2966" t="s">
        <v>3691</v>
      </c>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ca="1" si="82"/>
        <v>8066</v>
      </c>
      <c r="S421" s="361">
        <f t="shared" ca="1" si="73"/>
        <v>75</v>
      </c>
    </row>
    <row r="422" spans="1:19">
      <c r="A422" s="159" t="str">
        <f>'数据-基础表'!C411</f>
        <v>7-2628</v>
      </c>
      <c r="B422" s="58">
        <f>'数据-基础表'!I411</f>
        <v>93.08</v>
      </c>
      <c r="C422" s="23">
        <f t="shared" si="74"/>
        <v>1</v>
      </c>
      <c r="D422" s="2966" t="s">
        <v>3709</v>
      </c>
      <c r="E422" s="23">
        <f t="shared" si="75"/>
        <v>1.02</v>
      </c>
      <c r="F422" s="2966" t="s">
        <v>3691</v>
      </c>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ca="1" si="82"/>
        <v>8066</v>
      </c>
      <c r="S422" s="361">
        <f t="shared" ca="1" si="73"/>
        <v>75</v>
      </c>
    </row>
    <row r="423" spans="1:19">
      <c r="A423" s="159" t="str">
        <f>'数据-基础表'!C412</f>
        <v>7-2701</v>
      </c>
      <c r="B423" s="58">
        <f>'数据-基础表'!I412</f>
        <v>80.73</v>
      </c>
      <c r="C423" s="23">
        <f t="shared" si="74"/>
        <v>1</v>
      </c>
      <c r="D423" s="2966" t="s">
        <v>3709</v>
      </c>
      <c r="E423" s="23">
        <f t="shared" si="75"/>
        <v>1.02</v>
      </c>
      <c r="F423" s="2966" t="s">
        <v>3691</v>
      </c>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ca="1" si="82"/>
        <v>8066</v>
      </c>
      <c r="S423" s="361">
        <f t="shared" ref="S423:S467" ca="1" si="83">ROUND(R423*B423/10000,0)</f>
        <v>65</v>
      </c>
    </row>
    <row r="424" spans="1:19">
      <c r="A424" s="159" t="str">
        <f>'数据-基础表'!C413</f>
        <v>7-2702</v>
      </c>
      <c r="B424" s="58">
        <f>'数据-基础表'!I413</f>
        <v>52.17</v>
      </c>
      <c r="C424" s="23">
        <f t="shared" si="74"/>
        <v>1.01</v>
      </c>
      <c r="D424" s="2966" t="s">
        <v>3709</v>
      </c>
      <c r="E424" s="23">
        <f t="shared" si="75"/>
        <v>1.02</v>
      </c>
      <c r="F424" s="2966" t="s">
        <v>3691</v>
      </c>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ca="1" si="82"/>
        <v>8147</v>
      </c>
      <c r="S424" s="361">
        <f t="shared" ca="1" si="83"/>
        <v>43</v>
      </c>
    </row>
    <row r="425" spans="1:19">
      <c r="A425" s="159" t="str">
        <f>'数据-基础表'!C414</f>
        <v>7-2703</v>
      </c>
      <c r="B425" s="58">
        <f>'数据-基础表'!I414</f>
        <v>52.17</v>
      </c>
      <c r="C425" s="23">
        <f t="shared" si="74"/>
        <v>1.01</v>
      </c>
      <c r="D425" s="2966" t="s">
        <v>3709</v>
      </c>
      <c r="E425" s="23">
        <f t="shared" si="75"/>
        <v>1.02</v>
      </c>
      <c r="F425" s="2966" t="s">
        <v>3691</v>
      </c>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ca="1" si="82"/>
        <v>8147</v>
      </c>
      <c r="S425" s="361">
        <f t="shared" ca="1" si="83"/>
        <v>43</v>
      </c>
    </row>
    <row r="426" spans="1:19">
      <c r="A426" s="159" t="str">
        <f>'数据-基础表'!C415</f>
        <v>7-2704</v>
      </c>
      <c r="B426" s="58">
        <f>'数据-基础表'!I415</f>
        <v>52.17</v>
      </c>
      <c r="C426" s="23">
        <f t="shared" si="74"/>
        <v>1.01</v>
      </c>
      <c r="D426" s="2966" t="s">
        <v>3709</v>
      </c>
      <c r="E426" s="23">
        <f t="shared" si="75"/>
        <v>1.02</v>
      </c>
      <c r="F426" s="2966" t="s">
        <v>3691</v>
      </c>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ca="1" si="82"/>
        <v>8147</v>
      </c>
      <c r="S426" s="361">
        <f t="shared" ca="1" si="83"/>
        <v>43</v>
      </c>
    </row>
    <row r="427" spans="1:19">
      <c r="A427" s="159" t="str">
        <f>'数据-基础表'!C416</f>
        <v>7-2705</v>
      </c>
      <c r="B427" s="58">
        <f>'数据-基础表'!I416</f>
        <v>52.17</v>
      </c>
      <c r="C427" s="23">
        <f t="shared" si="74"/>
        <v>1.01</v>
      </c>
      <c r="D427" s="2966" t="s">
        <v>3709</v>
      </c>
      <c r="E427" s="23">
        <f t="shared" si="75"/>
        <v>1.02</v>
      </c>
      <c r="F427" s="2966" t="s">
        <v>3691</v>
      </c>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ca="1" si="82"/>
        <v>8147</v>
      </c>
      <c r="S427" s="361">
        <f t="shared" ca="1" si="83"/>
        <v>43</v>
      </c>
    </row>
    <row r="428" spans="1:19">
      <c r="A428" s="159" t="str">
        <f>'数据-基础表'!C417</f>
        <v>7-2706</v>
      </c>
      <c r="B428" s="58">
        <f>'数据-基础表'!I417</f>
        <v>52.17</v>
      </c>
      <c r="C428" s="23">
        <f t="shared" si="74"/>
        <v>1.01</v>
      </c>
      <c r="D428" s="2966" t="s">
        <v>3709</v>
      </c>
      <c r="E428" s="23">
        <f t="shared" si="75"/>
        <v>1.02</v>
      </c>
      <c r="F428" s="2966" t="s">
        <v>3691</v>
      </c>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ca="1" si="82"/>
        <v>8147</v>
      </c>
      <c r="S428" s="361">
        <f t="shared" ca="1" si="83"/>
        <v>43</v>
      </c>
    </row>
    <row r="429" spans="1:19">
      <c r="A429" s="159" t="str">
        <f>'数据-基础表'!C418</f>
        <v>7-2707</v>
      </c>
      <c r="B429" s="58">
        <f>'数据-基础表'!I418</f>
        <v>52.17</v>
      </c>
      <c r="C429" s="23">
        <f t="shared" si="74"/>
        <v>1.01</v>
      </c>
      <c r="D429" s="2966" t="s">
        <v>3709</v>
      </c>
      <c r="E429" s="23">
        <f t="shared" si="75"/>
        <v>1.02</v>
      </c>
      <c r="F429" s="2966" t="s">
        <v>3691</v>
      </c>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ca="1" si="82"/>
        <v>8147</v>
      </c>
      <c r="S429" s="361">
        <f t="shared" ca="1" si="83"/>
        <v>43</v>
      </c>
    </row>
    <row r="430" spans="1:19">
      <c r="A430" s="159" t="str">
        <f>'数据-基础表'!C419</f>
        <v>7-2708</v>
      </c>
      <c r="B430" s="58">
        <f>'数据-基础表'!I419</f>
        <v>52.17</v>
      </c>
      <c r="C430" s="23">
        <f t="shared" si="74"/>
        <v>1.01</v>
      </c>
      <c r="D430" s="2966" t="s">
        <v>3709</v>
      </c>
      <c r="E430" s="23">
        <f t="shared" si="75"/>
        <v>1.02</v>
      </c>
      <c r="F430" s="2966" t="s">
        <v>3691</v>
      </c>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ca="1" si="82"/>
        <v>8147</v>
      </c>
      <c r="S430" s="361">
        <f t="shared" ca="1" si="83"/>
        <v>43</v>
      </c>
    </row>
    <row r="431" spans="1:19">
      <c r="A431" s="159" t="str">
        <f>'数据-基础表'!C420</f>
        <v>7-2709</v>
      </c>
      <c r="B431" s="58">
        <f>'数据-基础表'!I420</f>
        <v>52.17</v>
      </c>
      <c r="C431" s="23">
        <f t="shared" si="74"/>
        <v>1.01</v>
      </c>
      <c r="D431" s="2966" t="s">
        <v>3709</v>
      </c>
      <c r="E431" s="23">
        <f t="shared" si="75"/>
        <v>1.02</v>
      </c>
      <c r="F431" s="2966" t="s">
        <v>3691</v>
      </c>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ca="1" si="82"/>
        <v>8147</v>
      </c>
      <c r="S431" s="361">
        <f t="shared" ca="1" si="83"/>
        <v>43</v>
      </c>
    </row>
    <row r="432" spans="1:19">
      <c r="A432" s="159" t="str">
        <f>'数据-基础表'!C421</f>
        <v>7-2710</v>
      </c>
      <c r="B432" s="58">
        <f>'数据-基础表'!I421</f>
        <v>52.17</v>
      </c>
      <c r="C432" s="23">
        <f t="shared" si="74"/>
        <v>1.01</v>
      </c>
      <c r="D432" s="2966" t="s">
        <v>3709</v>
      </c>
      <c r="E432" s="23">
        <f t="shared" si="75"/>
        <v>1.02</v>
      </c>
      <c r="F432" s="2966" t="s">
        <v>3691</v>
      </c>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ca="1" si="82"/>
        <v>8147</v>
      </c>
      <c r="S432" s="361">
        <f t="shared" ca="1" si="83"/>
        <v>43</v>
      </c>
    </row>
    <row r="433" spans="1:19">
      <c r="A433" s="159" t="str">
        <f>'数据-基础表'!C422</f>
        <v>7-2711</v>
      </c>
      <c r="B433" s="58">
        <f>'数据-基础表'!I422</f>
        <v>52.17</v>
      </c>
      <c r="C433" s="23">
        <f t="shared" si="74"/>
        <v>1.01</v>
      </c>
      <c r="D433" s="2966" t="s">
        <v>3709</v>
      </c>
      <c r="E433" s="23">
        <f t="shared" si="75"/>
        <v>1.02</v>
      </c>
      <c r="F433" s="2966" t="s">
        <v>3691</v>
      </c>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ca="1" si="82"/>
        <v>8147</v>
      </c>
      <c r="S433" s="361">
        <f t="shared" ca="1" si="83"/>
        <v>43</v>
      </c>
    </row>
    <row r="434" spans="1:19">
      <c r="A434" s="159" t="str">
        <f>'数据-基础表'!C423</f>
        <v>7-2712</v>
      </c>
      <c r="B434" s="58">
        <f>'数据-基础表'!I423</f>
        <v>80.73</v>
      </c>
      <c r="C434" s="23">
        <f t="shared" si="74"/>
        <v>1</v>
      </c>
      <c r="D434" s="2966" t="s">
        <v>3709</v>
      </c>
      <c r="E434" s="23">
        <f t="shared" si="75"/>
        <v>1.02</v>
      </c>
      <c r="F434" s="2966" t="s">
        <v>3691</v>
      </c>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ca="1" si="82"/>
        <v>8066</v>
      </c>
      <c r="S434" s="361">
        <f t="shared" ca="1" si="83"/>
        <v>65</v>
      </c>
    </row>
    <row r="435" spans="1:19">
      <c r="A435" s="159" t="str">
        <f>'数据-基础表'!C424</f>
        <v>7-2713</v>
      </c>
      <c r="B435" s="58">
        <f>'数据-基础表'!I424</f>
        <v>67.36</v>
      </c>
      <c r="C435" s="23">
        <f t="shared" si="74"/>
        <v>1</v>
      </c>
      <c r="D435" s="2966" t="s">
        <v>3709</v>
      </c>
      <c r="E435" s="23">
        <f t="shared" si="75"/>
        <v>1.02</v>
      </c>
      <c r="F435" s="2966" t="s">
        <v>3691</v>
      </c>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ca="1" si="82"/>
        <v>8066</v>
      </c>
      <c r="S435" s="361">
        <f t="shared" ca="1" si="83"/>
        <v>54</v>
      </c>
    </row>
    <row r="436" spans="1:19">
      <c r="A436" s="159" t="str">
        <f>'数据-基础表'!C425</f>
        <v>7-2714</v>
      </c>
      <c r="B436" s="58">
        <f>'数据-基础表'!I425</f>
        <v>67.36</v>
      </c>
      <c r="C436" s="23">
        <f t="shared" si="74"/>
        <v>1</v>
      </c>
      <c r="D436" s="2966" t="s">
        <v>3709</v>
      </c>
      <c r="E436" s="23">
        <f t="shared" si="75"/>
        <v>1.02</v>
      </c>
      <c r="F436" s="2966" t="s">
        <v>3691</v>
      </c>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ca="1" si="82"/>
        <v>8066</v>
      </c>
      <c r="S436" s="361">
        <f t="shared" ca="1" si="83"/>
        <v>54</v>
      </c>
    </row>
    <row r="437" spans="1:19">
      <c r="A437" s="159" t="str">
        <f>'数据-基础表'!C426</f>
        <v>7-2715</v>
      </c>
      <c r="B437" s="58">
        <f>'数据-基础表'!I426</f>
        <v>80.73</v>
      </c>
      <c r="C437" s="23">
        <f t="shared" si="74"/>
        <v>1</v>
      </c>
      <c r="D437" s="2966" t="s">
        <v>3709</v>
      </c>
      <c r="E437" s="23">
        <f t="shared" si="75"/>
        <v>1.02</v>
      </c>
      <c r="F437" s="2966" t="s">
        <v>3691</v>
      </c>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ca="1" si="82"/>
        <v>8066</v>
      </c>
      <c r="S437" s="361">
        <f t="shared" ca="1" si="83"/>
        <v>65</v>
      </c>
    </row>
    <row r="438" spans="1:19">
      <c r="A438" s="159" t="str">
        <f>'数据-基础表'!C427</f>
        <v>7-2716</v>
      </c>
      <c r="B438" s="58">
        <f>'数据-基础表'!I427</f>
        <v>52.17</v>
      </c>
      <c r="C438" s="23">
        <f t="shared" si="74"/>
        <v>1.01</v>
      </c>
      <c r="D438" s="2966" t="s">
        <v>3709</v>
      </c>
      <c r="E438" s="23">
        <f t="shared" si="75"/>
        <v>1.02</v>
      </c>
      <c r="F438" s="2966" t="s">
        <v>3691</v>
      </c>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ca="1" si="82"/>
        <v>8147</v>
      </c>
      <c r="S438" s="361">
        <f t="shared" ca="1" si="83"/>
        <v>43</v>
      </c>
    </row>
    <row r="439" spans="1:19">
      <c r="A439" s="159" t="str">
        <f>'数据-基础表'!C428</f>
        <v>7-2717</v>
      </c>
      <c r="B439" s="58">
        <f>'数据-基础表'!I428</f>
        <v>52.17</v>
      </c>
      <c r="C439" s="23">
        <f t="shared" si="74"/>
        <v>1.01</v>
      </c>
      <c r="D439" s="2966" t="s">
        <v>3709</v>
      </c>
      <c r="E439" s="23">
        <f t="shared" si="75"/>
        <v>1.02</v>
      </c>
      <c r="F439" s="2966" t="s">
        <v>3691</v>
      </c>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ca="1" si="82"/>
        <v>8147</v>
      </c>
      <c r="S439" s="361">
        <f t="shared" ca="1" si="83"/>
        <v>43</v>
      </c>
    </row>
    <row r="440" spans="1:19">
      <c r="A440" s="159" t="str">
        <f>'数据-基础表'!C429</f>
        <v>7-2718</v>
      </c>
      <c r="B440" s="58">
        <f>'数据-基础表'!I429</f>
        <v>52.17</v>
      </c>
      <c r="C440" s="23">
        <f t="shared" si="74"/>
        <v>1.01</v>
      </c>
      <c r="D440" s="2966" t="s">
        <v>3709</v>
      </c>
      <c r="E440" s="23">
        <f t="shared" si="75"/>
        <v>1.02</v>
      </c>
      <c r="F440" s="2966" t="s">
        <v>3691</v>
      </c>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ca="1" si="82"/>
        <v>8147</v>
      </c>
      <c r="S440" s="361">
        <f t="shared" ca="1" si="83"/>
        <v>43</v>
      </c>
    </row>
    <row r="441" spans="1:19">
      <c r="A441" s="159" t="str">
        <f>'数据-基础表'!C430</f>
        <v>7-2719</v>
      </c>
      <c r="B441" s="58">
        <f>'数据-基础表'!I430</f>
        <v>52.17</v>
      </c>
      <c r="C441" s="23">
        <f t="shared" si="74"/>
        <v>1.01</v>
      </c>
      <c r="D441" s="2966" t="s">
        <v>3709</v>
      </c>
      <c r="E441" s="23">
        <f t="shared" si="75"/>
        <v>1.02</v>
      </c>
      <c r="F441" s="2966" t="s">
        <v>3691</v>
      </c>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ca="1" si="82"/>
        <v>8147</v>
      </c>
      <c r="S441" s="361">
        <f t="shared" ca="1" si="83"/>
        <v>43</v>
      </c>
    </row>
    <row r="442" spans="1:19">
      <c r="A442" s="159" t="str">
        <f>'数据-基础表'!C431</f>
        <v>7-2720</v>
      </c>
      <c r="B442" s="58">
        <f>'数据-基础表'!I431</f>
        <v>52.17</v>
      </c>
      <c r="C442" s="23">
        <f t="shared" si="74"/>
        <v>1.01</v>
      </c>
      <c r="D442" s="2966" t="s">
        <v>3709</v>
      </c>
      <c r="E442" s="23">
        <f t="shared" si="75"/>
        <v>1.02</v>
      </c>
      <c r="F442" s="2966" t="s">
        <v>3691</v>
      </c>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ca="1" si="82"/>
        <v>8147</v>
      </c>
      <c r="S442" s="361">
        <f t="shared" ca="1" si="83"/>
        <v>43</v>
      </c>
    </row>
    <row r="443" spans="1:19">
      <c r="A443" s="159" t="str">
        <f>'数据-基础表'!C432</f>
        <v>7-2721</v>
      </c>
      <c r="B443" s="58">
        <f>'数据-基础表'!I432</f>
        <v>52.17</v>
      </c>
      <c r="C443" s="23">
        <f t="shared" si="74"/>
        <v>1.01</v>
      </c>
      <c r="D443" s="2966" t="s">
        <v>3709</v>
      </c>
      <c r="E443" s="23">
        <f t="shared" si="75"/>
        <v>1.02</v>
      </c>
      <c r="F443" s="2966" t="s">
        <v>3691</v>
      </c>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ca="1" si="82"/>
        <v>8147</v>
      </c>
      <c r="S443" s="361">
        <f t="shared" ca="1" si="83"/>
        <v>43</v>
      </c>
    </row>
    <row r="444" spans="1:19">
      <c r="A444" s="159" t="str">
        <f>'数据-基础表'!C433</f>
        <v>7-2722</v>
      </c>
      <c r="B444" s="58">
        <f>'数据-基础表'!I433</f>
        <v>52.17</v>
      </c>
      <c r="C444" s="23">
        <f t="shared" si="74"/>
        <v>1.01</v>
      </c>
      <c r="D444" s="2966" t="s">
        <v>3709</v>
      </c>
      <c r="E444" s="23">
        <f t="shared" si="75"/>
        <v>1.02</v>
      </c>
      <c r="F444" s="2966" t="s">
        <v>3691</v>
      </c>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ca="1" si="82"/>
        <v>8147</v>
      </c>
      <c r="S444" s="361">
        <f t="shared" ca="1" si="83"/>
        <v>43</v>
      </c>
    </row>
    <row r="445" spans="1:19">
      <c r="A445" s="159" t="str">
        <f>'数据-基础表'!C434</f>
        <v>7-2723</v>
      </c>
      <c r="B445" s="58">
        <f>'数据-基础表'!I434</f>
        <v>52.17</v>
      </c>
      <c r="C445" s="23">
        <f t="shared" si="74"/>
        <v>1.01</v>
      </c>
      <c r="D445" s="2966" t="s">
        <v>3709</v>
      </c>
      <c r="E445" s="23">
        <f t="shared" si="75"/>
        <v>1.02</v>
      </c>
      <c r="F445" s="2966" t="s">
        <v>3691</v>
      </c>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ca="1" si="82"/>
        <v>8147</v>
      </c>
      <c r="S445" s="361">
        <f t="shared" ca="1" si="83"/>
        <v>43</v>
      </c>
    </row>
    <row r="446" spans="1:19">
      <c r="A446" s="159" t="str">
        <f>'数据-基础表'!C435</f>
        <v>7-2724</v>
      </c>
      <c r="B446" s="58">
        <f>'数据-基础表'!I435</f>
        <v>52.17</v>
      </c>
      <c r="C446" s="23">
        <f t="shared" si="74"/>
        <v>1.01</v>
      </c>
      <c r="D446" s="2966" t="s">
        <v>3709</v>
      </c>
      <c r="E446" s="23">
        <f t="shared" si="75"/>
        <v>1.02</v>
      </c>
      <c r="F446" s="2966" t="s">
        <v>3691</v>
      </c>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ca="1" si="82"/>
        <v>8147</v>
      </c>
      <c r="S446" s="361">
        <f t="shared" ca="1" si="83"/>
        <v>43</v>
      </c>
    </row>
    <row r="447" spans="1:19">
      <c r="A447" s="159" t="str">
        <f>'数据-基础表'!C436</f>
        <v>7-2725</v>
      </c>
      <c r="B447" s="58">
        <f>'数据-基础表'!I436</f>
        <v>52.17</v>
      </c>
      <c r="C447" s="23">
        <f t="shared" si="74"/>
        <v>1.01</v>
      </c>
      <c r="D447" s="2966" t="s">
        <v>3709</v>
      </c>
      <c r="E447" s="23">
        <f t="shared" si="75"/>
        <v>1.02</v>
      </c>
      <c r="F447" s="2966" t="s">
        <v>3691</v>
      </c>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ca="1" si="82"/>
        <v>8147</v>
      </c>
      <c r="S447" s="361">
        <f t="shared" ca="1" si="83"/>
        <v>43</v>
      </c>
    </row>
    <row r="448" spans="1:19">
      <c r="A448" s="159" t="str">
        <f>'数据-基础表'!C437</f>
        <v>7-2726</v>
      </c>
      <c r="B448" s="58">
        <f>'数据-基础表'!I437</f>
        <v>80.73</v>
      </c>
      <c r="C448" s="23">
        <f t="shared" si="74"/>
        <v>1</v>
      </c>
      <c r="D448" s="2966" t="s">
        <v>3709</v>
      </c>
      <c r="E448" s="23">
        <f t="shared" si="75"/>
        <v>1.02</v>
      </c>
      <c r="F448" s="2966" t="s">
        <v>3691</v>
      </c>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ca="1" si="82"/>
        <v>8066</v>
      </c>
      <c r="S448" s="361">
        <f t="shared" ca="1" si="83"/>
        <v>65</v>
      </c>
    </row>
    <row r="449" spans="1:19">
      <c r="A449" s="159" t="str">
        <f>'数据-基础表'!C438</f>
        <v>7-2727</v>
      </c>
      <c r="B449" s="58">
        <f>'数据-基础表'!I438</f>
        <v>93.08</v>
      </c>
      <c r="C449" s="23">
        <f t="shared" si="74"/>
        <v>1</v>
      </c>
      <c r="D449" s="2966" t="s">
        <v>3709</v>
      </c>
      <c r="E449" s="23">
        <f t="shared" si="75"/>
        <v>1.02</v>
      </c>
      <c r="F449" s="2966" t="s">
        <v>3691</v>
      </c>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ca="1" si="82"/>
        <v>8066</v>
      </c>
      <c r="S449" s="361">
        <f t="shared" ca="1" si="83"/>
        <v>75</v>
      </c>
    </row>
    <row r="450" spans="1:19">
      <c r="A450" s="159" t="str">
        <f>'数据-基础表'!C439</f>
        <v>7-2728</v>
      </c>
      <c r="B450" s="58">
        <f>'数据-基础表'!I439</f>
        <v>93.08</v>
      </c>
      <c r="C450" s="23">
        <f t="shared" si="74"/>
        <v>1</v>
      </c>
      <c r="D450" s="2966" t="s">
        <v>3709</v>
      </c>
      <c r="E450" s="23">
        <f t="shared" si="75"/>
        <v>1.02</v>
      </c>
      <c r="F450" s="2966" t="s">
        <v>3691</v>
      </c>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ca="1" si="82"/>
        <v>8066</v>
      </c>
      <c r="S450" s="361">
        <f t="shared" ca="1" si="83"/>
        <v>75</v>
      </c>
    </row>
    <row r="451" spans="1:19">
      <c r="A451" s="159" t="str">
        <f>'数据-基础表'!C440</f>
        <v>7-301</v>
      </c>
      <c r="B451" s="58">
        <f>'数据-基础表'!I440</f>
        <v>73.3</v>
      </c>
      <c r="C451" s="23">
        <f t="shared" si="74"/>
        <v>1</v>
      </c>
      <c r="D451" s="2966" t="s">
        <v>3712</v>
      </c>
      <c r="E451" s="23">
        <f t="shared" si="75"/>
        <v>0.98</v>
      </c>
      <c r="F451" s="2966" t="s">
        <v>3691</v>
      </c>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ca="1" si="82"/>
        <v>7750</v>
      </c>
      <c r="S451" s="361">
        <f t="shared" ca="1" si="83"/>
        <v>57</v>
      </c>
    </row>
    <row r="452" spans="1:19">
      <c r="A452" s="159" t="str">
        <f>'数据-基础表'!C441</f>
        <v>7-302</v>
      </c>
      <c r="B452" s="58">
        <f>'数据-基础表'!I441</f>
        <v>47.36</v>
      </c>
      <c r="C452" s="23">
        <f t="shared" si="74"/>
        <v>1.01</v>
      </c>
      <c r="D452" s="2966" t="s">
        <v>3712</v>
      </c>
      <c r="E452" s="23">
        <f t="shared" si="75"/>
        <v>0.98</v>
      </c>
      <c r="F452" s="2966" t="s">
        <v>3691</v>
      </c>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ca="1" si="82"/>
        <v>7827</v>
      </c>
      <c r="S452" s="361">
        <f t="shared" ca="1" si="83"/>
        <v>37</v>
      </c>
    </row>
    <row r="453" spans="1:19">
      <c r="A453" s="159" t="str">
        <f>'数据-基础表'!C442</f>
        <v>7-303</v>
      </c>
      <c r="B453" s="58">
        <f>'数据-基础表'!I442</f>
        <v>94.72</v>
      </c>
      <c r="C453" s="23">
        <f t="shared" si="74"/>
        <v>1</v>
      </c>
      <c r="D453" s="2966" t="s">
        <v>3712</v>
      </c>
      <c r="E453" s="23">
        <f t="shared" si="75"/>
        <v>0.98</v>
      </c>
      <c r="F453" s="2966" t="s">
        <v>3691</v>
      </c>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ca="1" si="82"/>
        <v>7750</v>
      </c>
      <c r="S453" s="361">
        <f t="shared" ca="1" si="83"/>
        <v>73</v>
      </c>
    </row>
    <row r="454" spans="1:19">
      <c r="A454" s="159" t="str">
        <f>'数据-基础表'!C443</f>
        <v>7-304</v>
      </c>
      <c r="B454" s="58">
        <f>'数据-基础表'!I443</f>
        <v>94.72</v>
      </c>
      <c r="C454" s="23">
        <f t="shared" si="74"/>
        <v>1</v>
      </c>
      <c r="D454" s="2966" t="s">
        <v>3712</v>
      </c>
      <c r="E454" s="23">
        <f t="shared" si="75"/>
        <v>0.98</v>
      </c>
      <c r="F454" s="2966" t="s">
        <v>3691</v>
      </c>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ca="1" si="82"/>
        <v>7750</v>
      </c>
      <c r="S454" s="361">
        <f t="shared" ca="1" si="83"/>
        <v>73</v>
      </c>
    </row>
    <row r="455" spans="1:19">
      <c r="A455" s="159" t="str">
        <f>'数据-基础表'!C444</f>
        <v>7-305</v>
      </c>
      <c r="B455" s="58">
        <f>'数据-基础表'!I444</f>
        <v>94.72</v>
      </c>
      <c r="C455" s="23">
        <f t="shared" si="74"/>
        <v>1</v>
      </c>
      <c r="D455" s="2966" t="s">
        <v>3712</v>
      </c>
      <c r="E455" s="23">
        <f t="shared" si="75"/>
        <v>0.98</v>
      </c>
      <c r="F455" s="2966" t="s">
        <v>3691</v>
      </c>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ca="1" si="82"/>
        <v>7750</v>
      </c>
      <c r="S455" s="361">
        <f t="shared" ca="1" si="83"/>
        <v>73</v>
      </c>
    </row>
    <row r="456" spans="1:19">
      <c r="A456" s="159" t="str">
        <f>'数据-基础表'!C445</f>
        <v>7-306</v>
      </c>
      <c r="B456" s="58">
        <f>'数据-基础表'!I445</f>
        <v>94.72</v>
      </c>
      <c r="C456" s="23">
        <f t="shared" si="74"/>
        <v>1</v>
      </c>
      <c r="D456" s="2966" t="s">
        <v>3712</v>
      </c>
      <c r="E456" s="23">
        <f t="shared" si="75"/>
        <v>0.98</v>
      </c>
      <c r="F456" s="2966" t="s">
        <v>3691</v>
      </c>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ca="1" si="82"/>
        <v>7750</v>
      </c>
      <c r="S456" s="361">
        <f t="shared" ca="1" si="83"/>
        <v>73</v>
      </c>
    </row>
    <row r="457" spans="1:19">
      <c r="A457" s="159" t="str">
        <f>'数据-基础表'!C446</f>
        <v>7-307</v>
      </c>
      <c r="B457" s="58">
        <f>'数据-基础表'!I446</f>
        <v>198.06</v>
      </c>
      <c r="C457" s="23">
        <f t="shared" si="74"/>
        <v>0.98</v>
      </c>
      <c r="D457" s="2966" t="s">
        <v>3712</v>
      </c>
      <c r="E457" s="23">
        <f t="shared" si="75"/>
        <v>0.98</v>
      </c>
      <c r="F457" s="2966" t="s">
        <v>3691</v>
      </c>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ca="1" si="82"/>
        <v>7595</v>
      </c>
      <c r="S457" s="361">
        <f t="shared" ca="1" si="83"/>
        <v>150</v>
      </c>
    </row>
    <row r="458" spans="1:19">
      <c r="A458" s="159" t="str">
        <f>'数据-基础表'!C447</f>
        <v>7-308</v>
      </c>
      <c r="B458" s="58">
        <f>'数据-基础表'!I447</f>
        <v>198.06</v>
      </c>
      <c r="C458" s="23">
        <f t="shared" si="74"/>
        <v>0.98</v>
      </c>
      <c r="D458" s="2966" t="s">
        <v>3712</v>
      </c>
      <c r="E458" s="23">
        <f t="shared" si="75"/>
        <v>0.98</v>
      </c>
      <c r="F458" s="2966" t="s">
        <v>3691</v>
      </c>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ca="1" si="82"/>
        <v>7595</v>
      </c>
      <c r="S458" s="361">
        <f t="shared" ca="1" si="83"/>
        <v>150</v>
      </c>
    </row>
    <row r="459" spans="1:19">
      <c r="A459" s="159" t="str">
        <f>'数据-基础表'!C448</f>
        <v>7-309</v>
      </c>
      <c r="B459" s="58">
        <f>'数据-基础表'!I448</f>
        <v>198.06</v>
      </c>
      <c r="C459" s="23">
        <f t="shared" si="74"/>
        <v>0.98</v>
      </c>
      <c r="D459" s="2966" t="s">
        <v>3712</v>
      </c>
      <c r="E459" s="23">
        <f t="shared" si="75"/>
        <v>0.98</v>
      </c>
      <c r="F459" s="2966" t="s">
        <v>3691</v>
      </c>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ca="1" si="82"/>
        <v>7595</v>
      </c>
      <c r="S459" s="361">
        <f t="shared" ca="1" si="83"/>
        <v>150</v>
      </c>
    </row>
    <row r="460" spans="1:19">
      <c r="A460" s="159" t="str">
        <f>'数据-基础表'!C449</f>
        <v>7-310</v>
      </c>
      <c r="B460" s="58">
        <f>'数据-基础表'!I449</f>
        <v>226.35</v>
      </c>
      <c r="C460" s="23">
        <f t="shared" si="74"/>
        <v>0.98</v>
      </c>
      <c r="D460" s="2966" t="s">
        <v>3712</v>
      </c>
      <c r="E460" s="23">
        <f t="shared" si="75"/>
        <v>0.98</v>
      </c>
      <c r="F460" s="2966" t="s">
        <v>3691</v>
      </c>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ca="1" si="82"/>
        <v>7595</v>
      </c>
      <c r="S460" s="361">
        <f t="shared" ca="1" si="83"/>
        <v>172</v>
      </c>
    </row>
    <row r="461" spans="1:19">
      <c r="A461" s="159" t="str">
        <f>'数据-基础表'!C450</f>
        <v>7-311</v>
      </c>
      <c r="B461" s="58">
        <f>'数据-基础表'!I450</f>
        <v>47.36</v>
      </c>
      <c r="C461" s="23">
        <f t="shared" si="74"/>
        <v>1.01</v>
      </c>
      <c r="D461" s="2966" t="s">
        <v>3712</v>
      </c>
      <c r="E461" s="23">
        <f t="shared" si="75"/>
        <v>0.98</v>
      </c>
      <c r="F461" s="2966" t="s">
        <v>3691</v>
      </c>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ca="1" si="82"/>
        <v>7827</v>
      </c>
      <c r="S461" s="361">
        <f t="shared" ca="1" si="83"/>
        <v>37</v>
      </c>
    </row>
    <row r="462" spans="1:19">
      <c r="A462" s="159" t="str">
        <f>'数据-基础表'!C451</f>
        <v>7-312</v>
      </c>
      <c r="B462" s="58">
        <f>'数据-基础表'!I451</f>
        <v>73.3</v>
      </c>
      <c r="C462" s="23">
        <f t="shared" si="74"/>
        <v>1</v>
      </c>
      <c r="D462" s="2966" t="s">
        <v>3712</v>
      </c>
      <c r="E462" s="23">
        <f t="shared" si="75"/>
        <v>0.98</v>
      </c>
      <c r="F462" s="2966" t="s">
        <v>3691</v>
      </c>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ca="1" si="82"/>
        <v>7750</v>
      </c>
      <c r="S462" s="361">
        <f t="shared" ca="1" si="83"/>
        <v>57</v>
      </c>
    </row>
    <row r="463" spans="1:19">
      <c r="A463" s="159" t="str">
        <f>'数据-基础表'!C452</f>
        <v>7-313</v>
      </c>
      <c r="B463" s="58">
        <f>'数据-基础表'!I452</f>
        <v>130.02000000000001</v>
      </c>
      <c r="C463" s="23">
        <f t="shared" si="74"/>
        <v>0.99</v>
      </c>
      <c r="D463" s="2966" t="s">
        <v>3712</v>
      </c>
      <c r="E463" s="23">
        <f t="shared" si="75"/>
        <v>0.98</v>
      </c>
      <c r="F463" s="2966" t="s">
        <v>3691</v>
      </c>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ca="1" si="82"/>
        <v>7672</v>
      </c>
      <c r="S463" s="361">
        <f t="shared" ca="1" si="83"/>
        <v>100</v>
      </c>
    </row>
    <row r="464" spans="1:19">
      <c r="A464" s="159" t="str">
        <f>'数据-基础表'!C453</f>
        <v>7-401</v>
      </c>
      <c r="B464" s="58">
        <f>'数据-基础表'!I453</f>
        <v>73.3</v>
      </c>
      <c r="C464" s="23">
        <f t="shared" si="74"/>
        <v>1</v>
      </c>
      <c r="D464" s="2966" t="s">
        <v>3712</v>
      </c>
      <c r="E464" s="23">
        <f t="shared" si="75"/>
        <v>0.98</v>
      </c>
      <c r="F464" s="2966" t="s">
        <v>3691</v>
      </c>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ca="1" si="82"/>
        <v>7750</v>
      </c>
      <c r="S464" s="361">
        <f t="shared" ca="1" si="83"/>
        <v>57</v>
      </c>
    </row>
    <row r="465" spans="1:19">
      <c r="A465" s="159" t="str">
        <f>'数据-基础表'!C454</f>
        <v>7-402</v>
      </c>
      <c r="B465" s="58">
        <f>'数据-基础表'!I454</f>
        <v>47.36</v>
      </c>
      <c r="C465" s="23">
        <f t="shared" si="74"/>
        <v>1.01</v>
      </c>
      <c r="D465" s="2966" t="s">
        <v>3712</v>
      </c>
      <c r="E465" s="23">
        <f t="shared" si="75"/>
        <v>0.98</v>
      </c>
      <c r="F465" s="2966" t="s">
        <v>3691</v>
      </c>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ca="1" si="82"/>
        <v>7827</v>
      </c>
      <c r="S465" s="361">
        <f t="shared" ca="1" si="83"/>
        <v>37</v>
      </c>
    </row>
    <row r="466" spans="1:19">
      <c r="A466" s="159" t="str">
        <f>'数据-基础表'!C455</f>
        <v>7-403</v>
      </c>
      <c r="B466" s="58">
        <f>'数据-基础表'!I455</f>
        <v>94.72</v>
      </c>
      <c r="C466" s="23">
        <f t="shared" si="74"/>
        <v>1</v>
      </c>
      <c r="D466" s="2966" t="s">
        <v>3712</v>
      </c>
      <c r="E466" s="23">
        <f t="shared" si="75"/>
        <v>0.98</v>
      </c>
      <c r="F466" s="2966" t="s">
        <v>3691</v>
      </c>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ca="1" si="82"/>
        <v>7750</v>
      </c>
      <c r="S466" s="361">
        <f t="shared" ca="1" si="83"/>
        <v>73</v>
      </c>
    </row>
    <row r="467" spans="1:19">
      <c r="A467" s="159" t="str">
        <f>'数据-基础表'!C456</f>
        <v>7-404</v>
      </c>
      <c r="B467" s="58">
        <f>'数据-基础表'!I456</f>
        <v>94.72</v>
      </c>
      <c r="C467" s="23">
        <f t="shared" si="74"/>
        <v>1</v>
      </c>
      <c r="D467" s="2966" t="s">
        <v>3712</v>
      </c>
      <c r="E467" s="23">
        <f t="shared" si="75"/>
        <v>0.98</v>
      </c>
      <c r="F467" s="2966" t="s">
        <v>3691</v>
      </c>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ca="1" si="82"/>
        <v>7750</v>
      </c>
      <c r="S467" s="361">
        <f t="shared" ca="1" si="83"/>
        <v>73</v>
      </c>
    </row>
    <row r="468" spans="1:19">
      <c r="A468" s="159" t="str">
        <f>'数据-基础表'!C457</f>
        <v>7-405</v>
      </c>
      <c r="B468" s="58">
        <f>'数据-基础表'!I457</f>
        <v>94.72</v>
      </c>
      <c r="C468" s="23">
        <f t="shared" si="74"/>
        <v>1</v>
      </c>
      <c r="D468" s="2966" t="s">
        <v>3712</v>
      </c>
      <c r="E468" s="23">
        <f t="shared" si="75"/>
        <v>0.98</v>
      </c>
      <c r="F468" s="2966" t="s">
        <v>3691</v>
      </c>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ca="1" si="82"/>
        <v>7750</v>
      </c>
      <c r="S468" s="361">
        <f t="shared" ref="S468:S497" ca="1" si="84">ROUND(R468*B468/10000,0)</f>
        <v>73</v>
      </c>
    </row>
    <row r="469" spans="1:19">
      <c r="A469" s="159" t="str">
        <f>'数据-基础表'!C458</f>
        <v>7-406</v>
      </c>
      <c r="B469" s="58">
        <f>'数据-基础表'!I458</f>
        <v>94.72</v>
      </c>
      <c r="C469" s="23">
        <f t="shared" si="74"/>
        <v>1</v>
      </c>
      <c r="D469" s="2966" t="s">
        <v>3712</v>
      </c>
      <c r="E469" s="23">
        <f t="shared" si="75"/>
        <v>0.98</v>
      </c>
      <c r="F469" s="2966" t="s">
        <v>3691</v>
      </c>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ca="1" si="82"/>
        <v>7750</v>
      </c>
      <c r="S469" s="361">
        <f t="shared" ca="1" si="84"/>
        <v>73</v>
      </c>
    </row>
    <row r="470" spans="1:19">
      <c r="A470" s="159" t="str">
        <f>'数据-基础表'!C459</f>
        <v>7-407</v>
      </c>
      <c r="B470" s="58">
        <f>'数据-基础表'!I459</f>
        <v>198.06</v>
      </c>
      <c r="C470" s="23">
        <f t="shared" si="74"/>
        <v>0.98</v>
      </c>
      <c r="D470" s="2966" t="s">
        <v>3712</v>
      </c>
      <c r="E470" s="23">
        <f t="shared" si="75"/>
        <v>0.98</v>
      </c>
      <c r="F470" s="2966" t="s">
        <v>3691</v>
      </c>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ca="1" si="82"/>
        <v>7595</v>
      </c>
      <c r="S470" s="361">
        <f t="shared" ca="1" si="84"/>
        <v>150</v>
      </c>
    </row>
    <row r="471" spans="1:19">
      <c r="A471" s="159" t="str">
        <f>'数据-基础表'!C460</f>
        <v>7-408</v>
      </c>
      <c r="B471" s="58">
        <f>'数据-基础表'!I460</f>
        <v>198.06</v>
      </c>
      <c r="C471" s="23">
        <f t="shared" si="74"/>
        <v>0.98</v>
      </c>
      <c r="D471" s="2966" t="s">
        <v>3712</v>
      </c>
      <c r="E471" s="23">
        <f t="shared" si="75"/>
        <v>0.98</v>
      </c>
      <c r="F471" s="2966" t="s">
        <v>3691</v>
      </c>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ca="1" si="82"/>
        <v>7595</v>
      </c>
      <c r="S471" s="361">
        <f t="shared" ca="1" si="84"/>
        <v>150</v>
      </c>
    </row>
    <row r="472" spans="1:19">
      <c r="A472" s="159" t="str">
        <f>'数据-基础表'!C461</f>
        <v>7-409</v>
      </c>
      <c r="B472" s="58">
        <f>'数据-基础表'!I461</f>
        <v>198.06</v>
      </c>
      <c r="C472" s="23">
        <f t="shared" si="74"/>
        <v>0.98</v>
      </c>
      <c r="D472" s="2966" t="s">
        <v>3712</v>
      </c>
      <c r="E472" s="23">
        <f t="shared" si="75"/>
        <v>0.98</v>
      </c>
      <c r="F472" s="2966" t="s">
        <v>3691</v>
      </c>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ca="1" si="82"/>
        <v>7595</v>
      </c>
      <c r="S472" s="361">
        <f t="shared" ca="1" si="84"/>
        <v>150</v>
      </c>
    </row>
    <row r="473" spans="1:19">
      <c r="A473" s="159" t="str">
        <f>'数据-基础表'!C462</f>
        <v>7-410</v>
      </c>
      <c r="B473" s="58">
        <f>'数据-基础表'!I462</f>
        <v>226.35</v>
      </c>
      <c r="C473" s="23">
        <f t="shared" si="74"/>
        <v>0.98</v>
      </c>
      <c r="D473" s="2966" t="s">
        <v>3712</v>
      </c>
      <c r="E473" s="23">
        <f t="shared" si="75"/>
        <v>0.98</v>
      </c>
      <c r="F473" s="2966" t="s">
        <v>3691</v>
      </c>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ca="1" si="82"/>
        <v>7595</v>
      </c>
      <c r="S473" s="361">
        <f t="shared" ca="1" si="84"/>
        <v>172</v>
      </c>
    </row>
    <row r="474" spans="1:19">
      <c r="A474" s="159" t="str">
        <f>'数据-基础表'!C463</f>
        <v>7-411</v>
      </c>
      <c r="B474" s="58">
        <f>'数据-基础表'!I463</f>
        <v>47.36</v>
      </c>
      <c r="C474" s="23">
        <f t="shared" ref="C474:C537" si="85">IF(B474="",1,(LOOKUP(B474,$3:$3,$4:$4)-LOOKUP($B$24,$3:$3,$4:$4)+100)/100)</f>
        <v>1.01</v>
      </c>
      <c r="D474" s="2966" t="s">
        <v>3712</v>
      </c>
      <c r="E474" s="23">
        <f t="shared" ref="E474:E537" si="86">(SUMIF($5:$5,D474,$6:$6)-SUMIF($5:$5,$D$24,$6:$6)+100)/100</f>
        <v>0.98</v>
      </c>
      <c r="F474" s="2966" t="s">
        <v>3691</v>
      </c>
      <c r="G474" s="23">
        <f t="shared" ref="G474:G537" si="87">(SUMIF($7:$7,F474,$8:$8)-SUMIF($7:$7,$F$24,$8:$8)+100)/100</f>
        <v>1</v>
      </c>
      <c r="H474" s="720"/>
      <c r="I474" s="23">
        <f t="shared" ref="I474:I537" si="88">(SUMIF($9:$9,H474,$10:$10)-SUMIF($9:$9,$H$24,$10:$10)+100)/100</f>
        <v>1</v>
      </c>
      <c r="J474" s="720"/>
      <c r="K474" s="23">
        <f t="shared" ref="K474:K537" si="89">(SUMIF($11:$11,J474,$12:$12)-SUMIF($11:$11,$J$24,$12:$12)+100)/100</f>
        <v>1</v>
      </c>
      <c r="L474" s="720"/>
      <c r="M474" s="23">
        <f t="shared" ref="M474:M537" si="90">(SUMIF($13:$13,L474,$14:$14)-SUMIF($13:$13,$L$24,$14:$14)+100)/100</f>
        <v>1</v>
      </c>
      <c r="N474" s="720"/>
      <c r="O474" s="23">
        <f t="shared" ref="O474:O537" si="91">(SUMIF($15:$15,N474,$16:$16)-SUMIF($15:$15,$N$24,$16:$16)+100)/100</f>
        <v>1</v>
      </c>
      <c r="P474" s="720"/>
      <c r="Q474" s="23">
        <f t="shared" ref="Q474:Q537" si="92">(SUMIF($17:$17,P474,$18:$18)-SUMIF($17:$17,$P$24,$18:$18)+100)/100</f>
        <v>1</v>
      </c>
      <c r="R474" s="716">
        <f t="shared" ref="R474:R537" ca="1" si="93">IF(B474="",0,ROUND($R$24*C474*E474*G474*I474*K474*M474*O474*Q474,0))</f>
        <v>7827</v>
      </c>
      <c r="S474" s="361">
        <f t="shared" ca="1" si="84"/>
        <v>37</v>
      </c>
    </row>
    <row r="475" spans="1:19">
      <c r="A475" s="159" t="str">
        <f>'数据-基础表'!C464</f>
        <v>7-412</v>
      </c>
      <c r="B475" s="58">
        <f>'数据-基础表'!I464</f>
        <v>73.3</v>
      </c>
      <c r="C475" s="23">
        <f t="shared" si="85"/>
        <v>1</v>
      </c>
      <c r="D475" s="2966" t="s">
        <v>3712</v>
      </c>
      <c r="E475" s="23">
        <f t="shared" si="86"/>
        <v>0.98</v>
      </c>
      <c r="F475" s="2966" t="s">
        <v>3691</v>
      </c>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ca="1" si="93"/>
        <v>7750</v>
      </c>
      <c r="S475" s="361">
        <f t="shared" ca="1" si="84"/>
        <v>57</v>
      </c>
    </row>
    <row r="476" spans="1:19">
      <c r="A476" s="159" t="str">
        <f>'数据-基础表'!C465</f>
        <v>7-413</v>
      </c>
      <c r="B476" s="58">
        <f>'数据-基础表'!I465</f>
        <v>130.02000000000001</v>
      </c>
      <c r="C476" s="23">
        <f t="shared" si="85"/>
        <v>0.99</v>
      </c>
      <c r="D476" s="2966" t="s">
        <v>3712</v>
      </c>
      <c r="E476" s="23">
        <f t="shared" si="86"/>
        <v>0.98</v>
      </c>
      <c r="F476" s="2966" t="s">
        <v>3691</v>
      </c>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ca="1" si="93"/>
        <v>7672</v>
      </c>
      <c r="S476" s="361">
        <f t="shared" ca="1" si="84"/>
        <v>100</v>
      </c>
    </row>
    <row r="477" spans="1:19">
      <c r="A477" s="159" t="str">
        <f>'数据-基础表'!C466</f>
        <v>7-501</v>
      </c>
      <c r="B477" s="58">
        <f>'数据-基础表'!I466</f>
        <v>73.3</v>
      </c>
      <c r="C477" s="23">
        <f t="shared" si="85"/>
        <v>1</v>
      </c>
      <c r="D477" s="2966" t="s">
        <v>3712</v>
      </c>
      <c r="E477" s="23">
        <f t="shared" si="86"/>
        <v>0.98</v>
      </c>
      <c r="F477" s="2966" t="s">
        <v>3691</v>
      </c>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ca="1" si="93"/>
        <v>7750</v>
      </c>
      <c r="S477" s="361">
        <f t="shared" ca="1" si="84"/>
        <v>57</v>
      </c>
    </row>
    <row r="478" spans="1:19">
      <c r="A478" s="159" t="str">
        <f>'数据-基础表'!C467</f>
        <v>7-502</v>
      </c>
      <c r="B478" s="58">
        <f>'数据-基础表'!I467</f>
        <v>47.36</v>
      </c>
      <c r="C478" s="23">
        <f t="shared" si="85"/>
        <v>1.01</v>
      </c>
      <c r="D478" s="2966" t="s">
        <v>3712</v>
      </c>
      <c r="E478" s="23">
        <f t="shared" si="86"/>
        <v>0.98</v>
      </c>
      <c r="F478" s="2966" t="s">
        <v>3691</v>
      </c>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ca="1" si="93"/>
        <v>7827</v>
      </c>
      <c r="S478" s="361">
        <f t="shared" ca="1" si="84"/>
        <v>37</v>
      </c>
    </row>
    <row r="479" spans="1:19">
      <c r="A479" s="159" t="str">
        <f>'数据-基础表'!C468</f>
        <v>7-503</v>
      </c>
      <c r="B479" s="58">
        <f>'数据-基础表'!I468</f>
        <v>94.72</v>
      </c>
      <c r="C479" s="23">
        <f t="shared" si="85"/>
        <v>1</v>
      </c>
      <c r="D479" s="2966" t="s">
        <v>3712</v>
      </c>
      <c r="E479" s="23">
        <f t="shared" si="86"/>
        <v>0.98</v>
      </c>
      <c r="F479" s="2966" t="s">
        <v>3691</v>
      </c>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ca="1" si="93"/>
        <v>7750</v>
      </c>
      <c r="S479" s="361">
        <f t="shared" ca="1" si="84"/>
        <v>73</v>
      </c>
    </row>
    <row r="480" spans="1:19">
      <c r="A480" s="159" t="str">
        <f>'数据-基础表'!C469</f>
        <v>7-504</v>
      </c>
      <c r="B480" s="58">
        <f>'数据-基础表'!I469</f>
        <v>94.72</v>
      </c>
      <c r="C480" s="23">
        <f t="shared" si="85"/>
        <v>1</v>
      </c>
      <c r="D480" s="2966" t="s">
        <v>3712</v>
      </c>
      <c r="E480" s="23">
        <f t="shared" si="86"/>
        <v>0.98</v>
      </c>
      <c r="F480" s="2966" t="s">
        <v>3691</v>
      </c>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ca="1" si="93"/>
        <v>7750</v>
      </c>
      <c r="S480" s="361">
        <f t="shared" ca="1" si="84"/>
        <v>73</v>
      </c>
    </row>
    <row r="481" spans="1:19">
      <c r="A481" s="159" t="str">
        <f>'数据-基础表'!C470</f>
        <v>7-505</v>
      </c>
      <c r="B481" s="58">
        <f>'数据-基础表'!I470</f>
        <v>94.72</v>
      </c>
      <c r="C481" s="23">
        <f t="shared" si="85"/>
        <v>1</v>
      </c>
      <c r="D481" s="2966" t="s">
        <v>3712</v>
      </c>
      <c r="E481" s="23">
        <f t="shared" si="86"/>
        <v>0.98</v>
      </c>
      <c r="F481" s="2966" t="s">
        <v>3691</v>
      </c>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ca="1" si="93"/>
        <v>7750</v>
      </c>
      <c r="S481" s="361">
        <f t="shared" ca="1" si="84"/>
        <v>73</v>
      </c>
    </row>
    <row r="482" spans="1:19">
      <c r="A482" s="159" t="str">
        <f>'数据-基础表'!C471</f>
        <v>7-506</v>
      </c>
      <c r="B482" s="58">
        <f>'数据-基础表'!I471</f>
        <v>94.72</v>
      </c>
      <c r="C482" s="23">
        <f t="shared" si="85"/>
        <v>1</v>
      </c>
      <c r="D482" s="2966" t="s">
        <v>3712</v>
      </c>
      <c r="E482" s="23">
        <f t="shared" si="86"/>
        <v>0.98</v>
      </c>
      <c r="F482" s="2966" t="s">
        <v>3691</v>
      </c>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ca="1" si="93"/>
        <v>7750</v>
      </c>
      <c r="S482" s="361">
        <f t="shared" ca="1" si="84"/>
        <v>73</v>
      </c>
    </row>
    <row r="483" spans="1:19">
      <c r="A483" s="159" t="str">
        <f>'数据-基础表'!C472</f>
        <v>7-507</v>
      </c>
      <c r="B483" s="58">
        <f>'数据-基础表'!I472</f>
        <v>198.06</v>
      </c>
      <c r="C483" s="23">
        <f t="shared" si="85"/>
        <v>0.98</v>
      </c>
      <c r="D483" s="2966" t="s">
        <v>3712</v>
      </c>
      <c r="E483" s="23">
        <f t="shared" si="86"/>
        <v>0.98</v>
      </c>
      <c r="F483" s="2966" t="s">
        <v>3691</v>
      </c>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ca="1" si="93"/>
        <v>7595</v>
      </c>
      <c r="S483" s="361">
        <f t="shared" ca="1" si="84"/>
        <v>150</v>
      </c>
    </row>
    <row r="484" spans="1:19">
      <c r="A484" s="159" t="str">
        <f>'数据-基础表'!C473</f>
        <v>7-508</v>
      </c>
      <c r="B484" s="58">
        <f>'数据-基础表'!I473</f>
        <v>198.06</v>
      </c>
      <c r="C484" s="23">
        <f t="shared" si="85"/>
        <v>0.98</v>
      </c>
      <c r="D484" s="2966" t="s">
        <v>3712</v>
      </c>
      <c r="E484" s="23">
        <f t="shared" si="86"/>
        <v>0.98</v>
      </c>
      <c r="F484" s="2966" t="s">
        <v>3691</v>
      </c>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ca="1" si="93"/>
        <v>7595</v>
      </c>
      <c r="S484" s="361">
        <f t="shared" ca="1" si="84"/>
        <v>150</v>
      </c>
    </row>
    <row r="485" spans="1:19">
      <c r="A485" s="159" t="str">
        <f>'数据-基础表'!C474</f>
        <v>7-509</v>
      </c>
      <c r="B485" s="58">
        <f>'数据-基础表'!I474</f>
        <v>198.06</v>
      </c>
      <c r="C485" s="23">
        <f t="shared" si="85"/>
        <v>0.98</v>
      </c>
      <c r="D485" s="2966" t="s">
        <v>3712</v>
      </c>
      <c r="E485" s="23">
        <f t="shared" si="86"/>
        <v>0.98</v>
      </c>
      <c r="F485" s="2966" t="s">
        <v>3691</v>
      </c>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ca="1" si="93"/>
        <v>7595</v>
      </c>
      <c r="S485" s="361">
        <f t="shared" ca="1" si="84"/>
        <v>150</v>
      </c>
    </row>
    <row r="486" spans="1:19">
      <c r="A486" s="159" t="str">
        <f>'数据-基础表'!C475</f>
        <v>7-510</v>
      </c>
      <c r="B486" s="58">
        <f>'数据-基础表'!I475</f>
        <v>226.35</v>
      </c>
      <c r="C486" s="23">
        <f t="shared" si="85"/>
        <v>0.98</v>
      </c>
      <c r="D486" s="2966" t="s">
        <v>3712</v>
      </c>
      <c r="E486" s="23">
        <f t="shared" si="86"/>
        <v>0.98</v>
      </c>
      <c r="F486" s="2966" t="s">
        <v>3691</v>
      </c>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ca="1" si="93"/>
        <v>7595</v>
      </c>
      <c r="S486" s="361">
        <f t="shared" ca="1" si="84"/>
        <v>172</v>
      </c>
    </row>
    <row r="487" spans="1:19">
      <c r="A487" s="159" t="str">
        <f>'数据-基础表'!C476</f>
        <v>7-511</v>
      </c>
      <c r="B487" s="58">
        <f>'数据-基础表'!I476</f>
        <v>47.36</v>
      </c>
      <c r="C487" s="23">
        <f t="shared" si="85"/>
        <v>1.01</v>
      </c>
      <c r="D487" s="2966" t="s">
        <v>3712</v>
      </c>
      <c r="E487" s="23">
        <f t="shared" si="86"/>
        <v>0.98</v>
      </c>
      <c r="F487" s="2966" t="s">
        <v>3691</v>
      </c>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ca="1" si="93"/>
        <v>7827</v>
      </c>
      <c r="S487" s="361">
        <f t="shared" ca="1" si="84"/>
        <v>37</v>
      </c>
    </row>
    <row r="488" spans="1:19">
      <c r="A488" s="159" t="str">
        <f>'数据-基础表'!C477</f>
        <v>7-512</v>
      </c>
      <c r="B488" s="58">
        <f>'数据-基础表'!I477</f>
        <v>73.3</v>
      </c>
      <c r="C488" s="23">
        <f t="shared" si="85"/>
        <v>1</v>
      </c>
      <c r="D488" s="2966" t="s">
        <v>3712</v>
      </c>
      <c r="E488" s="23">
        <f t="shared" si="86"/>
        <v>0.98</v>
      </c>
      <c r="F488" s="2966" t="s">
        <v>3691</v>
      </c>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ca="1" si="93"/>
        <v>7750</v>
      </c>
      <c r="S488" s="361">
        <f t="shared" ca="1" si="84"/>
        <v>57</v>
      </c>
    </row>
    <row r="489" spans="1:19">
      <c r="A489" s="159" t="str">
        <f>'数据-基础表'!C478</f>
        <v>7-513</v>
      </c>
      <c r="B489" s="58">
        <f>'数据-基础表'!I478</f>
        <v>130.02000000000001</v>
      </c>
      <c r="C489" s="23">
        <f t="shared" si="85"/>
        <v>0.99</v>
      </c>
      <c r="D489" s="2966" t="s">
        <v>3712</v>
      </c>
      <c r="E489" s="23">
        <f t="shared" si="86"/>
        <v>0.98</v>
      </c>
      <c r="F489" s="2966" t="s">
        <v>3691</v>
      </c>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ca="1" si="93"/>
        <v>7672</v>
      </c>
      <c r="S489" s="361">
        <f t="shared" ca="1" si="84"/>
        <v>100</v>
      </c>
    </row>
    <row r="490" spans="1:19">
      <c r="A490" s="159" t="str">
        <f>'数据-基础表'!C479</f>
        <v>7-601</v>
      </c>
      <c r="B490" s="58">
        <f>'数据-基础表'!I479</f>
        <v>76.540000000000006</v>
      </c>
      <c r="C490" s="23">
        <f t="shared" si="85"/>
        <v>1</v>
      </c>
      <c r="D490" s="2966" t="s">
        <v>3712</v>
      </c>
      <c r="E490" s="23">
        <f t="shared" si="86"/>
        <v>0.98</v>
      </c>
      <c r="F490" s="2966" t="s">
        <v>3706</v>
      </c>
      <c r="G490" s="23">
        <f t="shared" si="87"/>
        <v>1.02</v>
      </c>
      <c r="H490" s="720"/>
      <c r="I490" s="23">
        <f t="shared" si="88"/>
        <v>1</v>
      </c>
      <c r="J490" s="720"/>
      <c r="K490" s="23">
        <f t="shared" si="89"/>
        <v>1</v>
      </c>
      <c r="L490" s="720"/>
      <c r="M490" s="23">
        <f t="shared" si="90"/>
        <v>1</v>
      </c>
      <c r="N490" s="720"/>
      <c r="O490" s="23">
        <f t="shared" si="91"/>
        <v>1</v>
      </c>
      <c r="P490" s="720"/>
      <c r="Q490" s="23">
        <f t="shared" si="92"/>
        <v>1</v>
      </c>
      <c r="R490" s="716">
        <f t="shared" ca="1" si="93"/>
        <v>7905</v>
      </c>
      <c r="S490" s="361">
        <f t="shared" ca="1" si="84"/>
        <v>61</v>
      </c>
    </row>
    <row r="491" spans="1:19">
      <c r="A491" s="159" t="str">
        <f>'数据-基础表'!C480</f>
        <v>7-602</v>
      </c>
      <c r="B491" s="58">
        <f>'数据-基础表'!I480</f>
        <v>49.45</v>
      </c>
      <c r="C491" s="23">
        <f t="shared" si="85"/>
        <v>1.01</v>
      </c>
      <c r="D491" s="2966" t="s">
        <v>3712</v>
      </c>
      <c r="E491" s="23">
        <f t="shared" si="86"/>
        <v>0.98</v>
      </c>
      <c r="F491" s="2966" t="s">
        <v>3706</v>
      </c>
      <c r="G491" s="23">
        <f t="shared" si="87"/>
        <v>1.02</v>
      </c>
      <c r="H491" s="720"/>
      <c r="I491" s="23">
        <f t="shared" si="88"/>
        <v>1</v>
      </c>
      <c r="J491" s="720"/>
      <c r="K491" s="23">
        <f t="shared" si="89"/>
        <v>1</v>
      </c>
      <c r="L491" s="720"/>
      <c r="M491" s="23">
        <f t="shared" si="90"/>
        <v>1</v>
      </c>
      <c r="N491" s="720"/>
      <c r="O491" s="23">
        <f t="shared" si="91"/>
        <v>1</v>
      </c>
      <c r="P491" s="720"/>
      <c r="Q491" s="23">
        <f t="shared" si="92"/>
        <v>1</v>
      </c>
      <c r="R491" s="716">
        <f t="shared" ca="1" si="93"/>
        <v>7984</v>
      </c>
      <c r="S491" s="361">
        <f t="shared" ca="1" si="84"/>
        <v>39</v>
      </c>
    </row>
    <row r="492" spans="1:19">
      <c r="A492" s="159" t="str">
        <f>'数据-基础表'!C481</f>
        <v>7-603</v>
      </c>
      <c r="B492" s="58">
        <f>'数据-基础表'!I481</f>
        <v>98.91</v>
      </c>
      <c r="C492" s="23">
        <f t="shared" si="85"/>
        <v>1</v>
      </c>
      <c r="D492" s="2966" t="s">
        <v>3712</v>
      </c>
      <c r="E492" s="23">
        <f t="shared" si="86"/>
        <v>0.98</v>
      </c>
      <c r="F492" s="2966" t="s">
        <v>3706</v>
      </c>
      <c r="G492" s="23">
        <f t="shared" si="87"/>
        <v>1.02</v>
      </c>
      <c r="H492" s="720"/>
      <c r="I492" s="23">
        <f t="shared" si="88"/>
        <v>1</v>
      </c>
      <c r="J492" s="720"/>
      <c r="K492" s="23">
        <f t="shared" si="89"/>
        <v>1</v>
      </c>
      <c r="L492" s="720"/>
      <c r="M492" s="23">
        <f t="shared" si="90"/>
        <v>1</v>
      </c>
      <c r="N492" s="720"/>
      <c r="O492" s="23">
        <f t="shared" si="91"/>
        <v>1</v>
      </c>
      <c r="P492" s="720"/>
      <c r="Q492" s="23">
        <f t="shared" si="92"/>
        <v>1</v>
      </c>
      <c r="R492" s="716">
        <f t="shared" ca="1" si="93"/>
        <v>7905</v>
      </c>
      <c r="S492" s="361">
        <f t="shared" ca="1" si="84"/>
        <v>78</v>
      </c>
    </row>
    <row r="493" spans="1:19">
      <c r="A493" s="159" t="str">
        <f>'数据-基础表'!C482</f>
        <v>7-604</v>
      </c>
      <c r="B493" s="58">
        <f>'数据-基础表'!I482</f>
        <v>98.91</v>
      </c>
      <c r="C493" s="23">
        <f t="shared" si="85"/>
        <v>1</v>
      </c>
      <c r="D493" s="2966" t="s">
        <v>3712</v>
      </c>
      <c r="E493" s="23">
        <f t="shared" si="86"/>
        <v>0.98</v>
      </c>
      <c r="F493" s="2966" t="s">
        <v>3706</v>
      </c>
      <c r="G493" s="23">
        <f t="shared" si="87"/>
        <v>1.02</v>
      </c>
      <c r="H493" s="720"/>
      <c r="I493" s="23">
        <f t="shared" si="88"/>
        <v>1</v>
      </c>
      <c r="J493" s="720"/>
      <c r="K493" s="23">
        <f t="shared" si="89"/>
        <v>1</v>
      </c>
      <c r="L493" s="720"/>
      <c r="M493" s="23">
        <f t="shared" si="90"/>
        <v>1</v>
      </c>
      <c r="N493" s="720"/>
      <c r="O493" s="23">
        <f t="shared" si="91"/>
        <v>1</v>
      </c>
      <c r="P493" s="720"/>
      <c r="Q493" s="23">
        <f t="shared" si="92"/>
        <v>1</v>
      </c>
      <c r="R493" s="716">
        <f t="shared" ca="1" si="93"/>
        <v>7905</v>
      </c>
      <c r="S493" s="361">
        <f t="shared" ca="1" si="84"/>
        <v>78</v>
      </c>
    </row>
    <row r="494" spans="1:19">
      <c r="A494" s="159" t="str">
        <f>'数据-基础表'!C483</f>
        <v>7-605</v>
      </c>
      <c r="B494" s="58">
        <f>'数据-基础表'!I483</f>
        <v>98.91</v>
      </c>
      <c r="C494" s="23">
        <f t="shared" si="85"/>
        <v>1</v>
      </c>
      <c r="D494" s="2966" t="s">
        <v>3712</v>
      </c>
      <c r="E494" s="23">
        <f t="shared" si="86"/>
        <v>0.98</v>
      </c>
      <c r="F494" s="2966" t="s">
        <v>3706</v>
      </c>
      <c r="G494" s="23">
        <f t="shared" si="87"/>
        <v>1.02</v>
      </c>
      <c r="H494" s="720"/>
      <c r="I494" s="23">
        <f t="shared" si="88"/>
        <v>1</v>
      </c>
      <c r="J494" s="720"/>
      <c r="K494" s="23">
        <f t="shared" si="89"/>
        <v>1</v>
      </c>
      <c r="L494" s="720"/>
      <c r="M494" s="23">
        <f t="shared" si="90"/>
        <v>1</v>
      </c>
      <c r="N494" s="720"/>
      <c r="O494" s="23">
        <f t="shared" si="91"/>
        <v>1</v>
      </c>
      <c r="P494" s="720"/>
      <c r="Q494" s="23">
        <f t="shared" si="92"/>
        <v>1</v>
      </c>
      <c r="R494" s="716">
        <f t="shared" ca="1" si="93"/>
        <v>7905</v>
      </c>
      <c r="S494" s="361">
        <f t="shared" ca="1" si="84"/>
        <v>78</v>
      </c>
    </row>
    <row r="495" spans="1:19">
      <c r="A495" s="159" t="str">
        <f>'数据-基础表'!C484</f>
        <v>7-606</v>
      </c>
      <c r="B495" s="58">
        <f>'数据-基础表'!I484</f>
        <v>98.91</v>
      </c>
      <c r="C495" s="23">
        <f t="shared" si="85"/>
        <v>1</v>
      </c>
      <c r="D495" s="2966" t="s">
        <v>3712</v>
      </c>
      <c r="E495" s="23">
        <f t="shared" si="86"/>
        <v>0.98</v>
      </c>
      <c r="F495" s="2966" t="s">
        <v>3706</v>
      </c>
      <c r="G495" s="23">
        <f t="shared" si="87"/>
        <v>1.02</v>
      </c>
      <c r="H495" s="720"/>
      <c r="I495" s="23">
        <f t="shared" si="88"/>
        <v>1</v>
      </c>
      <c r="J495" s="720"/>
      <c r="K495" s="23">
        <f t="shared" si="89"/>
        <v>1</v>
      </c>
      <c r="L495" s="720"/>
      <c r="M495" s="23">
        <f t="shared" si="90"/>
        <v>1</v>
      </c>
      <c r="N495" s="720"/>
      <c r="O495" s="23">
        <f t="shared" si="91"/>
        <v>1</v>
      </c>
      <c r="P495" s="720"/>
      <c r="Q495" s="23">
        <f t="shared" si="92"/>
        <v>1</v>
      </c>
      <c r="R495" s="716">
        <f t="shared" ca="1" si="93"/>
        <v>7905</v>
      </c>
      <c r="S495" s="361">
        <f t="shared" ca="1" si="84"/>
        <v>78</v>
      </c>
    </row>
    <row r="496" spans="1:19">
      <c r="A496" s="159" t="str">
        <f>'数据-基础表'!C485</f>
        <v>7-607</v>
      </c>
      <c r="B496" s="58">
        <f>'数据-基础表'!I485</f>
        <v>125.99</v>
      </c>
      <c r="C496" s="23">
        <f t="shared" si="85"/>
        <v>0.99</v>
      </c>
      <c r="D496" s="2966" t="s">
        <v>3712</v>
      </c>
      <c r="E496" s="23">
        <f t="shared" si="86"/>
        <v>0.98</v>
      </c>
      <c r="F496" s="2966" t="s">
        <v>3706</v>
      </c>
      <c r="G496" s="23">
        <f t="shared" si="87"/>
        <v>1.02</v>
      </c>
      <c r="H496" s="720"/>
      <c r="I496" s="23">
        <f t="shared" si="88"/>
        <v>1</v>
      </c>
      <c r="J496" s="720"/>
      <c r="K496" s="23">
        <f t="shared" si="89"/>
        <v>1</v>
      </c>
      <c r="L496" s="720"/>
      <c r="M496" s="23">
        <f t="shared" si="90"/>
        <v>1</v>
      </c>
      <c r="N496" s="720"/>
      <c r="O496" s="23">
        <f t="shared" si="91"/>
        <v>1</v>
      </c>
      <c r="P496" s="720"/>
      <c r="Q496" s="23">
        <f t="shared" si="92"/>
        <v>1</v>
      </c>
      <c r="R496" s="716">
        <f t="shared" ca="1" si="93"/>
        <v>7826</v>
      </c>
      <c r="S496" s="361">
        <f t="shared" ca="1" si="84"/>
        <v>99</v>
      </c>
    </row>
    <row r="497" spans="1:19">
      <c r="A497" s="159" t="str">
        <f>'数据-基础表'!C486</f>
        <v>7-608</v>
      </c>
      <c r="B497" s="58">
        <f>'数据-基础表'!I486</f>
        <v>135.76</v>
      </c>
      <c r="C497" s="23">
        <f t="shared" si="85"/>
        <v>0.99</v>
      </c>
      <c r="D497" s="2966" t="s">
        <v>3712</v>
      </c>
      <c r="E497" s="23">
        <f t="shared" si="86"/>
        <v>0.98</v>
      </c>
      <c r="F497" s="2966" t="s">
        <v>3706</v>
      </c>
      <c r="G497" s="23">
        <f t="shared" si="87"/>
        <v>1.02</v>
      </c>
      <c r="H497" s="720"/>
      <c r="I497" s="23">
        <f t="shared" si="88"/>
        <v>1</v>
      </c>
      <c r="J497" s="720"/>
      <c r="K497" s="23">
        <f t="shared" si="89"/>
        <v>1</v>
      </c>
      <c r="L497" s="720"/>
      <c r="M497" s="23">
        <f t="shared" si="90"/>
        <v>1</v>
      </c>
      <c r="N497" s="720"/>
      <c r="O497" s="23">
        <f t="shared" si="91"/>
        <v>1</v>
      </c>
      <c r="P497" s="720"/>
      <c r="Q497" s="23">
        <f t="shared" si="92"/>
        <v>1</v>
      </c>
      <c r="R497" s="716">
        <f t="shared" ca="1" si="93"/>
        <v>7826</v>
      </c>
      <c r="S497" s="361">
        <f t="shared" ca="1" si="84"/>
        <v>106</v>
      </c>
    </row>
    <row r="498" spans="1:19">
      <c r="A498" s="159" t="str">
        <f>'数据-基础表'!C487</f>
        <v>7-609</v>
      </c>
      <c r="B498" s="58">
        <f>'数据-基础表'!I487</f>
        <v>125.99</v>
      </c>
      <c r="C498" s="23">
        <f t="shared" si="85"/>
        <v>0.99</v>
      </c>
      <c r="D498" s="2966" t="s">
        <v>3712</v>
      </c>
      <c r="E498" s="23">
        <f t="shared" si="86"/>
        <v>0.98</v>
      </c>
      <c r="F498" s="2966" t="s">
        <v>3706</v>
      </c>
      <c r="G498" s="23">
        <f t="shared" si="87"/>
        <v>1.02</v>
      </c>
      <c r="H498" s="720"/>
      <c r="I498" s="23">
        <f t="shared" si="88"/>
        <v>1</v>
      </c>
      <c r="J498" s="720"/>
      <c r="K498" s="23">
        <f t="shared" si="89"/>
        <v>1</v>
      </c>
      <c r="L498" s="720"/>
      <c r="M498" s="23">
        <f t="shared" si="90"/>
        <v>1</v>
      </c>
      <c r="N498" s="720"/>
      <c r="O498" s="23">
        <f t="shared" si="91"/>
        <v>1</v>
      </c>
      <c r="P498" s="720"/>
      <c r="Q498" s="23">
        <f t="shared" si="92"/>
        <v>1</v>
      </c>
      <c r="R498" s="716">
        <f t="shared" ca="1" si="93"/>
        <v>7826</v>
      </c>
      <c r="S498" s="361">
        <f t="shared" ref="S498:S553" ca="1" si="94">ROUND(R498*B498/10000,0)</f>
        <v>99</v>
      </c>
    </row>
    <row r="499" spans="1:19">
      <c r="A499" s="159" t="str">
        <f>'数据-基础表'!C488</f>
        <v>7-610</v>
      </c>
      <c r="B499" s="58">
        <f>'数据-基础表'!I488</f>
        <v>98.91</v>
      </c>
      <c r="C499" s="23">
        <f t="shared" si="85"/>
        <v>1</v>
      </c>
      <c r="D499" s="2966" t="s">
        <v>3712</v>
      </c>
      <c r="E499" s="23">
        <f t="shared" si="86"/>
        <v>0.98</v>
      </c>
      <c r="F499" s="2966" t="s">
        <v>3706</v>
      </c>
      <c r="G499" s="23">
        <f t="shared" si="87"/>
        <v>1.02</v>
      </c>
      <c r="H499" s="720"/>
      <c r="I499" s="23">
        <f t="shared" si="88"/>
        <v>1</v>
      </c>
      <c r="J499" s="720"/>
      <c r="K499" s="23">
        <f t="shared" si="89"/>
        <v>1</v>
      </c>
      <c r="L499" s="720"/>
      <c r="M499" s="23">
        <f t="shared" si="90"/>
        <v>1</v>
      </c>
      <c r="N499" s="720"/>
      <c r="O499" s="23">
        <f t="shared" si="91"/>
        <v>1</v>
      </c>
      <c r="P499" s="720"/>
      <c r="Q499" s="23">
        <f t="shared" si="92"/>
        <v>1</v>
      </c>
      <c r="R499" s="716">
        <f t="shared" ca="1" si="93"/>
        <v>7905</v>
      </c>
      <c r="S499" s="361">
        <f t="shared" ca="1" si="94"/>
        <v>78</v>
      </c>
    </row>
    <row r="500" spans="1:19">
      <c r="A500" s="159" t="str">
        <f>'数据-基础表'!C489</f>
        <v>7-611</v>
      </c>
      <c r="B500" s="58">
        <f>'数据-基础表'!I489</f>
        <v>98.91</v>
      </c>
      <c r="C500" s="23">
        <f t="shared" si="85"/>
        <v>1</v>
      </c>
      <c r="D500" s="2966" t="s">
        <v>3712</v>
      </c>
      <c r="E500" s="23">
        <f t="shared" si="86"/>
        <v>0.98</v>
      </c>
      <c r="F500" s="2966" t="s">
        <v>3706</v>
      </c>
      <c r="G500" s="23">
        <f t="shared" si="87"/>
        <v>1.02</v>
      </c>
      <c r="H500" s="720"/>
      <c r="I500" s="23">
        <f t="shared" si="88"/>
        <v>1</v>
      </c>
      <c r="J500" s="720"/>
      <c r="K500" s="23">
        <f t="shared" si="89"/>
        <v>1</v>
      </c>
      <c r="L500" s="720"/>
      <c r="M500" s="23">
        <f t="shared" si="90"/>
        <v>1</v>
      </c>
      <c r="N500" s="720"/>
      <c r="O500" s="23">
        <f t="shared" si="91"/>
        <v>1</v>
      </c>
      <c r="P500" s="720"/>
      <c r="Q500" s="23">
        <f t="shared" si="92"/>
        <v>1</v>
      </c>
      <c r="R500" s="716">
        <f t="shared" ca="1" si="93"/>
        <v>7905</v>
      </c>
      <c r="S500" s="361">
        <f t="shared" ca="1" si="94"/>
        <v>78</v>
      </c>
    </row>
    <row r="501" spans="1:19">
      <c r="A501" s="159" t="str">
        <f>'数据-基础表'!C490</f>
        <v>7-612</v>
      </c>
      <c r="B501" s="58">
        <f>'数据-基础表'!I490</f>
        <v>98.91</v>
      </c>
      <c r="C501" s="23">
        <f t="shared" si="85"/>
        <v>1</v>
      </c>
      <c r="D501" s="2966" t="s">
        <v>3712</v>
      </c>
      <c r="E501" s="23">
        <f t="shared" si="86"/>
        <v>0.98</v>
      </c>
      <c r="F501" s="2966" t="s">
        <v>3706</v>
      </c>
      <c r="G501" s="23">
        <f t="shared" si="87"/>
        <v>1.02</v>
      </c>
      <c r="H501" s="720"/>
      <c r="I501" s="23">
        <f t="shared" si="88"/>
        <v>1</v>
      </c>
      <c r="J501" s="720"/>
      <c r="K501" s="23">
        <f t="shared" si="89"/>
        <v>1</v>
      </c>
      <c r="L501" s="720"/>
      <c r="M501" s="23">
        <f t="shared" si="90"/>
        <v>1</v>
      </c>
      <c r="N501" s="720"/>
      <c r="O501" s="23">
        <f t="shared" si="91"/>
        <v>1</v>
      </c>
      <c r="P501" s="720"/>
      <c r="Q501" s="23">
        <f t="shared" si="92"/>
        <v>1</v>
      </c>
      <c r="R501" s="716">
        <f t="shared" ca="1" si="93"/>
        <v>7905</v>
      </c>
      <c r="S501" s="361">
        <f t="shared" ca="1" si="94"/>
        <v>78</v>
      </c>
    </row>
    <row r="502" spans="1:19">
      <c r="A502" s="159" t="str">
        <f>'数据-基础表'!C491</f>
        <v>7-613</v>
      </c>
      <c r="B502" s="58">
        <f>'数据-基础表'!I491</f>
        <v>98.91</v>
      </c>
      <c r="C502" s="23">
        <f t="shared" si="85"/>
        <v>1</v>
      </c>
      <c r="D502" s="2966" t="s">
        <v>3712</v>
      </c>
      <c r="E502" s="23">
        <f t="shared" si="86"/>
        <v>0.98</v>
      </c>
      <c r="F502" s="2966" t="s">
        <v>3706</v>
      </c>
      <c r="G502" s="23">
        <f t="shared" si="87"/>
        <v>1.02</v>
      </c>
      <c r="H502" s="720"/>
      <c r="I502" s="23">
        <f t="shared" si="88"/>
        <v>1</v>
      </c>
      <c r="J502" s="720"/>
      <c r="K502" s="23">
        <f t="shared" si="89"/>
        <v>1</v>
      </c>
      <c r="L502" s="720"/>
      <c r="M502" s="23">
        <f t="shared" si="90"/>
        <v>1</v>
      </c>
      <c r="N502" s="720"/>
      <c r="O502" s="23">
        <f t="shared" si="91"/>
        <v>1</v>
      </c>
      <c r="P502" s="720"/>
      <c r="Q502" s="23">
        <f t="shared" si="92"/>
        <v>1</v>
      </c>
      <c r="R502" s="716">
        <f t="shared" ca="1" si="93"/>
        <v>7905</v>
      </c>
      <c r="S502" s="361">
        <f t="shared" ca="1" si="94"/>
        <v>78</v>
      </c>
    </row>
    <row r="503" spans="1:19">
      <c r="A503" s="159" t="str">
        <f>'数据-基础表'!C492</f>
        <v>7-614</v>
      </c>
      <c r="B503" s="58">
        <f>'数据-基础表'!I492</f>
        <v>49.45</v>
      </c>
      <c r="C503" s="23">
        <f t="shared" si="85"/>
        <v>1.01</v>
      </c>
      <c r="D503" s="2966" t="s">
        <v>3712</v>
      </c>
      <c r="E503" s="23">
        <f t="shared" si="86"/>
        <v>0.98</v>
      </c>
      <c r="F503" s="2966" t="s">
        <v>3706</v>
      </c>
      <c r="G503" s="23">
        <f t="shared" si="87"/>
        <v>1.02</v>
      </c>
      <c r="H503" s="720"/>
      <c r="I503" s="23">
        <f t="shared" si="88"/>
        <v>1</v>
      </c>
      <c r="J503" s="720"/>
      <c r="K503" s="23">
        <f t="shared" si="89"/>
        <v>1</v>
      </c>
      <c r="L503" s="720"/>
      <c r="M503" s="23">
        <f t="shared" si="90"/>
        <v>1</v>
      </c>
      <c r="N503" s="720"/>
      <c r="O503" s="23">
        <f t="shared" si="91"/>
        <v>1</v>
      </c>
      <c r="P503" s="720"/>
      <c r="Q503" s="23">
        <f t="shared" si="92"/>
        <v>1</v>
      </c>
      <c r="R503" s="716">
        <f t="shared" ca="1" si="93"/>
        <v>7984</v>
      </c>
      <c r="S503" s="361">
        <f t="shared" ca="1" si="94"/>
        <v>39</v>
      </c>
    </row>
    <row r="504" spans="1:19">
      <c r="A504" s="159" t="str">
        <f>'数据-基础表'!C493</f>
        <v>7-615</v>
      </c>
      <c r="B504" s="58">
        <f>'数据-基础表'!I493</f>
        <v>76.540000000000006</v>
      </c>
      <c r="C504" s="23">
        <f t="shared" si="85"/>
        <v>1</v>
      </c>
      <c r="D504" s="2966" t="s">
        <v>3712</v>
      </c>
      <c r="E504" s="23">
        <f t="shared" si="86"/>
        <v>0.98</v>
      </c>
      <c r="F504" s="2966" t="s">
        <v>3706</v>
      </c>
      <c r="G504" s="23">
        <f t="shared" si="87"/>
        <v>1.02</v>
      </c>
      <c r="H504" s="720"/>
      <c r="I504" s="23">
        <f t="shared" si="88"/>
        <v>1</v>
      </c>
      <c r="J504" s="720"/>
      <c r="K504" s="23">
        <f t="shared" si="89"/>
        <v>1</v>
      </c>
      <c r="L504" s="720"/>
      <c r="M504" s="23">
        <f t="shared" si="90"/>
        <v>1</v>
      </c>
      <c r="N504" s="720"/>
      <c r="O504" s="23">
        <f t="shared" si="91"/>
        <v>1</v>
      </c>
      <c r="P504" s="720"/>
      <c r="Q504" s="23">
        <f t="shared" si="92"/>
        <v>1</v>
      </c>
      <c r="R504" s="716">
        <f t="shared" ca="1" si="93"/>
        <v>7905</v>
      </c>
      <c r="S504" s="361">
        <f t="shared" ca="1" si="94"/>
        <v>61</v>
      </c>
    </row>
    <row r="505" spans="1:19">
      <c r="A505" s="159" t="str">
        <f>'数据-基础表'!C494</f>
        <v>7-616</v>
      </c>
      <c r="B505" s="58">
        <f>'数据-基础表'!I494</f>
        <v>135.76</v>
      </c>
      <c r="C505" s="23">
        <f t="shared" si="85"/>
        <v>0.99</v>
      </c>
      <c r="D505" s="2966" t="s">
        <v>3712</v>
      </c>
      <c r="E505" s="23">
        <f t="shared" si="86"/>
        <v>0.98</v>
      </c>
      <c r="F505" s="2966" t="s">
        <v>3706</v>
      </c>
      <c r="G505" s="23">
        <f t="shared" si="87"/>
        <v>1.02</v>
      </c>
      <c r="H505" s="720"/>
      <c r="I505" s="23">
        <f t="shared" si="88"/>
        <v>1</v>
      </c>
      <c r="J505" s="720"/>
      <c r="K505" s="23">
        <f t="shared" si="89"/>
        <v>1</v>
      </c>
      <c r="L505" s="720"/>
      <c r="M505" s="23">
        <f t="shared" si="90"/>
        <v>1</v>
      </c>
      <c r="N505" s="720"/>
      <c r="O505" s="23">
        <f t="shared" si="91"/>
        <v>1</v>
      </c>
      <c r="P505" s="720"/>
      <c r="Q505" s="23">
        <f t="shared" si="92"/>
        <v>1</v>
      </c>
      <c r="R505" s="716">
        <f t="shared" ca="1" si="93"/>
        <v>7826</v>
      </c>
      <c r="S505" s="361">
        <f t="shared" ca="1" si="94"/>
        <v>106</v>
      </c>
    </row>
    <row r="506" spans="1:19">
      <c r="A506" s="159" t="str">
        <f>'数据-基础表'!C495</f>
        <v>7-701</v>
      </c>
      <c r="B506" s="58">
        <f>'数据-基础表'!I495</f>
        <v>76.540000000000006</v>
      </c>
      <c r="C506" s="23">
        <f t="shared" si="85"/>
        <v>1</v>
      </c>
      <c r="D506" s="2966" t="s">
        <v>3712</v>
      </c>
      <c r="E506" s="23">
        <f t="shared" si="86"/>
        <v>0.98</v>
      </c>
      <c r="F506" s="2966" t="s">
        <v>3706</v>
      </c>
      <c r="G506" s="23">
        <f t="shared" si="87"/>
        <v>1.02</v>
      </c>
      <c r="H506" s="720"/>
      <c r="I506" s="23">
        <f t="shared" si="88"/>
        <v>1</v>
      </c>
      <c r="J506" s="720"/>
      <c r="K506" s="23">
        <f t="shared" si="89"/>
        <v>1</v>
      </c>
      <c r="L506" s="720"/>
      <c r="M506" s="23">
        <f t="shared" si="90"/>
        <v>1</v>
      </c>
      <c r="N506" s="720"/>
      <c r="O506" s="23">
        <f t="shared" si="91"/>
        <v>1</v>
      </c>
      <c r="P506" s="720"/>
      <c r="Q506" s="23">
        <f t="shared" si="92"/>
        <v>1</v>
      </c>
      <c r="R506" s="716">
        <f t="shared" ca="1" si="93"/>
        <v>7905</v>
      </c>
      <c r="S506" s="361">
        <f t="shared" ca="1" si="94"/>
        <v>61</v>
      </c>
    </row>
    <row r="507" spans="1:19">
      <c r="A507" s="159" t="str">
        <f>'数据-基础表'!C496</f>
        <v>7-702</v>
      </c>
      <c r="B507" s="58">
        <f>'数据-基础表'!I496</f>
        <v>49.45</v>
      </c>
      <c r="C507" s="23">
        <f t="shared" si="85"/>
        <v>1.01</v>
      </c>
      <c r="D507" s="2966" t="s">
        <v>3712</v>
      </c>
      <c r="E507" s="23">
        <f t="shared" si="86"/>
        <v>0.98</v>
      </c>
      <c r="F507" s="2966" t="s">
        <v>3706</v>
      </c>
      <c r="G507" s="23">
        <f t="shared" si="87"/>
        <v>1.02</v>
      </c>
      <c r="H507" s="720"/>
      <c r="I507" s="23">
        <f t="shared" si="88"/>
        <v>1</v>
      </c>
      <c r="J507" s="720"/>
      <c r="K507" s="23">
        <f t="shared" si="89"/>
        <v>1</v>
      </c>
      <c r="L507" s="720"/>
      <c r="M507" s="23">
        <f t="shared" si="90"/>
        <v>1</v>
      </c>
      <c r="N507" s="720"/>
      <c r="O507" s="23">
        <f t="shared" si="91"/>
        <v>1</v>
      </c>
      <c r="P507" s="720"/>
      <c r="Q507" s="23">
        <f t="shared" si="92"/>
        <v>1</v>
      </c>
      <c r="R507" s="716">
        <f t="shared" ca="1" si="93"/>
        <v>7984</v>
      </c>
      <c r="S507" s="361">
        <f t="shared" ca="1" si="94"/>
        <v>39</v>
      </c>
    </row>
    <row r="508" spans="1:19">
      <c r="A508" s="159" t="str">
        <f>'数据-基础表'!C497</f>
        <v>7-703</v>
      </c>
      <c r="B508" s="58">
        <f>'数据-基础表'!I497</f>
        <v>98.91</v>
      </c>
      <c r="C508" s="23">
        <f t="shared" si="85"/>
        <v>1</v>
      </c>
      <c r="D508" s="2966" t="s">
        <v>3712</v>
      </c>
      <c r="E508" s="23">
        <f t="shared" si="86"/>
        <v>0.98</v>
      </c>
      <c r="F508" s="2966" t="s">
        <v>3706</v>
      </c>
      <c r="G508" s="23">
        <f t="shared" si="87"/>
        <v>1.02</v>
      </c>
      <c r="H508" s="720"/>
      <c r="I508" s="23">
        <f t="shared" si="88"/>
        <v>1</v>
      </c>
      <c r="J508" s="720"/>
      <c r="K508" s="23">
        <f t="shared" si="89"/>
        <v>1</v>
      </c>
      <c r="L508" s="720"/>
      <c r="M508" s="23">
        <f t="shared" si="90"/>
        <v>1</v>
      </c>
      <c r="N508" s="720"/>
      <c r="O508" s="23">
        <f t="shared" si="91"/>
        <v>1</v>
      </c>
      <c r="P508" s="720"/>
      <c r="Q508" s="23">
        <f t="shared" si="92"/>
        <v>1</v>
      </c>
      <c r="R508" s="716">
        <f t="shared" ca="1" si="93"/>
        <v>7905</v>
      </c>
      <c r="S508" s="361">
        <f t="shared" ca="1" si="94"/>
        <v>78</v>
      </c>
    </row>
    <row r="509" spans="1:19">
      <c r="A509" s="159" t="str">
        <f>'数据-基础表'!C498</f>
        <v>7-704</v>
      </c>
      <c r="B509" s="58">
        <f>'数据-基础表'!I498</f>
        <v>98.91</v>
      </c>
      <c r="C509" s="23">
        <f t="shared" si="85"/>
        <v>1</v>
      </c>
      <c r="D509" s="2966" t="s">
        <v>3712</v>
      </c>
      <c r="E509" s="23">
        <f t="shared" si="86"/>
        <v>0.98</v>
      </c>
      <c r="F509" s="2966" t="s">
        <v>3706</v>
      </c>
      <c r="G509" s="23">
        <f t="shared" si="87"/>
        <v>1.02</v>
      </c>
      <c r="H509" s="720"/>
      <c r="I509" s="23">
        <f t="shared" si="88"/>
        <v>1</v>
      </c>
      <c r="J509" s="720"/>
      <c r="K509" s="23">
        <f t="shared" si="89"/>
        <v>1</v>
      </c>
      <c r="L509" s="720"/>
      <c r="M509" s="23">
        <f t="shared" si="90"/>
        <v>1</v>
      </c>
      <c r="N509" s="720"/>
      <c r="O509" s="23">
        <f t="shared" si="91"/>
        <v>1</v>
      </c>
      <c r="P509" s="720"/>
      <c r="Q509" s="23">
        <f t="shared" si="92"/>
        <v>1</v>
      </c>
      <c r="R509" s="716">
        <f t="shared" ca="1" si="93"/>
        <v>7905</v>
      </c>
      <c r="S509" s="361">
        <f t="shared" ca="1" si="94"/>
        <v>78</v>
      </c>
    </row>
    <row r="510" spans="1:19">
      <c r="A510" s="159" t="str">
        <f>'数据-基础表'!C499</f>
        <v>7-705</v>
      </c>
      <c r="B510" s="58">
        <f>'数据-基础表'!I499</f>
        <v>98.91</v>
      </c>
      <c r="C510" s="23">
        <f t="shared" si="85"/>
        <v>1</v>
      </c>
      <c r="D510" s="2966" t="s">
        <v>3712</v>
      </c>
      <c r="E510" s="23">
        <f t="shared" si="86"/>
        <v>0.98</v>
      </c>
      <c r="F510" s="2966" t="s">
        <v>3706</v>
      </c>
      <c r="G510" s="23">
        <f t="shared" si="87"/>
        <v>1.02</v>
      </c>
      <c r="H510" s="720"/>
      <c r="I510" s="23">
        <f t="shared" si="88"/>
        <v>1</v>
      </c>
      <c r="J510" s="720"/>
      <c r="K510" s="23">
        <f t="shared" si="89"/>
        <v>1</v>
      </c>
      <c r="L510" s="720"/>
      <c r="M510" s="23">
        <f t="shared" si="90"/>
        <v>1</v>
      </c>
      <c r="N510" s="720"/>
      <c r="O510" s="23">
        <f t="shared" si="91"/>
        <v>1</v>
      </c>
      <c r="P510" s="720"/>
      <c r="Q510" s="23">
        <f t="shared" si="92"/>
        <v>1</v>
      </c>
      <c r="R510" s="716">
        <f t="shared" ca="1" si="93"/>
        <v>7905</v>
      </c>
      <c r="S510" s="361">
        <f t="shared" ca="1" si="94"/>
        <v>78</v>
      </c>
    </row>
    <row r="511" spans="1:19">
      <c r="A511" s="159" t="str">
        <f>'数据-基础表'!C500</f>
        <v>7-706</v>
      </c>
      <c r="B511" s="58">
        <f>'数据-基础表'!I500</f>
        <v>98.91</v>
      </c>
      <c r="C511" s="23">
        <f t="shared" si="85"/>
        <v>1</v>
      </c>
      <c r="D511" s="2966" t="s">
        <v>3712</v>
      </c>
      <c r="E511" s="23">
        <f t="shared" si="86"/>
        <v>0.98</v>
      </c>
      <c r="F511" s="2966" t="s">
        <v>3706</v>
      </c>
      <c r="G511" s="23">
        <f t="shared" si="87"/>
        <v>1.02</v>
      </c>
      <c r="H511" s="720"/>
      <c r="I511" s="23">
        <f t="shared" si="88"/>
        <v>1</v>
      </c>
      <c r="J511" s="720"/>
      <c r="K511" s="23">
        <f t="shared" si="89"/>
        <v>1</v>
      </c>
      <c r="L511" s="720"/>
      <c r="M511" s="23">
        <f t="shared" si="90"/>
        <v>1</v>
      </c>
      <c r="N511" s="720"/>
      <c r="O511" s="23">
        <f t="shared" si="91"/>
        <v>1</v>
      </c>
      <c r="P511" s="720"/>
      <c r="Q511" s="23">
        <f t="shared" si="92"/>
        <v>1</v>
      </c>
      <c r="R511" s="716">
        <f t="shared" ca="1" si="93"/>
        <v>7905</v>
      </c>
      <c r="S511" s="361">
        <f t="shared" ca="1" si="94"/>
        <v>78</v>
      </c>
    </row>
    <row r="512" spans="1:19">
      <c r="A512" s="159" t="str">
        <f>'数据-基础表'!C501</f>
        <v>7-707</v>
      </c>
      <c r="B512" s="58">
        <f>'数据-基础表'!I501</f>
        <v>125.99</v>
      </c>
      <c r="C512" s="23">
        <f t="shared" si="85"/>
        <v>0.99</v>
      </c>
      <c r="D512" s="2966" t="s">
        <v>3712</v>
      </c>
      <c r="E512" s="23">
        <f t="shared" si="86"/>
        <v>0.98</v>
      </c>
      <c r="F512" s="2966" t="s">
        <v>3706</v>
      </c>
      <c r="G512" s="23">
        <f t="shared" si="87"/>
        <v>1.02</v>
      </c>
      <c r="H512" s="720"/>
      <c r="I512" s="23">
        <f t="shared" si="88"/>
        <v>1</v>
      </c>
      <c r="J512" s="720"/>
      <c r="K512" s="23">
        <f t="shared" si="89"/>
        <v>1</v>
      </c>
      <c r="L512" s="720"/>
      <c r="M512" s="23">
        <f t="shared" si="90"/>
        <v>1</v>
      </c>
      <c r="N512" s="720"/>
      <c r="O512" s="23">
        <f t="shared" si="91"/>
        <v>1</v>
      </c>
      <c r="P512" s="720"/>
      <c r="Q512" s="23">
        <f t="shared" si="92"/>
        <v>1</v>
      </c>
      <c r="R512" s="716">
        <f t="shared" ca="1" si="93"/>
        <v>7826</v>
      </c>
      <c r="S512" s="361">
        <f t="shared" ca="1" si="94"/>
        <v>99</v>
      </c>
    </row>
    <row r="513" spans="1:19">
      <c r="A513" s="159" t="str">
        <f>'数据-基础表'!C502</f>
        <v>7-708</v>
      </c>
      <c r="B513" s="58">
        <f>'数据-基础表'!I502</f>
        <v>135.76</v>
      </c>
      <c r="C513" s="23">
        <f t="shared" si="85"/>
        <v>0.99</v>
      </c>
      <c r="D513" s="2966" t="s">
        <v>3712</v>
      </c>
      <c r="E513" s="23">
        <f t="shared" si="86"/>
        <v>0.98</v>
      </c>
      <c r="F513" s="2966" t="s">
        <v>3706</v>
      </c>
      <c r="G513" s="23">
        <f t="shared" si="87"/>
        <v>1.02</v>
      </c>
      <c r="H513" s="720"/>
      <c r="I513" s="23">
        <f t="shared" si="88"/>
        <v>1</v>
      </c>
      <c r="J513" s="720"/>
      <c r="K513" s="23">
        <f t="shared" si="89"/>
        <v>1</v>
      </c>
      <c r="L513" s="720"/>
      <c r="M513" s="23">
        <f t="shared" si="90"/>
        <v>1</v>
      </c>
      <c r="N513" s="720"/>
      <c r="O513" s="23">
        <f t="shared" si="91"/>
        <v>1</v>
      </c>
      <c r="P513" s="720"/>
      <c r="Q513" s="23">
        <f t="shared" si="92"/>
        <v>1</v>
      </c>
      <c r="R513" s="716">
        <f t="shared" ca="1" si="93"/>
        <v>7826</v>
      </c>
      <c r="S513" s="361">
        <f t="shared" ca="1" si="94"/>
        <v>106</v>
      </c>
    </row>
    <row r="514" spans="1:19">
      <c r="A514" s="159" t="str">
        <f>'数据-基础表'!C503</f>
        <v>7-709</v>
      </c>
      <c r="B514" s="58">
        <f>'数据-基础表'!I503</f>
        <v>125.99</v>
      </c>
      <c r="C514" s="23">
        <f t="shared" si="85"/>
        <v>0.99</v>
      </c>
      <c r="D514" s="2966" t="s">
        <v>3712</v>
      </c>
      <c r="E514" s="23">
        <f t="shared" si="86"/>
        <v>0.98</v>
      </c>
      <c r="F514" s="2966" t="s">
        <v>3706</v>
      </c>
      <c r="G514" s="23">
        <f t="shared" si="87"/>
        <v>1.02</v>
      </c>
      <c r="H514" s="720"/>
      <c r="I514" s="23">
        <f t="shared" si="88"/>
        <v>1</v>
      </c>
      <c r="J514" s="720"/>
      <c r="K514" s="23">
        <f t="shared" si="89"/>
        <v>1</v>
      </c>
      <c r="L514" s="720"/>
      <c r="M514" s="23">
        <f t="shared" si="90"/>
        <v>1</v>
      </c>
      <c r="N514" s="720"/>
      <c r="O514" s="23">
        <f t="shared" si="91"/>
        <v>1</v>
      </c>
      <c r="P514" s="720"/>
      <c r="Q514" s="23">
        <f t="shared" si="92"/>
        <v>1</v>
      </c>
      <c r="R514" s="716">
        <f t="shared" ca="1" si="93"/>
        <v>7826</v>
      </c>
      <c r="S514" s="361">
        <f t="shared" ca="1" si="94"/>
        <v>99</v>
      </c>
    </row>
    <row r="515" spans="1:19">
      <c r="A515" s="159" t="str">
        <f>'数据-基础表'!C504</f>
        <v>7-710</v>
      </c>
      <c r="B515" s="58">
        <f>'数据-基础表'!I504</f>
        <v>98.91</v>
      </c>
      <c r="C515" s="23">
        <f t="shared" si="85"/>
        <v>1</v>
      </c>
      <c r="D515" s="2966" t="s">
        <v>3712</v>
      </c>
      <c r="E515" s="23">
        <f t="shared" si="86"/>
        <v>0.98</v>
      </c>
      <c r="F515" s="2966" t="s">
        <v>3706</v>
      </c>
      <c r="G515" s="23">
        <f t="shared" si="87"/>
        <v>1.02</v>
      </c>
      <c r="H515" s="720"/>
      <c r="I515" s="23">
        <f t="shared" si="88"/>
        <v>1</v>
      </c>
      <c r="J515" s="720"/>
      <c r="K515" s="23">
        <f t="shared" si="89"/>
        <v>1</v>
      </c>
      <c r="L515" s="720"/>
      <c r="M515" s="23">
        <f t="shared" si="90"/>
        <v>1</v>
      </c>
      <c r="N515" s="720"/>
      <c r="O515" s="23">
        <f t="shared" si="91"/>
        <v>1</v>
      </c>
      <c r="P515" s="720"/>
      <c r="Q515" s="23">
        <f t="shared" si="92"/>
        <v>1</v>
      </c>
      <c r="R515" s="716">
        <f t="shared" ca="1" si="93"/>
        <v>7905</v>
      </c>
      <c r="S515" s="361">
        <f t="shared" ca="1" si="94"/>
        <v>78</v>
      </c>
    </row>
    <row r="516" spans="1:19">
      <c r="A516" s="159" t="str">
        <f>'数据-基础表'!C505</f>
        <v>7-711</v>
      </c>
      <c r="B516" s="58">
        <f>'数据-基础表'!I505</f>
        <v>98.91</v>
      </c>
      <c r="C516" s="23">
        <f t="shared" si="85"/>
        <v>1</v>
      </c>
      <c r="D516" s="2966" t="s">
        <v>3712</v>
      </c>
      <c r="E516" s="23">
        <f t="shared" si="86"/>
        <v>0.98</v>
      </c>
      <c r="F516" s="2966" t="s">
        <v>3706</v>
      </c>
      <c r="G516" s="23">
        <f t="shared" si="87"/>
        <v>1.02</v>
      </c>
      <c r="H516" s="720"/>
      <c r="I516" s="23">
        <f t="shared" si="88"/>
        <v>1</v>
      </c>
      <c r="J516" s="720"/>
      <c r="K516" s="23">
        <f t="shared" si="89"/>
        <v>1</v>
      </c>
      <c r="L516" s="720"/>
      <c r="M516" s="23">
        <f t="shared" si="90"/>
        <v>1</v>
      </c>
      <c r="N516" s="720"/>
      <c r="O516" s="23">
        <f t="shared" si="91"/>
        <v>1</v>
      </c>
      <c r="P516" s="720"/>
      <c r="Q516" s="23">
        <f t="shared" si="92"/>
        <v>1</v>
      </c>
      <c r="R516" s="716">
        <f t="shared" ca="1" si="93"/>
        <v>7905</v>
      </c>
      <c r="S516" s="361">
        <f t="shared" ca="1" si="94"/>
        <v>78</v>
      </c>
    </row>
    <row r="517" spans="1:19">
      <c r="A517" s="159" t="str">
        <f>'数据-基础表'!C506</f>
        <v>7-712</v>
      </c>
      <c r="B517" s="58">
        <f>'数据-基础表'!I506</f>
        <v>98.91</v>
      </c>
      <c r="C517" s="23">
        <f t="shared" si="85"/>
        <v>1</v>
      </c>
      <c r="D517" s="2966" t="s">
        <v>3712</v>
      </c>
      <c r="E517" s="23">
        <f t="shared" si="86"/>
        <v>0.98</v>
      </c>
      <c r="F517" s="2966" t="s">
        <v>3706</v>
      </c>
      <c r="G517" s="23">
        <f t="shared" si="87"/>
        <v>1.02</v>
      </c>
      <c r="H517" s="720"/>
      <c r="I517" s="23">
        <f t="shared" si="88"/>
        <v>1</v>
      </c>
      <c r="J517" s="720"/>
      <c r="K517" s="23">
        <f t="shared" si="89"/>
        <v>1</v>
      </c>
      <c r="L517" s="720"/>
      <c r="M517" s="23">
        <f t="shared" si="90"/>
        <v>1</v>
      </c>
      <c r="N517" s="720"/>
      <c r="O517" s="23">
        <f t="shared" si="91"/>
        <v>1</v>
      </c>
      <c r="P517" s="720"/>
      <c r="Q517" s="23">
        <f t="shared" si="92"/>
        <v>1</v>
      </c>
      <c r="R517" s="716">
        <f t="shared" ca="1" si="93"/>
        <v>7905</v>
      </c>
      <c r="S517" s="361">
        <f t="shared" ca="1" si="94"/>
        <v>78</v>
      </c>
    </row>
    <row r="518" spans="1:19">
      <c r="A518" s="159" t="str">
        <f>'数据-基础表'!C507</f>
        <v>7-713</v>
      </c>
      <c r="B518" s="58">
        <f>'数据-基础表'!I507</f>
        <v>98.91</v>
      </c>
      <c r="C518" s="23">
        <f t="shared" si="85"/>
        <v>1</v>
      </c>
      <c r="D518" s="2966" t="s">
        <v>3712</v>
      </c>
      <c r="E518" s="23">
        <f t="shared" si="86"/>
        <v>0.98</v>
      </c>
      <c r="F518" s="2966" t="s">
        <v>3706</v>
      </c>
      <c r="G518" s="23">
        <f t="shared" si="87"/>
        <v>1.02</v>
      </c>
      <c r="H518" s="720"/>
      <c r="I518" s="23">
        <f t="shared" si="88"/>
        <v>1</v>
      </c>
      <c r="J518" s="720"/>
      <c r="K518" s="23">
        <f t="shared" si="89"/>
        <v>1</v>
      </c>
      <c r="L518" s="720"/>
      <c r="M518" s="23">
        <f t="shared" si="90"/>
        <v>1</v>
      </c>
      <c r="N518" s="720"/>
      <c r="O518" s="23">
        <f t="shared" si="91"/>
        <v>1</v>
      </c>
      <c r="P518" s="720"/>
      <c r="Q518" s="23">
        <f t="shared" si="92"/>
        <v>1</v>
      </c>
      <c r="R518" s="716">
        <f t="shared" ca="1" si="93"/>
        <v>7905</v>
      </c>
      <c r="S518" s="361">
        <f t="shared" ca="1" si="94"/>
        <v>78</v>
      </c>
    </row>
    <row r="519" spans="1:19">
      <c r="A519" s="159" t="str">
        <f>'数据-基础表'!C508</f>
        <v>7-714</v>
      </c>
      <c r="B519" s="58">
        <f>'数据-基础表'!I508</f>
        <v>49.45</v>
      </c>
      <c r="C519" s="23">
        <f t="shared" si="85"/>
        <v>1.01</v>
      </c>
      <c r="D519" s="2966" t="s">
        <v>3712</v>
      </c>
      <c r="E519" s="23">
        <f t="shared" si="86"/>
        <v>0.98</v>
      </c>
      <c r="F519" s="2966" t="s">
        <v>3706</v>
      </c>
      <c r="G519" s="23">
        <f t="shared" si="87"/>
        <v>1.02</v>
      </c>
      <c r="H519" s="720"/>
      <c r="I519" s="23">
        <f t="shared" si="88"/>
        <v>1</v>
      </c>
      <c r="J519" s="720"/>
      <c r="K519" s="23">
        <f t="shared" si="89"/>
        <v>1</v>
      </c>
      <c r="L519" s="720"/>
      <c r="M519" s="23">
        <f t="shared" si="90"/>
        <v>1</v>
      </c>
      <c r="N519" s="720"/>
      <c r="O519" s="23">
        <f t="shared" si="91"/>
        <v>1</v>
      </c>
      <c r="P519" s="720"/>
      <c r="Q519" s="23">
        <f t="shared" si="92"/>
        <v>1</v>
      </c>
      <c r="R519" s="716">
        <f t="shared" ca="1" si="93"/>
        <v>7984</v>
      </c>
      <c r="S519" s="361">
        <f t="shared" ca="1" si="94"/>
        <v>39</v>
      </c>
    </row>
    <row r="520" spans="1:19">
      <c r="A520" s="159" t="str">
        <f>'数据-基础表'!C509</f>
        <v>7-715</v>
      </c>
      <c r="B520" s="58">
        <f>'数据-基础表'!I509</f>
        <v>76.540000000000006</v>
      </c>
      <c r="C520" s="23">
        <f t="shared" si="85"/>
        <v>1</v>
      </c>
      <c r="D520" s="2966" t="s">
        <v>3712</v>
      </c>
      <c r="E520" s="23">
        <f t="shared" si="86"/>
        <v>0.98</v>
      </c>
      <c r="F520" s="2966" t="s">
        <v>3706</v>
      </c>
      <c r="G520" s="23">
        <f t="shared" si="87"/>
        <v>1.02</v>
      </c>
      <c r="H520" s="720"/>
      <c r="I520" s="23">
        <f t="shared" si="88"/>
        <v>1</v>
      </c>
      <c r="J520" s="720"/>
      <c r="K520" s="23">
        <f t="shared" si="89"/>
        <v>1</v>
      </c>
      <c r="L520" s="720"/>
      <c r="M520" s="23">
        <f t="shared" si="90"/>
        <v>1</v>
      </c>
      <c r="N520" s="720"/>
      <c r="O520" s="23">
        <f t="shared" si="91"/>
        <v>1</v>
      </c>
      <c r="P520" s="720"/>
      <c r="Q520" s="23">
        <f t="shared" si="92"/>
        <v>1</v>
      </c>
      <c r="R520" s="716">
        <f t="shared" ca="1" si="93"/>
        <v>7905</v>
      </c>
      <c r="S520" s="361">
        <f t="shared" ca="1" si="94"/>
        <v>61</v>
      </c>
    </row>
    <row r="521" spans="1:19">
      <c r="A521" s="159" t="str">
        <f>'数据-基础表'!C510</f>
        <v>7-716</v>
      </c>
      <c r="B521" s="58">
        <f>'数据-基础表'!I510</f>
        <v>135.76</v>
      </c>
      <c r="C521" s="23">
        <f t="shared" si="85"/>
        <v>0.99</v>
      </c>
      <c r="D521" s="2966" t="s">
        <v>3712</v>
      </c>
      <c r="E521" s="23">
        <f t="shared" si="86"/>
        <v>0.98</v>
      </c>
      <c r="F521" s="2966" t="s">
        <v>3706</v>
      </c>
      <c r="G521" s="23">
        <f t="shared" si="87"/>
        <v>1.02</v>
      </c>
      <c r="H521" s="720"/>
      <c r="I521" s="23">
        <f t="shared" si="88"/>
        <v>1</v>
      </c>
      <c r="J521" s="720"/>
      <c r="K521" s="23">
        <f t="shared" si="89"/>
        <v>1</v>
      </c>
      <c r="L521" s="720"/>
      <c r="M521" s="23">
        <f t="shared" si="90"/>
        <v>1</v>
      </c>
      <c r="N521" s="720"/>
      <c r="O521" s="23">
        <f t="shared" si="91"/>
        <v>1</v>
      </c>
      <c r="P521" s="720"/>
      <c r="Q521" s="23">
        <f t="shared" si="92"/>
        <v>1</v>
      </c>
      <c r="R521" s="716">
        <f t="shared" ca="1" si="93"/>
        <v>7826</v>
      </c>
      <c r="S521" s="361">
        <f t="shared" ca="1" si="94"/>
        <v>106</v>
      </c>
    </row>
    <row r="522" spans="1:19">
      <c r="A522" s="159" t="str">
        <f>'数据-基础表'!C511</f>
        <v>7-801</v>
      </c>
      <c r="B522" s="58">
        <f>'数据-基础表'!I511</f>
        <v>76.540000000000006</v>
      </c>
      <c r="C522" s="23">
        <f t="shared" si="85"/>
        <v>1</v>
      </c>
      <c r="D522" s="2966" t="s">
        <v>3712</v>
      </c>
      <c r="E522" s="23">
        <f t="shared" si="86"/>
        <v>0.98</v>
      </c>
      <c r="F522" s="2966" t="s">
        <v>3691</v>
      </c>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ca="1" si="93"/>
        <v>7750</v>
      </c>
      <c r="S522" s="361">
        <f t="shared" ca="1" si="94"/>
        <v>59</v>
      </c>
    </row>
    <row r="523" spans="1:19">
      <c r="A523" s="159" t="str">
        <f>'数据-基础表'!C512</f>
        <v>7-802</v>
      </c>
      <c r="B523" s="58">
        <f>'数据-基础表'!I512</f>
        <v>49.45</v>
      </c>
      <c r="C523" s="23">
        <f t="shared" si="85"/>
        <v>1.01</v>
      </c>
      <c r="D523" s="2966" t="s">
        <v>3712</v>
      </c>
      <c r="E523" s="23">
        <f t="shared" si="86"/>
        <v>0.98</v>
      </c>
      <c r="F523" s="2966" t="s">
        <v>3691</v>
      </c>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ca="1" si="93"/>
        <v>7827</v>
      </c>
      <c r="S523" s="361">
        <f t="shared" ca="1" si="94"/>
        <v>39</v>
      </c>
    </row>
    <row r="524" spans="1:19">
      <c r="A524" s="159" t="str">
        <f>'数据-基础表'!C513</f>
        <v>7-803</v>
      </c>
      <c r="B524" s="58">
        <f>'数据-基础表'!I513</f>
        <v>98.91</v>
      </c>
      <c r="C524" s="23">
        <f t="shared" si="85"/>
        <v>1</v>
      </c>
      <c r="D524" s="2966" t="s">
        <v>3712</v>
      </c>
      <c r="E524" s="23">
        <f t="shared" si="86"/>
        <v>0.98</v>
      </c>
      <c r="F524" s="2966" t="s">
        <v>3691</v>
      </c>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ca="1" si="93"/>
        <v>7750</v>
      </c>
      <c r="S524" s="361">
        <f t="shared" ca="1" si="94"/>
        <v>77</v>
      </c>
    </row>
    <row r="525" spans="1:19">
      <c r="A525" s="159" t="str">
        <f>'数据-基础表'!C514</f>
        <v>7-804</v>
      </c>
      <c r="B525" s="58">
        <f>'数据-基础表'!I514</f>
        <v>98.91</v>
      </c>
      <c r="C525" s="2948">
        <f t="shared" si="85"/>
        <v>1</v>
      </c>
      <c r="D525" s="2966" t="s">
        <v>3712</v>
      </c>
      <c r="E525" s="2948">
        <f t="shared" si="86"/>
        <v>0.98</v>
      </c>
      <c r="F525" s="2966" t="s">
        <v>3691</v>
      </c>
      <c r="G525" s="2948">
        <f t="shared" si="87"/>
        <v>1</v>
      </c>
      <c r="I525" s="2948">
        <f t="shared" si="88"/>
        <v>1</v>
      </c>
      <c r="K525" s="2948">
        <f t="shared" si="89"/>
        <v>1</v>
      </c>
      <c r="M525" s="2948">
        <f t="shared" si="90"/>
        <v>1</v>
      </c>
      <c r="O525" s="2948">
        <f t="shared" si="91"/>
        <v>1</v>
      </c>
      <c r="Q525" s="2948">
        <f t="shared" si="92"/>
        <v>1</v>
      </c>
      <c r="R525" s="2965">
        <f t="shared" ca="1" si="93"/>
        <v>7750</v>
      </c>
      <c r="S525" s="1181">
        <f t="shared" ca="1" si="94"/>
        <v>77</v>
      </c>
    </row>
    <row r="526" spans="1:19">
      <c r="A526" s="159" t="str">
        <f>'数据-基础表'!C515</f>
        <v>7-805</v>
      </c>
      <c r="B526" s="58">
        <f>'数据-基础表'!I515</f>
        <v>98.91</v>
      </c>
      <c r="C526" s="2948">
        <f t="shared" si="85"/>
        <v>1</v>
      </c>
      <c r="D526" s="2966" t="s">
        <v>3712</v>
      </c>
      <c r="E526" s="2948">
        <f t="shared" si="86"/>
        <v>0.98</v>
      </c>
      <c r="F526" s="2966" t="s">
        <v>3691</v>
      </c>
      <c r="G526" s="2948">
        <f t="shared" si="87"/>
        <v>1</v>
      </c>
      <c r="I526" s="2948">
        <f t="shared" si="88"/>
        <v>1</v>
      </c>
      <c r="K526" s="2948">
        <f t="shared" si="89"/>
        <v>1</v>
      </c>
      <c r="M526" s="2948">
        <f t="shared" si="90"/>
        <v>1</v>
      </c>
      <c r="O526" s="2948">
        <f t="shared" si="91"/>
        <v>1</v>
      </c>
      <c r="Q526" s="2948">
        <f t="shared" si="92"/>
        <v>1</v>
      </c>
      <c r="R526" s="2965">
        <f t="shared" ca="1" si="93"/>
        <v>7750</v>
      </c>
      <c r="S526" s="1181">
        <f t="shared" ca="1" si="94"/>
        <v>77</v>
      </c>
    </row>
    <row r="527" spans="1:19">
      <c r="A527" s="159" t="str">
        <f>'数据-基础表'!C516</f>
        <v>7-806</v>
      </c>
      <c r="B527" s="58">
        <f>'数据-基础表'!I516</f>
        <v>98.91</v>
      </c>
      <c r="C527" s="2948">
        <f t="shared" si="85"/>
        <v>1</v>
      </c>
      <c r="D527" s="2966" t="s">
        <v>3712</v>
      </c>
      <c r="E527" s="2948">
        <f t="shared" si="86"/>
        <v>0.98</v>
      </c>
      <c r="F527" s="2966" t="s">
        <v>3691</v>
      </c>
      <c r="G527" s="2948">
        <f t="shared" si="87"/>
        <v>1</v>
      </c>
      <c r="I527" s="2948">
        <f t="shared" si="88"/>
        <v>1</v>
      </c>
      <c r="K527" s="2948">
        <f t="shared" si="89"/>
        <v>1</v>
      </c>
      <c r="M527" s="2948">
        <f t="shared" si="90"/>
        <v>1</v>
      </c>
      <c r="O527" s="2948">
        <f t="shared" si="91"/>
        <v>1</v>
      </c>
      <c r="Q527" s="2948">
        <f t="shared" si="92"/>
        <v>1</v>
      </c>
      <c r="R527" s="2965">
        <f t="shared" ca="1" si="93"/>
        <v>7750</v>
      </c>
      <c r="S527" s="1181">
        <f t="shared" ca="1" si="94"/>
        <v>77</v>
      </c>
    </row>
    <row r="528" spans="1:19">
      <c r="A528" s="159" t="str">
        <f>'数据-基础表'!C517</f>
        <v>7-807</v>
      </c>
      <c r="B528" s="58">
        <f>'数据-基础表'!I517</f>
        <v>125.99</v>
      </c>
      <c r="C528" s="2948">
        <f t="shared" si="85"/>
        <v>0.99</v>
      </c>
      <c r="D528" s="2966" t="s">
        <v>3712</v>
      </c>
      <c r="E528" s="2948">
        <f t="shared" si="86"/>
        <v>0.98</v>
      </c>
      <c r="F528" s="2966" t="s">
        <v>3691</v>
      </c>
      <c r="G528" s="2948">
        <f t="shared" si="87"/>
        <v>1</v>
      </c>
      <c r="I528" s="2948">
        <f t="shared" si="88"/>
        <v>1</v>
      </c>
      <c r="K528" s="2948">
        <f t="shared" si="89"/>
        <v>1</v>
      </c>
      <c r="M528" s="2948">
        <f t="shared" si="90"/>
        <v>1</v>
      </c>
      <c r="O528" s="2948">
        <f t="shared" si="91"/>
        <v>1</v>
      </c>
      <c r="Q528" s="2948">
        <f t="shared" si="92"/>
        <v>1</v>
      </c>
      <c r="R528" s="2965">
        <f t="shared" ca="1" si="93"/>
        <v>7672</v>
      </c>
      <c r="S528" s="1181">
        <f t="shared" ca="1" si="94"/>
        <v>97</v>
      </c>
    </row>
    <row r="529" spans="1:19">
      <c r="A529" s="159" t="str">
        <f>'数据-基础表'!C518</f>
        <v>7-808</v>
      </c>
      <c r="B529" s="58">
        <f>'数据-基础表'!I518</f>
        <v>135.76</v>
      </c>
      <c r="C529" s="2948">
        <f t="shared" si="85"/>
        <v>0.99</v>
      </c>
      <c r="D529" s="2966" t="s">
        <v>3712</v>
      </c>
      <c r="E529" s="2948">
        <f t="shared" si="86"/>
        <v>0.98</v>
      </c>
      <c r="F529" s="2966" t="s">
        <v>3691</v>
      </c>
      <c r="G529" s="2948">
        <f t="shared" si="87"/>
        <v>1</v>
      </c>
      <c r="I529" s="2948">
        <f t="shared" si="88"/>
        <v>1</v>
      </c>
      <c r="K529" s="2948">
        <f t="shared" si="89"/>
        <v>1</v>
      </c>
      <c r="M529" s="2948">
        <f t="shared" si="90"/>
        <v>1</v>
      </c>
      <c r="O529" s="2948">
        <f t="shared" si="91"/>
        <v>1</v>
      </c>
      <c r="Q529" s="2948">
        <f t="shared" si="92"/>
        <v>1</v>
      </c>
      <c r="R529" s="2965">
        <f t="shared" ca="1" si="93"/>
        <v>7672</v>
      </c>
      <c r="S529" s="1181">
        <f t="shared" ca="1" si="94"/>
        <v>104</v>
      </c>
    </row>
    <row r="530" spans="1:19">
      <c r="A530" s="159" t="str">
        <f>'数据-基础表'!C519</f>
        <v>7-809</v>
      </c>
      <c r="B530" s="58">
        <f>'数据-基础表'!I519</f>
        <v>125.99</v>
      </c>
      <c r="C530" s="2948">
        <f t="shared" si="85"/>
        <v>0.99</v>
      </c>
      <c r="D530" s="2966" t="s">
        <v>3712</v>
      </c>
      <c r="E530" s="2948">
        <f t="shared" si="86"/>
        <v>0.98</v>
      </c>
      <c r="F530" s="2966" t="s">
        <v>3691</v>
      </c>
      <c r="G530" s="2948">
        <f t="shared" si="87"/>
        <v>1</v>
      </c>
      <c r="I530" s="2948">
        <f t="shared" si="88"/>
        <v>1</v>
      </c>
      <c r="K530" s="2948">
        <f t="shared" si="89"/>
        <v>1</v>
      </c>
      <c r="M530" s="2948">
        <f t="shared" si="90"/>
        <v>1</v>
      </c>
      <c r="O530" s="2948">
        <f t="shared" si="91"/>
        <v>1</v>
      </c>
      <c r="Q530" s="2948">
        <f t="shared" si="92"/>
        <v>1</v>
      </c>
      <c r="R530" s="2965">
        <f t="shared" ca="1" si="93"/>
        <v>7672</v>
      </c>
      <c r="S530" s="1181">
        <f t="shared" ca="1" si="94"/>
        <v>97</v>
      </c>
    </row>
    <row r="531" spans="1:19">
      <c r="A531" s="159" t="str">
        <f>'数据-基础表'!C520</f>
        <v>7-810</v>
      </c>
      <c r="B531" s="58">
        <f>'数据-基础表'!I520</f>
        <v>98.91</v>
      </c>
      <c r="C531" s="2948">
        <f t="shared" si="85"/>
        <v>1</v>
      </c>
      <c r="D531" s="2966" t="s">
        <v>3712</v>
      </c>
      <c r="E531" s="2948">
        <f t="shared" si="86"/>
        <v>0.98</v>
      </c>
      <c r="F531" s="2966" t="s">
        <v>3691</v>
      </c>
      <c r="G531" s="2948">
        <f t="shared" si="87"/>
        <v>1</v>
      </c>
      <c r="I531" s="2948">
        <f t="shared" si="88"/>
        <v>1</v>
      </c>
      <c r="K531" s="2948">
        <f t="shared" si="89"/>
        <v>1</v>
      </c>
      <c r="M531" s="2948">
        <f t="shared" si="90"/>
        <v>1</v>
      </c>
      <c r="O531" s="2948">
        <f t="shared" si="91"/>
        <v>1</v>
      </c>
      <c r="Q531" s="2948">
        <f t="shared" si="92"/>
        <v>1</v>
      </c>
      <c r="R531" s="2965">
        <f t="shared" ca="1" si="93"/>
        <v>7750</v>
      </c>
      <c r="S531" s="1181">
        <f t="shared" ca="1" si="94"/>
        <v>77</v>
      </c>
    </row>
    <row r="532" spans="1:19">
      <c r="A532" s="159" t="str">
        <f>'数据-基础表'!C521</f>
        <v>7-811</v>
      </c>
      <c r="B532" s="58">
        <f>'数据-基础表'!I521</f>
        <v>98.91</v>
      </c>
      <c r="C532" s="2948">
        <f t="shared" si="85"/>
        <v>1</v>
      </c>
      <c r="D532" s="2966" t="s">
        <v>3712</v>
      </c>
      <c r="E532" s="2948">
        <f t="shared" si="86"/>
        <v>0.98</v>
      </c>
      <c r="F532" s="2966" t="s">
        <v>3691</v>
      </c>
      <c r="G532" s="2948">
        <f t="shared" si="87"/>
        <v>1</v>
      </c>
      <c r="I532" s="2948">
        <f t="shared" si="88"/>
        <v>1</v>
      </c>
      <c r="K532" s="2948">
        <f t="shared" si="89"/>
        <v>1</v>
      </c>
      <c r="M532" s="2948">
        <f t="shared" si="90"/>
        <v>1</v>
      </c>
      <c r="O532" s="2948">
        <f t="shared" si="91"/>
        <v>1</v>
      </c>
      <c r="Q532" s="2948">
        <f t="shared" si="92"/>
        <v>1</v>
      </c>
      <c r="R532" s="2965">
        <f t="shared" ca="1" si="93"/>
        <v>7750</v>
      </c>
      <c r="S532" s="1181">
        <f t="shared" ca="1" si="94"/>
        <v>77</v>
      </c>
    </row>
    <row r="533" spans="1:19">
      <c r="A533" s="159" t="str">
        <f>'数据-基础表'!C522</f>
        <v>7-812</v>
      </c>
      <c r="B533" s="58">
        <f>'数据-基础表'!I522</f>
        <v>98.91</v>
      </c>
      <c r="C533" s="2948">
        <f t="shared" si="85"/>
        <v>1</v>
      </c>
      <c r="D533" s="2966" t="s">
        <v>3712</v>
      </c>
      <c r="E533" s="2948">
        <f t="shared" si="86"/>
        <v>0.98</v>
      </c>
      <c r="F533" s="2966" t="s">
        <v>3691</v>
      </c>
      <c r="G533" s="2948">
        <f t="shared" si="87"/>
        <v>1</v>
      </c>
      <c r="I533" s="2948">
        <f t="shared" si="88"/>
        <v>1</v>
      </c>
      <c r="K533" s="2948">
        <f t="shared" si="89"/>
        <v>1</v>
      </c>
      <c r="M533" s="2948">
        <f t="shared" si="90"/>
        <v>1</v>
      </c>
      <c r="O533" s="2948">
        <f t="shared" si="91"/>
        <v>1</v>
      </c>
      <c r="Q533" s="2948">
        <f t="shared" si="92"/>
        <v>1</v>
      </c>
      <c r="R533" s="2965">
        <f t="shared" ca="1" si="93"/>
        <v>7750</v>
      </c>
      <c r="S533" s="1181">
        <f t="shared" ca="1" si="94"/>
        <v>77</v>
      </c>
    </row>
    <row r="534" spans="1:19">
      <c r="A534" s="159" t="str">
        <f>'数据-基础表'!C523</f>
        <v>7-813</v>
      </c>
      <c r="B534" s="58">
        <f>'数据-基础表'!I523</f>
        <v>98.91</v>
      </c>
      <c r="C534" s="2948">
        <f t="shared" si="85"/>
        <v>1</v>
      </c>
      <c r="D534" s="2966" t="s">
        <v>3712</v>
      </c>
      <c r="E534" s="2948">
        <f t="shared" si="86"/>
        <v>0.98</v>
      </c>
      <c r="F534" s="2966" t="s">
        <v>3691</v>
      </c>
      <c r="G534" s="2948">
        <f t="shared" si="87"/>
        <v>1</v>
      </c>
      <c r="I534" s="2948">
        <f t="shared" si="88"/>
        <v>1</v>
      </c>
      <c r="K534" s="2948">
        <f t="shared" si="89"/>
        <v>1</v>
      </c>
      <c r="M534" s="2948">
        <f t="shared" si="90"/>
        <v>1</v>
      </c>
      <c r="O534" s="2948">
        <f t="shared" si="91"/>
        <v>1</v>
      </c>
      <c r="Q534" s="2948">
        <f t="shared" si="92"/>
        <v>1</v>
      </c>
      <c r="R534" s="2965">
        <f t="shared" ca="1" si="93"/>
        <v>7750</v>
      </c>
      <c r="S534" s="1181">
        <f t="shared" ca="1" si="94"/>
        <v>77</v>
      </c>
    </row>
    <row r="535" spans="1:19">
      <c r="A535" s="159" t="str">
        <f>'数据-基础表'!C524</f>
        <v>7-814</v>
      </c>
      <c r="B535" s="58">
        <f>'数据-基础表'!I524</f>
        <v>49.45</v>
      </c>
      <c r="C535" s="2948">
        <f t="shared" si="85"/>
        <v>1.01</v>
      </c>
      <c r="D535" s="2966" t="s">
        <v>3712</v>
      </c>
      <c r="E535" s="2948">
        <f t="shared" si="86"/>
        <v>0.98</v>
      </c>
      <c r="F535" s="2966" t="s">
        <v>3691</v>
      </c>
      <c r="G535" s="2948">
        <f t="shared" si="87"/>
        <v>1</v>
      </c>
      <c r="I535" s="2948">
        <f t="shared" si="88"/>
        <v>1</v>
      </c>
      <c r="K535" s="2948">
        <f t="shared" si="89"/>
        <v>1</v>
      </c>
      <c r="M535" s="2948">
        <f t="shared" si="90"/>
        <v>1</v>
      </c>
      <c r="O535" s="2948">
        <f t="shared" si="91"/>
        <v>1</v>
      </c>
      <c r="Q535" s="2948">
        <f t="shared" si="92"/>
        <v>1</v>
      </c>
      <c r="R535" s="2965">
        <f t="shared" ca="1" si="93"/>
        <v>7827</v>
      </c>
      <c r="S535" s="1181">
        <f t="shared" ca="1" si="94"/>
        <v>39</v>
      </c>
    </row>
    <row r="536" spans="1:19">
      <c r="A536" s="159" t="str">
        <f>'数据-基础表'!C525</f>
        <v>7-815</v>
      </c>
      <c r="B536" s="58">
        <f>'数据-基础表'!I525</f>
        <v>76.540000000000006</v>
      </c>
      <c r="C536" s="2948">
        <f t="shared" si="85"/>
        <v>1</v>
      </c>
      <c r="D536" s="2966" t="s">
        <v>3712</v>
      </c>
      <c r="E536" s="2948">
        <f t="shared" si="86"/>
        <v>0.98</v>
      </c>
      <c r="F536" s="2966" t="s">
        <v>3691</v>
      </c>
      <c r="G536" s="2948">
        <f t="shared" si="87"/>
        <v>1</v>
      </c>
      <c r="I536" s="2948">
        <f t="shared" si="88"/>
        <v>1</v>
      </c>
      <c r="K536" s="2948">
        <f t="shared" si="89"/>
        <v>1</v>
      </c>
      <c r="M536" s="2948">
        <f t="shared" si="90"/>
        <v>1</v>
      </c>
      <c r="O536" s="2948">
        <f t="shared" si="91"/>
        <v>1</v>
      </c>
      <c r="Q536" s="2948">
        <f t="shared" si="92"/>
        <v>1</v>
      </c>
      <c r="R536" s="2965">
        <f t="shared" ca="1" si="93"/>
        <v>7750</v>
      </c>
      <c r="S536" s="1181">
        <f t="shared" ca="1" si="94"/>
        <v>59</v>
      </c>
    </row>
    <row r="537" spans="1:19">
      <c r="A537" s="159" t="str">
        <f>'数据-基础表'!C526</f>
        <v>7-816</v>
      </c>
      <c r="B537" s="58">
        <f>'数据-基础表'!I526</f>
        <v>135.76</v>
      </c>
      <c r="C537" s="2948">
        <f t="shared" si="85"/>
        <v>0.99</v>
      </c>
      <c r="D537" s="2966" t="s">
        <v>3712</v>
      </c>
      <c r="E537" s="2948">
        <f t="shared" si="86"/>
        <v>0.98</v>
      </c>
      <c r="F537" s="2966" t="s">
        <v>3691</v>
      </c>
      <c r="G537" s="2948">
        <f t="shared" si="87"/>
        <v>1</v>
      </c>
      <c r="I537" s="2948">
        <f t="shared" si="88"/>
        <v>1</v>
      </c>
      <c r="K537" s="2948">
        <f t="shared" si="89"/>
        <v>1</v>
      </c>
      <c r="M537" s="2948">
        <f t="shared" si="90"/>
        <v>1</v>
      </c>
      <c r="O537" s="2948">
        <f t="shared" si="91"/>
        <v>1</v>
      </c>
      <c r="Q537" s="2948">
        <f t="shared" si="92"/>
        <v>1</v>
      </c>
      <c r="R537" s="2965">
        <f t="shared" ca="1" si="93"/>
        <v>7672</v>
      </c>
      <c r="S537" s="1181">
        <f t="shared" ca="1" si="94"/>
        <v>104</v>
      </c>
    </row>
    <row r="538" spans="1:19">
      <c r="A538" s="159" t="str">
        <f>'数据-基础表'!C527</f>
        <v>7-901</v>
      </c>
      <c r="B538" s="58">
        <f>'数据-基础表'!I527</f>
        <v>76.540000000000006</v>
      </c>
      <c r="C538" s="2948">
        <f t="shared" ref="C538:C553" si="95">IF(B538="",1,(LOOKUP(B538,$3:$3,$4:$4)-LOOKUP($B$24,$3:$3,$4:$4)+100)/100)</f>
        <v>1</v>
      </c>
      <c r="D538" s="2966" t="s">
        <v>3712</v>
      </c>
      <c r="E538" s="2948">
        <f t="shared" ref="E538:E553" si="96">(SUMIF($5:$5,D538,$6:$6)-SUMIF($5:$5,$D$24,$6:$6)+100)/100</f>
        <v>0.98</v>
      </c>
      <c r="F538" s="2966" t="s">
        <v>3691</v>
      </c>
      <c r="G538" s="2948">
        <f t="shared" ref="G538:G553" si="97">(SUMIF($7:$7,F538,$8:$8)-SUMIF($7:$7,$F$24,$8:$8)+100)/100</f>
        <v>1</v>
      </c>
      <c r="I538" s="2948">
        <f t="shared" ref="I538:I553" si="98">(SUMIF($9:$9,H538,$10:$10)-SUMIF($9:$9,$H$24,$10:$10)+100)/100</f>
        <v>1</v>
      </c>
      <c r="K538" s="2948">
        <f t="shared" ref="K538:K553" si="99">(SUMIF($11:$11,J538,$12:$12)-SUMIF($11:$11,$J$24,$12:$12)+100)/100</f>
        <v>1</v>
      </c>
      <c r="M538" s="2948">
        <f t="shared" ref="M538:M553" si="100">(SUMIF($13:$13,L538,$14:$14)-SUMIF($13:$13,$L$24,$14:$14)+100)/100</f>
        <v>1</v>
      </c>
      <c r="O538" s="2948">
        <f t="shared" ref="O538:O553" si="101">(SUMIF($15:$15,N538,$16:$16)-SUMIF($15:$15,$N$24,$16:$16)+100)/100</f>
        <v>1</v>
      </c>
      <c r="Q538" s="2948">
        <f t="shared" ref="Q538:Q553" si="102">(SUMIF($17:$17,P538,$18:$18)-SUMIF($17:$17,$P$24,$18:$18)+100)/100</f>
        <v>1</v>
      </c>
      <c r="R538" s="2965">
        <f t="shared" ref="R538:R553" ca="1" si="103">IF(B538="",0,ROUND($R$24*C538*E538*G538*I538*K538*M538*O538*Q538,0))</f>
        <v>7750</v>
      </c>
      <c r="S538" s="1181">
        <f t="shared" ca="1" si="94"/>
        <v>59</v>
      </c>
    </row>
    <row r="539" spans="1:19">
      <c r="A539" s="159" t="str">
        <f>'数据-基础表'!C528</f>
        <v>7-902</v>
      </c>
      <c r="B539" s="58">
        <f>'数据-基础表'!I528</f>
        <v>49.45</v>
      </c>
      <c r="C539" s="2948">
        <f t="shared" si="95"/>
        <v>1.01</v>
      </c>
      <c r="D539" s="2966" t="s">
        <v>3712</v>
      </c>
      <c r="E539" s="2948">
        <f t="shared" si="96"/>
        <v>0.98</v>
      </c>
      <c r="F539" s="2966" t="s">
        <v>3691</v>
      </c>
      <c r="G539" s="2948">
        <f t="shared" si="97"/>
        <v>1</v>
      </c>
      <c r="I539" s="2948">
        <f t="shared" si="98"/>
        <v>1</v>
      </c>
      <c r="K539" s="2948">
        <f t="shared" si="99"/>
        <v>1</v>
      </c>
      <c r="M539" s="2948">
        <f t="shared" si="100"/>
        <v>1</v>
      </c>
      <c r="O539" s="2948">
        <f t="shared" si="101"/>
        <v>1</v>
      </c>
      <c r="Q539" s="2948">
        <f t="shared" si="102"/>
        <v>1</v>
      </c>
      <c r="R539" s="2965">
        <f t="shared" ca="1" si="103"/>
        <v>7827</v>
      </c>
      <c r="S539" s="1181">
        <f t="shared" ca="1" si="94"/>
        <v>39</v>
      </c>
    </row>
    <row r="540" spans="1:19">
      <c r="A540" s="159" t="str">
        <f>'数据-基础表'!C529</f>
        <v>7-903</v>
      </c>
      <c r="B540" s="58">
        <f>'数据-基础表'!I529</f>
        <v>98.91</v>
      </c>
      <c r="C540" s="2948">
        <f t="shared" si="95"/>
        <v>1</v>
      </c>
      <c r="D540" s="2966" t="s">
        <v>3712</v>
      </c>
      <c r="E540" s="2948">
        <f t="shared" si="96"/>
        <v>0.98</v>
      </c>
      <c r="F540" s="2966" t="s">
        <v>3691</v>
      </c>
      <c r="G540" s="2948">
        <f t="shared" si="97"/>
        <v>1</v>
      </c>
      <c r="I540" s="2948">
        <f t="shared" si="98"/>
        <v>1</v>
      </c>
      <c r="K540" s="2948">
        <f t="shared" si="99"/>
        <v>1</v>
      </c>
      <c r="M540" s="2948">
        <f t="shared" si="100"/>
        <v>1</v>
      </c>
      <c r="O540" s="2948">
        <f t="shared" si="101"/>
        <v>1</v>
      </c>
      <c r="Q540" s="2948">
        <f t="shared" si="102"/>
        <v>1</v>
      </c>
      <c r="R540" s="2965">
        <f t="shared" ca="1" si="103"/>
        <v>7750</v>
      </c>
      <c r="S540" s="1181">
        <f t="shared" ca="1" si="94"/>
        <v>77</v>
      </c>
    </row>
    <row r="541" spans="1:19">
      <c r="A541" s="159" t="str">
        <f>'数据-基础表'!C530</f>
        <v>7-904</v>
      </c>
      <c r="B541" s="58">
        <f>'数据-基础表'!I530</f>
        <v>98.91</v>
      </c>
      <c r="C541" s="2948">
        <f t="shared" si="95"/>
        <v>1</v>
      </c>
      <c r="D541" s="2966" t="s">
        <v>3712</v>
      </c>
      <c r="E541" s="2948">
        <f t="shared" si="96"/>
        <v>0.98</v>
      </c>
      <c r="F541" s="2966" t="s">
        <v>3691</v>
      </c>
      <c r="G541" s="2948">
        <f t="shared" si="97"/>
        <v>1</v>
      </c>
      <c r="I541" s="2948">
        <f t="shared" si="98"/>
        <v>1</v>
      </c>
      <c r="K541" s="2948">
        <f t="shared" si="99"/>
        <v>1</v>
      </c>
      <c r="M541" s="2948">
        <f t="shared" si="100"/>
        <v>1</v>
      </c>
      <c r="O541" s="2948">
        <f t="shared" si="101"/>
        <v>1</v>
      </c>
      <c r="Q541" s="2948">
        <f t="shared" si="102"/>
        <v>1</v>
      </c>
      <c r="R541" s="2965">
        <f t="shared" ca="1" si="103"/>
        <v>7750</v>
      </c>
      <c r="S541" s="1181">
        <f t="shared" ca="1" si="94"/>
        <v>77</v>
      </c>
    </row>
    <row r="542" spans="1:19">
      <c r="A542" s="159" t="str">
        <f>'数据-基础表'!C531</f>
        <v>7-905</v>
      </c>
      <c r="B542" s="58">
        <f>'数据-基础表'!I531</f>
        <v>98.91</v>
      </c>
      <c r="C542" s="2948">
        <f t="shared" si="95"/>
        <v>1</v>
      </c>
      <c r="D542" s="2966" t="s">
        <v>3712</v>
      </c>
      <c r="E542" s="2948">
        <f t="shared" si="96"/>
        <v>0.98</v>
      </c>
      <c r="F542" s="2966" t="s">
        <v>3691</v>
      </c>
      <c r="G542" s="2948">
        <f t="shared" si="97"/>
        <v>1</v>
      </c>
      <c r="I542" s="2948">
        <f t="shared" si="98"/>
        <v>1</v>
      </c>
      <c r="K542" s="2948">
        <f t="shared" si="99"/>
        <v>1</v>
      </c>
      <c r="M542" s="2948">
        <f t="shared" si="100"/>
        <v>1</v>
      </c>
      <c r="O542" s="2948">
        <f t="shared" si="101"/>
        <v>1</v>
      </c>
      <c r="Q542" s="2948">
        <f t="shared" si="102"/>
        <v>1</v>
      </c>
      <c r="R542" s="2965">
        <f t="shared" ca="1" si="103"/>
        <v>7750</v>
      </c>
      <c r="S542" s="1181">
        <f t="shared" ca="1" si="94"/>
        <v>77</v>
      </c>
    </row>
    <row r="543" spans="1:19">
      <c r="A543" s="159" t="str">
        <f>'数据-基础表'!C532</f>
        <v>7-906</v>
      </c>
      <c r="B543" s="58">
        <f>'数据-基础表'!I532</f>
        <v>98.91</v>
      </c>
      <c r="C543" s="2948">
        <f t="shared" si="95"/>
        <v>1</v>
      </c>
      <c r="D543" s="2966" t="s">
        <v>3712</v>
      </c>
      <c r="E543" s="2948">
        <f t="shared" si="96"/>
        <v>0.98</v>
      </c>
      <c r="F543" s="2966" t="s">
        <v>3691</v>
      </c>
      <c r="G543" s="2948">
        <f t="shared" si="97"/>
        <v>1</v>
      </c>
      <c r="I543" s="2948">
        <f t="shared" si="98"/>
        <v>1</v>
      </c>
      <c r="K543" s="2948">
        <f t="shared" si="99"/>
        <v>1</v>
      </c>
      <c r="M543" s="2948">
        <f t="shared" si="100"/>
        <v>1</v>
      </c>
      <c r="O543" s="2948">
        <f t="shared" si="101"/>
        <v>1</v>
      </c>
      <c r="Q543" s="2948">
        <f t="shared" si="102"/>
        <v>1</v>
      </c>
      <c r="R543" s="2965">
        <f t="shared" ca="1" si="103"/>
        <v>7750</v>
      </c>
      <c r="S543" s="1181">
        <f t="shared" ca="1" si="94"/>
        <v>77</v>
      </c>
    </row>
    <row r="544" spans="1:19">
      <c r="A544" s="159" t="str">
        <f>'数据-基础表'!C533</f>
        <v>7-907</v>
      </c>
      <c r="B544" s="58">
        <f>'数据-基础表'!I533</f>
        <v>125.99</v>
      </c>
      <c r="C544" s="2948">
        <f t="shared" si="95"/>
        <v>0.99</v>
      </c>
      <c r="D544" s="2966" t="s">
        <v>3712</v>
      </c>
      <c r="E544" s="2948">
        <f t="shared" si="96"/>
        <v>0.98</v>
      </c>
      <c r="F544" s="2966" t="s">
        <v>3691</v>
      </c>
      <c r="G544" s="2948">
        <f t="shared" si="97"/>
        <v>1</v>
      </c>
      <c r="I544" s="2948">
        <f t="shared" si="98"/>
        <v>1</v>
      </c>
      <c r="K544" s="2948">
        <f t="shared" si="99"/>
        <v>1</v>
      </c>
      <c r="M544" s="2948">
        <f t="shared" si="100"/>
        <v>1</v>
      </c>
      <c r="O544" s="2948">
        <f t="shared" si="101"/>
        <v>1</v>
      </c>
      <c r="Q544" s="2948">
        <f t="shared" si="102"/>
        <v>1</v>
      </c>
      <c r="R544" s="2965">
        <f t="shared" ca="1" si="103"/>
        <v>7672</v>
      </c>
      <c r="S544" s="1181">
        <f t="shared" ca="1" si="94"/>
        <v>97</v>
      </c>
    </row>
    <row r="545" spans="1:19">
      <c r="A545" s="159" t="str">
        <f>'数据-基础表'!C534</f>
        <v>7-908</v>
      </c>
      <c r="B545" s="58">
        <f>'数据-基础表'!I534</f>
        <v>135.76</v>
      </c>
      <c r="C545" s="2948">
        <f t="shared" si="95"/>
        <v>0.99</v>
      </c>
      <c r="D545" s="2966" t="s">
        <v>3712</v>
      </c>
      <c r="E545" s="2948">
        <f t="shared" si="96"/>
        <v>0.98</v>
      </c>
      <c r="F545" s="2966" t="s">
        <v>3691</v>
      </c>
      <c r="G545" s="2948">
        <f t="shared" si="97"/>
        <v>1</v>
      </c>
      <c r="I545" s="2948">
        <f t="shared" si="98"/>
        <v>1</v>
      </c>
      <c r="K545" s="2948">
        <f t="shared" si="99"/>
        <v>1</v>
      </c>
      <c r="M545" s="2948">
        <f t="shared" si="100"/>
        <v>1</v>
      </c>
      <c r="O545" s="2948">
        <f t="shared" si="101"/>
        <v>1</v>
      </c>
      <c r="Q545" s="2948">
        <f t="shared" si="102"/>
        <v>1</v>
      </c>
      <c r="R545" s="2965">
        <f t="shared" ca="1" si="103"/>
        <v>7672</v>
      </c>
      <c r="S545" s="1181">
        <f t="shared" ca="1" si="94"/>
        <v>104</v>
      </c>
    </row>
    <row r="546" spans="1:19">
      <c r="A546" s="159" t="str">
        <f>'数据-基础表'!C535</f>
        <v>7-909</v>
      </c>
      <c r="B546" s="58">
        <f>'数据-基础表'!I535</f>
        <v>125.99</v>
      </c>
      <c r="C546" s="2948">
        <f t="shared" si="95"/>
        <v>0.99</v>
      </c>
      <c r="D546" s="2966" t="s">
        <v>3712</v>
      </c>
      <c r="E546" s="2948">
        <f t="shared" si="96"/>
        <v>0.98</v>
      </c>
      <c r="F546" s="2966" t="s">
        <v>3691</v>
      </c>
      <c r="G546" s="2948">
        <f t="shared" si="97"/>
        <v>1</v>
      </c>
      <c r="I546" s="2948">
        <f t="shared" si="98"/>
        <v>1</v>
      </c>
      <c r="K546" s="2948">
        <f t="shared" si="99"/>
        <v>1</v>
      </c>
      <c r="M546" s="2948">
        <f t="shared" si="100"/>
        <v>1</v>
      </c>
      <c r="O546" s="2948">
        <f t="shared" si="101"/>
        <v>1</v>
      </c>
      <c r="Q546" s="2948">
        <f t="shared" si="102"/>
        <v>1</v>
      </c>
      <c r="R546" s="2965">
        <f t="shared" ca="1" si="103"/>
        <v>7672</v>
      </c>
      <c r="S546" s="1181">
        <f t="shared" ca="1" si="94"/>
        <v>97</v>
      </c>
    </row>
    <row r="547" spans="1:19">
      <c r="A547" s="159" t="str">
        <f>'数据-基础表'!C536</f>
        <v>7-910</v>
      </c>
      <c r="B547" s="58">
        <f>'数据-基础表'!I536</f>
        <v>98.91</v>
      </c>
      <c r="C547" s="2948">
        <f t="shared" si="95"/>
        <v>1</v>
      </c>
      <c r="D547" s="2966" t="s">
        <v>3712</v>
      </c>
      <c r="E547" s="2948">
        <f t="shared" si="96"/>
        <v>0.98</v>
      </c>
      <c r="F547" s="2966" t="s">
        <v>3691</v>
      </c>
      <c r="G547" s="2948">
        <f t="shared" si="97"/>
        <v>1</v>
      </c>
      <c r="I547" s="2948">
        <f t="shared" si="98"/>
        <v>1</v>
      </c>
      <c r="K547" s="2948">
        <f t="shared" si="99"/>
        <v>1</v>
      </c>
      <c r="M547" s="2948">
        <f t="shared" si="100"/>
        <v>1</v>
      </c>
      <c r="O547" s="2948">
        <f t="shared" si="101"/>
        <v>1</v>
      </c>
      <c r="Q547" s="2948">
        <f t="shared" si="102"/>
        <v>1</v>
      </c>
      <c r="R547" s="2965">
        <f t="shared" ca="1" si="103"/>
        <v>7750</v>
      </c>
      <c r="S547" s="1181">
        <f t="shared" ca="1" si="94"/>
        <v>77</v>
      </c>
    </row>
    <row r="548" spans="1:19">
      <c r="A548" s="159" t="str">
        <f>'数据-基础表'!C537</f>
        <v>7-911</v>
      </c>
      <c r="B548" s="58">
        <f>'数据-基础表'!I537</f>
        <v>98.91</v>
      </c>
      <c r="C548" s="2948">
        <f t="shared" si="95"/>
        <v>1</v>
      </c>
      <c r="D548" s="2966" t="s">
        <v>3712</v>
      </c>
      <c r="E548" s="2948">
        <f t="shared" si="96"/>
        <v>0.98</v>
      </c>
      <c r="F548" s="2966" t="s">
        <v>3691</v>
      </c>
      <c r="G548" s="2948">
        <f t="shared" si="97"/>
        <v>1</v>
      </c>
      <c r="I548" s="2948">
        <f t="shared" si="98"/>
        <v>1</v>
      </c>
      <c r="K548" s="2948">
        <f t="shared" si="99"/>
        <v>1</v>
      </c>
      <c r="M548" s="2948">
        <f t="shared" si="100"/>
        <v>1</v>
      </c>
      <c r="O548" s="2948">
        <f t="shared" si="101"/>
        <v>1</v>
      </c>
      <c r="Q548" s="2948">
        <f t="shared" si="102"/>
        <v>1</v>
      </c>
      <c r="R548" s="2965">
        <f t="shared" ca="1" si="103"/>
        <v>7750</v>
      </c>
      <c r="S548" s="1181">
        <f t="shared" ca="1" si="94"/>
        <v>77</v>
      </c>
    </row>
    <row r="549" spans="1:19">
      <c r="A549" s="159" t="str">
        <f>'数据-基础表'!C538</f>
        <v>7-912</v>
      </c>
      <c r="B549" s="58">
        <f>'数据-基础表'!I538</f>
        <v>98.91</v>
      </c>
      <c r="C549" s="2948">
        <f t="shared" si="95"/>
        <v>1</v>
      </c>
      <c r="D549" s="2966" t="s">
        <v>3712</v>
      </c>
      <c r="E549" s="2948">
        <f t="shared" si="96"/>
        <v>0.98</v>
      </c>
      <c r="F549" s="2966" t="s">
        <v>3691</v>
      </c>
      <c r="G549" s="2948">
        <f t="shared" si="97"/>
        <v>1</v>
      </c>
      <c r="I549" s="2948">
        <f t="shared" si="98"/>
        <v>1</v>
      </c>
      <c r="K549" s="2948">
        <f t="shared" si="99"/>
        <v>1</v>
      </c>
      <c r="M549" s="2948">
        <f t="shared" si="100"/>
        <v>1</v>
      </c>
      <c r="O549" s="2948">
        <f t="shared" si="101"/>
        <v>1</v>
      </c>
      <c r="Q549" s="2948">
        <f t="shared" si="102"/>
        <v>1</v>
      </c>
      <c r="R549" s="2965">
        <f t="shared" ca="1" si="103"/>
        <v>7750</v>
      </c>
      <c r="S549" s="1181">
        <f t="shared" ca="1" si="94"/>
        <v>77</v>
      </c>
    </row>
    <row r="550" spans="1:19">
      <c r="A550" s="159" t="str">
        <f>'数据-基础表'!C539</f>
        <v>7-913</v>
      </c>
      <c r="B550" s="58">
        <f>'数据-基础表'!I539</f>
        <v>98.91</v>
      </c>
      <c r="C550" s="2948">
        <f t="shared" si="95"/>
        <v>1</v>
      </c>
      <c r="D550" s="2966" t="s">
        <v>3712</v>
      </c>
      <c r="E550" s="2948">
        <f t="shared" si="96"/>
        <v>0.98</v>
      </c>
      <c r="F550" s="2966" t="s">
        <v>3691</v>
      </c>
      <c r="G550" s="2948">
        <f t="shared" si="97"/>
        <v>1</v>
      </c>
      <c r="I550" s="2948">
        <f t="shared" si="98"/>
        <v>1</v>
      </c>
      <c r="K550" s="2948">
        <f t="shared" si="99"/>
        <v>1</v>
      </c>
      <c r="M550" s="2948">
        <f t="shared" si="100"/>
        <v>1</v>
      </c>
      <c r="O550" s="2948">
        <f t="shared" si="101"/>
        <v>1</v>
      </c>
      <c r="Q550" s="2948">
        <f t="shared" si="102"/>
        <v>1</v>
      </c>
      <c r="R550" s="2965">
        <f t="shared" ca="1" si="103"/>
        <v>7750</v>
      </c>
      <c r="S550" s="1181">
        <f t="shared" ca="1" si="94"/>
        <v>77</v>
      </c>
    </row>
    <row r="551" spans="1:19">
      <c r="A551" s="159" t="str">
        <f>'数据-基础表'!C540</f>
        <v>7-914</v>
      </c>
      <c r="B551" s="58">
        <f>'数据-基础表'!I540</f>
        <v>49.45</v>
      </c>
      <c r="C551" s="2948">
        <f t="shared" si="95"/>
        <v>1.01</v>
      </c>
      <c r="D551" s="2966" t="s">
        <v>3712</v>
      </c>
      <c r="E551" s="2948">
        <f t="shared" si="96"/>
        <v>0.98</v>
      </c>
      <c r="F551" s="2966" t="s">
        <v>3691</v>
      </c>
      <c r="G551" s="2948">
        <f t="shared" si="97"/>
        <v>1</v>
      </c>
      <c r="I551" s="2948">
        <f t="shared" si="98"/>
        <v>1</v>
      </c>
      <c r="K551" s="2948">
        <f t="shared" si="99"/>
        <v>1</v>
      </c>
      <c r="M551" s="2948">
        <f t="shared" si="100"/>
        <v>1</v>
      </c>
      <c r="O551" s="2948">
        <f t="shared" si="101"/>
        <v>1</v>
      </c>
      <c r="Q551" s="2948">
        <f t="shared" si="102"/>
        <v>1</v>
      </c>
      <c r="R551" s="2965">
        <f t="shared" ca="1" si="103"/>
        <v>7827</v>
      </c>
      <c r="S551" s="1181">
        <f t="shared" ca="1" si="94"/>
        <v>39</v>
      </c>
    </row>
    <row r="552" spans="1:19">
      <c r="A552" s="159" t="str">
        <f>'数据-基础表'!C541</f>
        <v>7-915</v>
      </c>
      <c r="B552" s="58">
        <f>'数据-基础表'!I541</f>
        <v>76.540000000000006</v>
      </c>
      <c r="C552" s="2948">
        <f t="shared" si="95"/>
        <v>1</v>
      </c>
      <c r="D552" s="2966" t="s">
        <v>3712</v>
      </c>
      <c r="E552" s="2948">
        <f t="shared" si="96"/>
        <v>0.98</v>
      </c>
      <c r="F552" s="2966" t="s">
        <v>3691</v>
      </c>
      <c r="G552" s="2948">
        <f t="shared" si="97"/>
        <v>1</v>
      </c>
      <c r="I552" s="2948">
        <f t="shared" si="98"/>
        <v>1</v>
      </c>
      <c r="K552" s="2948">
        <f t="shared" si="99"/>
        <v>1</v>
      </c>
      <c r="M552" s="2948">
        <f t="shared" si="100"/>
        <v>1</v>
      </c>
      <c r="O552" s="2948">
        <f t="shared" si="101"/>
        <v>1</v>
      </c>
      <c r="Q552" s="2948">
        <f t="shared" si="102"/>
        <v>1</v>
      </c>
      <c r="R552" s="2965">
        <f t="shared" ca="1" si="103"/>
        <v>7750</v>
      </c>
      <c r="S552" s="1181">
        <f t="shared" ca="1" si="94"/>
        <v>59</v>
      </c>
    </row>
    <row r="553" spans="1:19">
      <c r="A553" s="159" t="str">
        <f>'数据-基础表'!C542</f>
        <v>7-916</v>
      </c>
      <c r="B553" s="58">
        <f>'数据-基础表'!I542</f>
        <v>135.76</v>
      </c>
      <c r="C553" s="2948">
        <f t="shared" si="95"/>
        <v>0.99</v>
      </c>
      <c r="D553" s="2966" t="s">
        <v>3712</v>
      </c>
      <c r="E553" s="2948">
        <f t="shared" si="96"/>
        <v>0.98</v>
      </c>
      <c r="F553" s="2966" t="s">
        <v>3691</v>
      </c>
      <c r="G553" s="2948">
        <f t="shared" si="97"/>
        <v>1</v>
      </c>
      <c r="I553" s="2948">
        <f t="shared" si="98"/>
        <v>1</v>
      </c>
      <c r="K553" s="2948">
        <f t="shared" si="99"/>
        <v>1</v>
      </c>
      <c r="M553" s="2948">
        <f t="shared" si="100"/>
        <v>1</v>
      </c>
      <c r="O553" s="2948">
        <f t="shared" si="101"/>
        <v>1</v>
      </c>
      <c r="Q553" s="2948">
        <f t="shared" si="102"/>
        <v>1</v>
      </c>
      <c r="R553" s="2965">
        <f t="shared" ca="1" si="103"/>
        <v>7672</v>
      </c>
      <c r="S553" s="1181">
        <f t="shared" ca="1" si="94"/>
        <v>104</v>
      </c>
    </row>
    <row r="554" spans="1:19">
      <c r="A554" s="26"/>
    </row>
    <row r="555" spans="1:19">
      <c r="A555" s="26"/>
    </row>
    <row r="556" spans="1:19">
      <c r="A556" s="26"/>
    </row>
    <row r="557" spans="1:19">
      <c r="A557" s="26"/>
    </row>
    <row r="558" spans="1:19">
      <c r="A558" s="26"/>
    </row>
    <row r="559" spans="1:19">
      <c r="A559" s="26"/>
    </row>
    <row r="560" spans="1:19">
      <c r="A560" s="26"/>
    </row>
    <row r="561" spans="1:1">
      <c r="A561" s="26"/>
    </row>
    <row r="562" spans="1:1">
      <c r="A562" s="26"/>
    </row>
    <row r="563" spans="1:1">
      <c r="A563" s="26"/>
    </row>
    <row r="564" spans="1:1">
      <c r="A564" s="26"/>
    </row>
    <row r="565" spans="1:1">
      <c r="A565" s="26"/>
    </row>
    <row r="566" spans="1:1">
      <c r="A566" s="26"/>
    </row>
    <row r="567" spans="1:1">
      <c r="A567" s="26"/>
    </row>
    <row r="568" spans="1:1">
      <c r="A568" s="26"/>
    </row>
    <row r="569" spans="1:1">
      <c r="A569" s="26"/>
    </row>
    <row r="570" spans="1:1">
      <c r="A570" s="26"/>
    </row>
    <row r="571" spans="1:1">
      <c r="A571" s="26"/>
    </row>
    <row r="572" spans="1:1">
      <c r="A572" s="26"/>
    </row>
    <row r="573" spans="1:1">
      <c r="A573" s="26"/>
    </row>
    <row r="574" spans="1:1">
      <c r="A574" s="26"/>
    </row>
    <row r="575" spans="1:1">
      <c r="A575" s="26"/>
    </row>
    <row r="576" spans="1:1">
      <c r="A576" s="26"/>
    </row>
    <row r="577" spans="1:1">
      <c r="A577" s="26"/>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4"/>
      <c r="B4" s="2985" t="s">
        <v>1632</v>
      </c>
      <c r="C4" s="2985"/>
      <c r="D4" s="2985"/>
      <c r="E4" s="1964"/>
    </row>
    <row r="5" spans="1:5" ht="16.5" thickTop="1">
      <c r="A5" s="1962"/>
      <c r="B5" s="2983" t="s">
        <v>1624</v>
      </c>
      <c r="C5" s="1965" t="s">
        <v>1625</v>
      </c>
      <c r="D5" s="1043">
        <f ca="1">结果表!H101</f>
        <v>78</v>
      </c>
      <c r="E5" s="1962"/>
    </row>
    <row r="6" spans="1:5" ht="15.75">
      <c r="A6" s="1962"/>
      <c r="B6" s="2983"/>
      <c r="C6" s="1965" t="s">
        <v>1626</v>
      </c>
      <c r="D6" s="1043" t="str">
        <f ca="1">NUMBERSTRING(INT(D5*10000),2)&amp;"元整"</f>
        <v>柒拾捌万元整</v>
      </c>
      <c r="E6" s="1962"/>
    </row>
    <row r="7" spans="1:5" ht="15.75">
      <c r="A7" s="1962"/>
      <c r="B7" s="2988"/>
      <c r="C7" s="1966" t="s">
        <v>1627</v>
      </c>
      <c r="D7" s="1044">
        <f ca="1">结果表!H102</f>
        <v>7886</v>
      </c>
      <c r="E7" s="1962"/>
    </row>
    <row r="8" spans="1:5" ht="15.75">
      <c r="A8" s="1962"/>
      <c r="B8" s="2989" t="str">
        <f>结果表!E103</f>
        <v>2.估价师知悉的法定优先受偿款</v>
      </c>
      <c r="C8" s="1967" t="s">
        <v>1628</v>
      </c>
      <c r="D8" s="1044">
        <f>结果表!H103</f>
        <v>0</v>
      </c>
      <c r="E8" s="1962"/>
    </row>
    <row r="9" spans="1:5" ht="15.75">
      <c r="A9" s="1962"/>
      <c r="B9" s="2991"/>
      <c r="C9" s="1965" t="s">
        <v>1626</v>
      </c>
      <c r="D9" s="1043" t="str">
        <f>NUMBERSTRING(INT(D8*10000),2)&amp;"元整"</f>
        <v>零元整</v>
      </c>
      <c r="E9" s="1962"/>
    </row>
    <row r="10" spans="1:5" ht="15">
      <c r="A10" s="1962"/>
      <c r="B10" s="1968" t="s">
        <v>1631</v>
      </c>
      <c r="C10" s="1969" t="s">
        <v>1629</v>
      </c>
      <c r="D10" s="1045">
        <f>结果表!H104</f>
        <v>0</v>
      </c>
      <c r="E10" s="1962"/>
    </row>
    <row r="11" spans="1:5" ht="15">
      <c r="A11" s="1962"/>
      <c r="B11" s="1968" t="s">
        <v>1633</v>
      </c>
      <c r="C11" s="1969" t="s">
        <v>1634</v>
      </c>
      <c r="D11" s="1045">
        <f>结果表!H105</f>
        <v>0</v>
      </c>
      <c r="E11" s="1962"/>
    </row>
    <row r="12" spans="1:5" ht="15">
      <c r="A12" s="1962"/>
      <c r="B12" s="1968" t="s">
        <v>1635</v>
      </c>
      <c r="C12" s="1969" t="s">
        <v>1634</v>
      </c>
      <c r="D12" s="1045">
        <f>结果表!H106</f>
        <v>0</v>
      </c>
      <c r="E12" s="1962"/>
    </row>
    <row r="13" spans="1:5" ht="15.75">
      <c r="A13" s="1962"/>
      <c r="B13" s="2982" t="str">
        <f>结果表!E107</f>
        <v>3.房地产抵押价值</v>
      </c>
      <c r="C13" s="1970" t="s">
        <v>1625</v>
      </c>
      <c r="D13" s="1046">
        <f ca="1">结果表!H107</f>
        <v>78</v>
      </c>
      <c r="E13" s="1962"/>
    </row>
    <row r="14" spans="1:5" ht="15.75">
      <c r="A14" s="1962"/>
      <c r="B14" s="2983"/>
      <c r="C14" s="1965" t="s">
        <v>1626</v>
      </c>
      <c r="D14" s="1043" t="str">
        <f ca="1">NUMBERSTRING(INT(D13*10000),2)&amp;"元整"</f>
        <v>柒拾捌万元整</v>
      </c>
      <c r="E14" s="1962"/>
    </row>
    <row r="15" spans="1:5" ht="15">
      <c r="A15" s="1962"/>
      <c r="B15" s="2988"/>
      <c r="C15" s="1966" t="s">
        <v>1636</v>
      </c>
      <c r="D15" s="1055">
        <f ca="1">结果表!H108</f>
        <v>20</v>
      </c>
      <c r="E15" s="1962"/>
    </row>
    <row r="16" spans="1:5" ht="15">
      <c r="A16" s="1962"/>
      <c r="B16" s="2989" t="str">
        <f>结果表!E109</f>
        <v>——</v>
      </c>
      <c r="C16" s="1970" t="s">
        <v>1637</v>
      </c>
      <c r="D16" s="1971" t="str">
        <f>结果表!H109</f>
        <v>——</v>
      </c>
      <c r="E16" s="1962"/>
    </row>
    <row r="17" spans="1:5" ht="15.75">
      <c r="A17" s="1962"/>
      <c r="B17" s="2990"/>
      <c r="C17" s="1965" t="s">
        <v>1638</v>
      </c>
      <c r="D17" s="1043" t="e">
        <f>NUMBERSTRING(INT(D16*10000),2)&amp;"元整"</f>
        <v>#VALUE!</v>
      </c>
      <c r="E17" s="1962"/>
    </row>
    <row r="18" spans="1:5" ht="15">
      <c r="A18" s="1962"/>
      <c r="B18" s="2991"/>
      <c r="C18" s="1966" t="s">
        <v>1627</v>
      </c>
      <c r="D18" s="1055" t="str">
        <f>结果表!H110</f>
        <v>——</v>
      </c>
      <c r="E18" s="1962"/>
    </row>
    <row r="19" spans="1:5" ht="15.75">
      <c r="A19" s="1962"/>
      <c r="B19" s="2982" t="str">
        <f>结果表!E111</f>
        <v>——</v>
      </c>
      <c r="C19" s="1970" t="s">
        <v>1625</v>
      </c>
      <c r="D19" s="1044" t="str">
        <f>结果表!H111</f>
        <v>——</v>
      </c>
      <c r="E19" s="1962"/>
    </row>
    <row r="20" spans="1:5" ht="15.75">
      <c r="A20" s="1962"/>
      <c r="B20" s="2983"/>
      <c r="C20" s="1965" t="s">
        <v>1638</v>
      </c>
      <c r="D20" s="1043" t="e">
        <f>NUMBERSTRING(INT(D19*10000),2)&amp;"元整"</f>
        <v>#VALUE!</v>
      </c>
      <c r="E20" s="1962"/>
    </row>
    <row r="21" spans="1:5" ht="15.75" thickBot="1">
      <c r="A21" s="1962"/>
      <c r="B21" s="2984"/>
      <c r="C21" s="1972" t="s">
        <v>1636</v>
      </c>
      <c r="D21" s="1056"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43441</v>
      </c>
      <c r="C2" s="2" t="s">
        <v>133</v>
      </c>
      <c r="D2" s="243"/>
      <c r="E2" s="243"/>
      <c r="F2" s="243"/>
      <c r="G2" s="243"/>
    </row>
    <row r="3" spans="1:7" s="244" customFormat="1" ht="18" customHeight="1" thickBot="1">
      <c r="A3" s="247" t="s">
        <v>85</v>
      </c>
      <c r="B3" s="248">
        <f ca="1">ROUND(B2*10000/'数据-汇总表'!E3,0)</f>
        <v>11340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613</v>
      </c>
      <c r="D10" s="1035">
        <f>'数据-汇总表'!E6</f>
        <v>38306.649999999907</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766</v>
      </c>
      <c r="D19" s="1039">
        <f>'数据-汇总表'!E3</f>
        <v>38306.649999999907</v>
      </c>
      <c r="E19" s="255">
        <f>'数据-取费表'!B31</f>
        <v>200</v>
      </c>
      <c r="F19" s="275"/>
      <c r="G19" s="1" t="s">
        <v>1074</v>
      </c>
    </row>
    <row r="20" spans="1:7" s="258" customFormat="1" ht="13.5" customHeight="1">
      <c r="A20" s="951" t="s">
        <v>1057</v>
      </c>
      <c r="B20" s="254" t="s">
        <v>104</v>
      </c>
      <c r="C20" s="276">
        <f>ROUND((C5+C19)*F20,0)</f>
        <v>321</v>
      </c>
      <c r="D20" s="276"/>
      <c r="E20" s="276"/>
      <c r="F20" s="277">
        <f>'数据-取费表'!B37</f>
        <v>1.4999999999999999E-2</v>
      </c>
      <c r="G20" s="1291"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6">
        <f ca="1">ROUND(SUM(C23:C25),0)</f>
        <v>2093</v>
      </c>
      <c r="D22" s="279">
        <f ca="1">C26</f>
        <v>1.4E-3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74</v>
      </c>
      <c r="D24" s="282"/>
      <c r="E24" s="282"/>
      <c r="F24" s="283"/>
      <c r="G24" s="284" t="s">
        <v>109</v>
      </c>
    </row>
    <row r="25" spans="1:7" s="258" customFormat="1" ht="24">
      <c r="A25" s="954" t="s">
        <v>793</v>
      </c>
      <c r="B25" s="259" t="s">
        <v>1058</v>
      </c>
      <c r="C25" s="1357">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2170</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2170</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11975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10726</v>
      </c>
      <c r="D34" s="261"/>
      <c r="E34" s="264"/>
      <c r="F34" s="301">
        <f>IF('数据-取费表'!B24=0,1,'数据-取费表'!N16)</f>
        <v>1</v>
      </c>
      <c r="G34" s="263" t="s">
        <v>116</v>
      </c>
    </row>
    <row r="35" spans="1:7" ht="13.5" customHeight="1">
      <c r="A35" s="954" t="s">
        <v>796</v>
      </c>
      <c r="B35" s="259" t="s">
        <v>60</v>
      </c>
      <c r="C35" s="264">
        <f>ROUND(C34*F35,0)</f>
        <v>322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766</v>
      </c>
      <c r="D37" s="261">
        <f>'数据-汇总表'!E3</f>
        <v>38306.649999999907</v>
      </c>
      <c r="E37" s="293">
        <f>'数据-取费表'!B35</f>
        <v>200</v>
      </c>
      <c r="F37" s="303"/>
      <c r="G37" s="305" t="s">
        <v>119</v>
      </c>
    </row>
    <row r="38" spans="1:7" ht="13.5" customHeight="1">
      <c r="A38" s="954" t="s">
        <v>799</v>
      </c>
      <c r="B38" s="259" t="s">
        <v>63</v>
      </c>
      <c r="C38" s="264">
        <f>ROUND(C34*F38,0)</f>
        <v>161</v>
      </c>
      <c r="D38" s="264"/>
      <c r="E38" s="264"/>
      <c r="F38" s="303">
        <f>'数据-取费表'!B36</f>
        <v>1.4999999999999999E-2</v>
      </c>
      <c r="G38" s="263" t="s">
        <v>117</v>
      </c>
    </row>
    <row r="39" spans="1:7" s="258" customFormat="1" ht="13.5" customHeight="1">
      <c r="A39" s="951" t="s">
        <v>783</v>
      </c>
      <c r="B39" s="254" t="s">
        <v>104</v>
      </c>
      <c r="C39" s="276">
        <f>ROUND(C33*F20,0)</f>
        <v>180</v>
      </c>
      <c r="D39" s="276"/>
      <c r="E39" s="276"/>
      <c r="F39" s="277"/>
      <c r="G39" s="1291"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578</v>
      </c>
      <c r="D41" s="279">
        <f ca="1">C44</f>
        <v>1.4E-3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569</v>
      </c>
      <c r="D42" s="282"/>
      <c r="E42" s="282"/>
      <c r="F42" s="283"/>
      <c r="G42" s="3171" t="s">
        <v>121</v>
      </c>
    </row>
    <row r="43" spans="1:7" ht="13.5" customHeight="1">
      <c r="A43" s="954" t="s">
        <v>792</v>
      </c>
      <c r="B43" s="259" t="s">
        <v>1064</v>
      </c>
      <c r="C43" s="282">
        <f ca="1">ROUND(IF('数据-取费表'!B22&lt;=1,C39*F22*'数据-取费表'!B21/2,C39*(POWER((1+F22),'数据-取费表'!B21/2)-1)),0)</f>
        <v>9</v>
      </c>
      <c r="D43" s="282"/>
      <c r="E43" s="282"/>
      <c r="F43" s="283"/>
      <c r="G43" s="3172"/>
    </row>
    <row r="44" spans="1:7" ht="13.5" customHeight="1">
      <c r="A44" s="954" t="s">
        <v>793</v>
      </c>
      <c r="B44" s="259" t="s">
        <v>1066</v>
      </c>
      <c r="C44" s="282">
        <f ca="1">ROUND(IF('数据-取费表'!B22&lt;=1,C40*F22*'数据-取费表'!B21/2,C40*(POWER((1+F22),'数据-取费表'!B21/2)-1)),4)</f>
        <v>1.4E-3</v>
      </c>
      <c r="D44" s="282"/>
      <c r="E44" s="282"/>
      <c r="F44" s="283"/>
      <c r="G44" s="3173"/>
    </row>
    <row r="45" spans="1:7" s="258" customFormat="1" ht="13.5" customHeight="1">
      <c r="A45" s="951" t="s">
        <v>786</v>
      </c>
      <c r="B45" s="288" t="s">
        <v>112</v>
      </c>
      <c r="C45" s="289">
        <f>C46</f>
        <v>1216</v>
      </c>
      <c r="D45" s="279">
        <f>C47</f>
        <v>3.0000000000000001E-3</v>
      </c>
      <c r="E45" s="280" t="s">
        <v>129</v>
      </c>
      <c r="F45" s="290"/>
      <c r="G45" s="291" t="s">
        <v>1072</v>
      </c>
    </row>
    <row r="46" spans="1:7" s="258" customFormat="1" ht="13.5" customHeight="1">
      <c r="A46" s="954" t="s">
        <v>794</v>
      </c>
      <c r="B46" s="292" t="s">
        <v>1065</v>
      </c>
      <c r="C46" s="293">
        <f>ROUND((C33+C39)*F27,0)</f>
        <v>1216</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15290</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14984</v>
      </c>
      <c r="D51" s="276"/>
      <c r="E51" s="276"/>
      <c r="F51" s="308"/>
      <c r="G51" s="278" t="s">
        <v>64</v>
      </c>
    </row>
    <row r="52" spans="1:7" s="252" customFormat="1" ht="16.5" thickBot="1">
      <c r="A52" s="309" t="s">
        <v>65</v>
      </c>
      <c r="B52" s="310"/>
      <c r="C52" s="311">
        <f ca="1">C31+C51</f>
        <v>43441</v>
      </c>
      <c r="D52" s="310"/>
      <c r="E52" s="310"/>
      <c r="F52" s="310"/>
      <c r="G52" s="312"/>
    </row>
    <row r="55" spans="1:7" ht="15">
      <c r="B55" s="314" t="s">
        <v>66</v>
      </c>
      <c r="C55" s="315"/>
    </row>
    <row r="56" spans="1:7">
      <c r="B56" s="317" t="s">
        <v>67</v>
      </c>
      <c r="C56" s="318">
        <f ca="1">ROUND(C51/C52,3)</f>
        <v>0.34499999999999997</v>
      </c>
    </row>
    <row r="57" spans="1:7">
      <c r="B57" s="317" t="s">
        <v>68</v>
      </c>
      <c r="C57" s="319">
        <f ca="1">1-C56</f>
        <v>0.65500000000000003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2" t="s">
        <v>156</v>
      </c>
      <c r="B1" s="3312"/>
      <c r="C1" s="3312"/>
      <c r="D1" s="3312"/>
      <c r="E1" s="3312"/>
      <c r="F1" s="331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3" t="s">
        <v>169</v>
      </c>
      <c r="B2" s="3313"/>
      <c r="C2" s="3313"/>
      <c r="D2" s="3313"/>
      <c r="E2" s="3313"/>
      <c r="F2" s="331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2" t="s">
        <v>871</v>
      </c>
      <c r="B1" s="331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43033</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617"/>
  <sheetViews>
    <sheetView workbookViewId="0">
      <selection activeCell="J523" sqref="J523"/>
    </sheetView>
  </sheetViews>
  <sheetFormatPr defaultRowHeight="13.5"/>
  <cols>
    <col min="7" max="7" width="9.5" bestFit="1" customWidth="1"/>
  </cols>
  <sheetData>
    <row r="1" spans="1:7">
      <c r="A1" s="2933" t="s">
        <v>3036</v>
      </c>
      <c r="B1" s="2934" t="s">
        <v>3037</v>
      </c>
      <c r="C1" s="2934" t="s">
        <v>3656</v>
      </c>
      <c r="D1" s="2935" t="s">
        <v>3038</v>
      </c>
      <c r="E1" s="2936" t="s">
        <v>3039</v>
      </c>
      <c r="F1" s="2934" t="s">
        <v>3040</v>
      </c>
    </row>
    <row r="2" spans="1:7">
      <c r="A2" s="2940">
        <v>1</v>
      </c>
      <c r="B2" s="2941" t="s">
        <v>3041</v>
      </c>
      <c r="C2" s="2941">
        <v>10</v>
      </c>
      <c r="D2" s="2941" t="s">
        <v>27</v>
      </c>
      <c r="E2" s="2942">
        <v>98.91</v>
      </c>
      <c r="F2" s="2942">
        <v>861768</v>
      </c>
      <c r="G2">
        <f>ROUND(F2/E2,0)</f>
        <v>8713</v>
      </c>
    </row>
    <row r="3" spans="1:7">
      <c r="A3" s="2940">
        <v>2</v>
      </c>
      <c r="B3" s="2941" t="s">
        <v>3042</v>
      </c>
      <c r="C3" s="2941">
        <v>10</v>
      </c>
      <c r="D3" s="2941" t="s">
        <v>27</v>
      </c>
      <c r="E3" s="2942">
        <v>98.91</v>
      </c>
      <c r="F3" s="2942">
        <v>844714</v>
      </c>
      <c r="G3">
        <f t="shared" ref="G3:G66" si="0">ROUND(F3/E3,0)</f>
        <v>8540</v>
      </c>
    </row>
    <row r="4" spans="1:7">
      <c r="A4" s="2940">
        <v>3</v>
      </c>
      <c r="B4" s="2941" t="s">
        <v>3043</v>
      </c>
      <c r="C4" s="2941">
        <v>10</v>
      </c>
      <c r="D4" s="2941" t="s">
        <v>27</v>
      </c>
      <c r="E4" s="2942">
        <v>98.91</v>
      </c>
      <c r="F4" s="2942">
        <v>844714</v>
      </c>
      <c r="G4">
        <f t="shared" si="0"/>
        <v>8540</v>
      </c>
    </row>
    <row r="5" spans="1:7">
      <c r="A5" s="2940">
        <v>4</v>
      </c>
      <c r="B5" s="2941" t="s">
        <v>3044</v>
      </c>
      <c r="C5" s="2941">
        <v>10</v>
      </c>
      <c r="D5" s="2941" t="s">
        <v>27</v>
      </c>
      <c r="E5" s="2942">
        <v>98.91</v>
      </c>
      <c r="F5" s="2942">
        <v>856083</v>
      </c>
      <c r="G5">
        <f t="shared" si="0"/>
        <v>8655</v>
      </c>
    </row>
    <row r="6" spans="1:7">
      <c r="A6" s="2940">
        <v>5</v>
      </c>
      <c r="B6" s="2941" t="s">
        <v>3045</v>
      </c>
      <c r="C6" s="2941">
        <v>10</v>
      </c>
      <c r="D6" s="2941" t="s">
        <v>27</v>
      </c>
      <c r="E6" s="2942">
        <v>125.99</v>
      </c>
      <c r="F6" s="2942">
        <v>1054261</v>
      </c>
      <c r="G6">
        <f t="shared" si="0"/>
        <v>8368</v>
      </c>
    </row>
    <row r="7" spans="1:7">
      <c r="A7" s="2940">
        <v>6</v>
      </c>
      <c r="B7" s="2941" t="s">
        <v>3046</v>
      </c>
      <c r="C7" s="2941">
        <v>10</v>
      </c>
      <c r="D7" s="2941" t="s">
        <v>27</v>
      </c>
      <c r="E7" s="2942">
        <v>135.76</v>
      </c>
      <c r="F7" s="2942">
        <v>1175026</v>
      </c>
      <c r="G7">
        <f t="shared" si="0"/>
        <v>8655</v>
      </c>
    </row>
    <row r="8" spans="1:7">
      <c r="A8" s="2940">
        <v>7</v>
      </c>
      <c r="B8" s="2941" t="s">
        <v>3047</v>
      </c>
      <c r="C8" s="2941">
        <v>10</v>
      </c>
      <c r="D8" s="2941" t="s">
        <v>27</v>
      </c>
      <c r="E8" s="2942">
        <v>125.99</v>
      </c>
      <c r="F8" s="2942">
        <v>1039780</v>
      </c>
      <c r="G8">
        <f t="shared" si="0"/>
        <v>8253</v>
      </c>
    </row>
    <row r="9" spans="1:7">
      <c r="A9" s="2940">
        <v>8</v>
      </c>
      <c r="B9" s="2941" t="s">
        <v>3048</v>
      </c>
      <c r="C9" s="2941">
        <v>10</v>
      </c>
      <c r="D9" s="2941" t="s">
        <v>27</v>
      </c>
      <c r="E9" s="2942">
        <v>98.91</v>
      </c>
      <c r="F9" s="2942">
        <v>844714</v>
      </c>
      <c r="G9">
        <f t="shared" si="0"/>
        <v>8540</v>
      </c>
    </row>
    <row r="10" spans="1:7">
      <c r="A10" s="2940">
        <v>9</v>
      </c>
      <c r="B10" s="2941" t="s">
        <v>3049</v>
      </c>
      <c r="C10" s="2941">
        <v>10</v>
      </c>
      <c r="D10" s="2941" t="s">
        <v>27</v>
      </c>
      <c r="E10" s="2942">
        <v>98.91</v>
      </c>
      <c r="F10" s="2942">
        <v>833345</v>
      </c>
      <c r="G10">
        <f t="shared" si="0"/>
        <v>8425</v>
      </c>
    </row>
    <row r="11" spans="1:7">
      <c r="A11" s="2940">
        <v>10</v>
      </c>
      <c r="B11" s="2941" t="s">
        <v>3050</v>
      </c>
      <c r="C11" s="2941">
        <v>10</v>
      </c>
      <c r="D11" s="2941" t="s">
        <v>27</v>
      </c>
      <c r="E11" s="2942">
        <v>98.91</v>
      </c>
      <c r="F11" s="2942">
        <v>833345</v>
      </c>
      <c r="G11">
        <f t="shared" si="0"/>
        <v>8425</v>
      </c>
    </row>
    <row r="12" spans="1:7">
      <c r="A12" s="2940">
        <v>11</v>
      </c>
      <c r="B12" s="2941" t="s">
        <v>3051</v>
      </c>
      <c r="C12" s="2941">
        <v>10</v>
      </c>
      <c r="D12" s="2941" t="s">
        <v>27</v>
      </c>
      <c r="E12" s="2942">
        <v>98.91</v>
      </c>
      <c r="F12" s="2942">
        <v>850399</v>
      </c>
      <c r="G12">
        <f t="shared" si="0"/>
        <v>8598</v>
      </c>
    </row>
    <row r="13" spans="1:7">
      <c r="A13" s="2940">
        <v>12</v>
      </c>
      <c r="B13" s="2941" t="s">
        <v>3052</v>
      </c>
      <c r="C13" s="2941">
        <v>11</v>
      </c>
      <c r="D13" s="2941" t="s">
        <v>27</v>
      </c>
      <c r="E13" s="2942">
        <v>76.540000000000006</v>
      </c>
      <c r="F13" s="2942">
        <v>659828</v>
      </c>
      <c r="G13">
        <f t="shared" si="0"/>
        <v>8621</v>
      </c>
    </row>
    <row r="14" spans="1:7">
      <c r="A14" s="2940">
        <v>13</v>
      </c>
      <c r="B14" s="2941" t="s">
        <v>3053</v>
      </c>
      <c r="C14" s="2941">
        <v>11</v>
      </c>
      <c r="D14" s="2941" t="s">
        <v>27</v>
      </c>
      <c r="E14" s="2942">
        <v>49.45</v>
      </c>
      <c r="F14" s="2942">
        <v>440503</v>
      </c>
      <c r="G14">
        <f t="shared" si="0"/>
        <v>8908</v>
      </c>
    </row>
    <row r="15" spans="1:7">
      <c r="A15" s="2940">
        <v>14</v>
      </c>
      <c r="B15" s="2941" t="s">
        <v>3054</v>
      </c>
      <c r="C15" s="2941">
        <v>11</v>
      </c>
      <c r="D15" s="2941" t="s">
        <v>27</v>
      </c>
      <c r="E15" s="2942">
        <v>98.91</v>
      </c>
      <c r="F15" s="2942">
        <v>869726</v>
      </c>
      <c r="G15">
        <f t="shared" si="0"/>
        <v>8793</v>
      </c>
    </row>
    <row r="16" spans="1:7">
      <c r="A16" s="2940">
        <v>15</v>
      </c>
      <c r="B16" s="2941" t="s">
        <v>3055</v>
      </c>
      <c r="C16" s="2941">
        <v>11</v>
      </c>
      <c r="D16" s="2941" t="s">
        <v>27</v>
      </c>
      <c r="E16" s="2942">
        <v>98.91</v>
      </c>
      <c r="F16" s="2942">
        <v>852672</v>
      </c>
      <c r="G16">
        <f t="shared" si="0"/>
        <v>8621</v>
      </c>
    </row>
    <row r="17" spans="1:7">
      <c r="A17" s="2940">
        <v>16</v>
      </c>
      <c r="B17" s="2941" t="s">
        <v>3056</v>
      </c>
      <c r="C17" s="2941">
        <v>11</v>
      </c>
      <c r="D17" s="2941" t="s">
        <v>27</v>
      </c>
      <c r="E17" s="2942">
        <v>98.91</v>
      </c>
      <c r="F17" s="2942">
        <v>852672</v>
      </c>
      <c r="G17">
        <f t="shared" si="0"/>
        <v>8621</v>
      </c>
    </row>
    <row r="18" spans="1:7">
      <c r="A18" s="2940">
        <v>17</v>
      </c>
      <c r="B18" s="2941" t="s">
        <v>3057</v>
      </c>
      <c r="C18" s="2941">
        <v>11</v>
      </c>
      <c r="D18" s="2941" t="s">
        <v>27</v>
      </c>
      <c r="E18" s="2942">
        <v>98.91</v>
      </c>
      <c r="F18" s="2942">
        <v>864041</v>
      </c>
      <c r="G18">
        <f t="shared" si="0"/>
        <v>8736</v>
      </c>
    </row>
    <row r="19" spans="1:7">
      <c r="A19" s="2940">
        <v>18</v>
      </c>
      <c r="B19" s="2941" t="s">
        <v>3058</v>
      </c>
      <c r="C19" s="2941">
        <v>11</v>
      </c>
      <c r="D19" s="2941" t="s">
        <v>27</v>
      </c>
      <c r="E19" s="2942">
        <v>125.99</v>
      </c>
      <c r="F19" s="2942">
        <v>1064398</v>
      </c>
      <c r="G19">
        <f t="shared" si="0"/>
        <v>8448</v>
      </c>
    </row>
    <row r="20" spans="1:7">
      <c r="A20" s="2940">
        <v>19</v>
      </c>
      <c r="B20" s="2941" t="s">
        <v>3059</v>
      </c>
      <c r="C20" s="2941">
        <v>11</v>
      </c>
      <c r="D20" s="2941" t="s">
        <v>27</v>
      </c>
      <c r="E20" s="2942">
        <v>135.76</v>
      </c>
      <c r="F20" s="2942">
        <v>1185949</v>
      </c>
      <c r="G20">
        <f t="shared" si="0"/>
        <v>8736</v>
      </c>
    </row>
    <row r="21" spans="1:7">
      <c r="A21" s="2940">
        <v>20</v>
      </c>
      <c r="B21" s="2941" t="s">
        <v>3060</v>
      </c>
      <c r="C21" s="2941">
        <v>11</v>
      </c>
      <c r="D21" s="2941" t="s">
        <v>27</v>
      </c>
      <c r="E21" s="2942">
        <v>125.99</v>
      </c>
      <c r="F21" s="2942">
        <v>1049917</v>
      </c>
      <c r="G21">
        <f t="shared" si="0"/>
        <v>8333</v>
      </c>
    </row>
    <row r="22" spans="1:7">
      <c r="A22" s="2940">
        <v>21</v>
      </c>
      <c r="B22" s="2941" t="s">
        <v>3061</v>
      </c>
      <c r="C22" s="2941">
        <v>11</v>
      </c>
      <c r="D22" s="2941" t="s">
        <v>27</v>
      </c>
      <c r="E22" s="2942">
        <v>98.91</v>
      </c>
      <c r="F22" s="2942">
        <v>852672</v>
      </c>
      <c r="G22">
        <f t="shared" si="0"/>
        <v>8621</v>
      </c>
    </row>
    <row r="23" spans="1:7">
      <c r="A23" s="2940">
        <v>22</v>
      </c>
      <c r="B23" s="2941" t="s">
        <v>3062</v>
      </c>
      <c r="C23" s="2941">
        <v>11</v>
      </c>
      <c r="D23" s="2941" t="s">
        <v>27</v>
      </c>
      <c r="E23" s="2942">
        <v>98.91</v>
      </c>
      <c r="F23" s="2942">
        <v>841303</v>
      </c>
      <c r="G23">
        <f t="shared" si="0"/>
        <v>8506</v>
      </c>
    </row>
    <row r="24" spans="1:7">
      <c r="A24" s="2940">
        <v>23</v>
      </c>
      <c r="B24" s="2941" t="s">
        <v>3063</v>
      </c>
      <c r="C24" s="2941">
        <v>11</v>
      </c>
      <c r="D24" s="2941" t="s">
        <v>27</v>
      </c>
      <c r="E24" s="2942">
        <v>98.91</v>
      </c>
      <c r="F24" s="2942">
        <v>841303</v>
      </c>
      <c r="G24">
        <f t="shared" si="0"/>
        <v>8506</v>
      </c>
    </row>
    <row r="25" spans="1:7">
      <c r="A25" s="2940">
        <v>24</v>
      </c>
      <c r="B25" s="2941" t="s">
        <v>3064</v>
      </c>
      <c r="C25" s="2941">
        <v>11</v>
      </c>
      <c r="D25" s="2941" t="s">
        <v>27</v>
      </c>
      <c r="E25" s="2942">
        <v>98.91</v>
      </c>
      <c r="F25" s="2942">
        <v>858357</v>
      </c>
      <c r="G25">
        <f t="shared" si="0"/>
        <v>8678</v>
      </c>
    </row>
    <row r="26" spans="1:7">
      <c r="A26" s="2940">
        <v>25</v>
      </c>
      <c r="B26" s="2941" t="s">
        <v>3065</v>
      </c>
      <c r="C26" s="2941">
        <v>11</v>
      </c>
      <c r="D26" s="2941" t="s">
        <v>27</v>
      </c>
      <c r="E26" s="2942">
        <v>49.45</v>
      </c>
      <c r="F26" s="2942">
        <v>434819</v>
      </c>
      <c r="G26">
        <f t="shared" si="0"/>
        <v>8793</v>
      </c>
    </row>
    <row r="27" spans="1:7">
      <c r="A27" s="2940">
        <v>26</v>
      </c>
      <c r="B27" s="2941" t="s">
        <v>3066</v>
      </c>
      <c r="C27" s="2941">
        <v>11</v>
      </c>
      <c r="D27" s="2941" t="s">
        <v>27</v>
      </c>
      <c r="E27" s="2942">
        <v>76.540000000000006</v>
      </c>
      <c r="F27" s="2942">
        <v>651030</v>
      </c>
      <c r="G27">
        <f t="shared" si="0"/>
        <v>8506</v>
      </c>
    </row>
    <row r="28" spans="1:7">
      <c r="A28" s="2940">
        <v>27</v>
      </c>
      <c r="B28" s="2941" t="s">
        <v>3067</v>
      </c>
      <c r="C28" s="2941">
        <v>11</v>
      </c>
      <c r="D28" s="2941" t="s">
        <v>27</v>
      </c>
      <c r="E28" s="2942">
        <v>135.76</v>
      </c>
      <c r="F28" s="2942">
        <v>1201554</v>
      </c>
      <c r="G28">
        <f t="shared" si="0"/>
        <v>8851</v>
      </c>
    </row>
    <row r="29" spans="1:7">
      <c r="A29" s="2940">
        <v>28</v>
      </c>
      <c r="B29" s="2941" t="s">
        <v>3068</v>
      </c>
      <c r="C29" s="2941">
        <v>12</v>
      </c>
      <c r="D29" s="2941" t="s">
        <v>27</v>
      </c>
      <c r="E29" s="2942">
        <v>76.540000000000006</v>
      </c>
      <c r="F29" s="2942">
        <v>661587</v>
      </c>
      <c r="G29">
        <f t="shared" si="0"/>
        <v>8644</v>
      </c>
    </row>
    <row r="30" spans="1:7">
      <c r="A30" s="2940">
        <v>29</v>
      </c>
      <c r="B30" s="2941" t="s">
        <v>3069</v>
      </c>
      <c r="C30" s="2941">
        <v>12</v>
      </c>
      <c r="D30" s="2941" t="s">
        <v>27</v>
      </c>
      <c r="E30" s="2942">
        <v>49.45</v>
      </c>
      <c r="F30" s="2942">
        <v>441640</v>
      </c>
      <c r="G30">
        <f t="shared" si="0"/>
        <v>8931</v>
      </c>
    </row>
    <row r="31" spans="1:7">
      <c r="A31" s="2940">
        <v>30</v>
      </c>
      <c r="B31" s="2941" t="s">
        <v>3070</v>
      </c>
      <c r="C31" s="2941">
        <v>12</v>
      </c>
      <c r="D31" s="2941" t="s">
        <v>27</v>
      </c>
      <c r="E31" s="2942">
        <v>98.91</v>
      </c>
      <c r="F31" s="2942">
        <v>872000</v>
      </c>
      <c r="G31">
        <f t="shared" si="0"/>
        <v>8816</v>
      </c>
    </row>
    <row r="32" spans="1:7">
      <c r="A32" s="2940">
        <v>31</v>
      </c>
      <c r="B32" s="2941" t="s">
        <v>3071</v>
      </c>
      <c r="C32" s="2941">
        <v>12</v>
      </c>
      <c r="D32" s="2941" t="s">
        <v>27</v>
      </c>
      <c r="E32" s="2942">
        <v>98.91</v>
      </c>
      <c r="F32" s="2942">
        <v>854946</v>
      </c>
      <c r="G32">
        <f t="shared" si="0"/>
        <v>8644</v>
      </c>
    </row>
    <row r="33" spans="1:7">
      <c r="A33" s="2940">
        <v>32</v>
      </c>
      <c r="B33" s="2941" t="s">
        <v>3072</v>
      </c>
      <c r="C33" s="2941">
        <v>12</v>
      </c>
      <c r="D33" s="2941" t="s">
        <v>27</v>
      </c>
      <c r="E33" s="2942">
        <v>98.91</v>
      </c>
      <c r="F33" s="2942">
        <v>854946</v>
      </c>
      <c r="G33">
        <f t="shared" si="0"/>
        <v>8644</v>
      </c>
    </row>
    <row r="34" spans="1:7">
      <c r="A34" s="2940">
        <v>33</v>
      </c>
      <c r="B34" s="2941" t="s">
        <v>3073</v>
      </c>
      <c r="C34" s="2941">
        <v>12</v>
      </c>
      <c r="D34" s="2941" t="s">
        <v>27</v>
      </c>
      <c r="E34" s="2942">
        <v>98.91</v>
      </c>
      <c r="F34" s="2942">
        <v>866315</v>
      </c>
      <c r="G34">
        <f t="shared" si="0"/>
        <v>8759</v>
      </c>
    </row>
    <row r="35" spans="1:7">
      <c r="A35" s="2940">
        <v>34</v>
      </c>
      <c r="B35" s="2941" t="s">
        <v>3074</v>
      </c>
      <c r="C35" s="2941">
        <v>12</v>
      </c>
      <c r="D35" s="2941" t="s">
        <v>27</v>
      </c>
      <c r="E35" s="2942">
        <v>125.99</v>
      </c>
      <c r="F35" s="2942">
        <v>1067295</v>
      </c>
      <c r="G35">
        <f t="shared" si="0"/>
        <v>8471</v>
      </c>
    </row>
    <row r="36" spans="1:7">
      <c r="A36" s="2940">
        <v>35</v>
      </c>
      <c r="B36" s="2941" t="s">
        <v>3075</v>
      </c>
      <c r="C36" s="2941">
        <v>12</v>
      </c>
      <c r="D36" s="2941" t="s">
        <v>27</v>
      </c>
      <c r="E36" s="2942">
        <v>135.76</v>
      </c>
      <c r="F36" s="2942">
        <v>1189070</v>
      </c>
      <c r="G36">
        <f t="shared" si="0"/>
        <v>8759</v>
      </c>
    </row>
    <row r="37" spans="1:7">
      <c r="A37" s="2940">
        <v>36</v>
      </c>
      <c r="B37" s="2941" t="s">
        <v>3076</v>
      </c>
      <c r="C37" s="2941">
        <v>12</v>
      </c>
      <c r="D37" s="2941" t="s">
        <v>27</v>
      </c>
      <c r="E37" s="2942">
        <v>125.99</v>
      </c>
      <c r="F37" s="2942">
        <v>1052813</v>
      </c>
      <c r="G37">
        <f t="shared" si="0"/>
        <v>8356</v>
      </c>
    </row>
    <row r="38" spans="1:7">
      <c r="A38" s="2940">
        <v>37</v>
      </c>
      <c r="B38" s="2941" t="s">
        <v>3077</v>
      </c>
      <c r="C38" s="2941">
        <v>12</v>
      </c>
      <c r="D38" s="2941" t="s">
        <v>27</v>
      </c>
      <c r="E38" s="2942">
        <v>98.91</v>
      </c>
      <c r="F38" s="2942">
        <v>854946</v>
      </c>
      <c r="G38">
        <f t="shared" si="0"/>
        <v>8644</v>
      </c>
    </row>
    <row r="39" spans="1:7">
      <c r="A39" s="2940">
        <v>38</v>
      </c>
      <c r="B39" s="2941" t="s">
        <v>3078</v>
      </c>
      <c r="C39" s="2941">
        <v>12</v>
      </c>
      <c r="D39" s="2941" t="s">
        <v>27</v>
      </c>
      <c r="E39" s="2942">
        <v>98.91</v>
      </c>
      <c r="F39" s="2942">
        <v>843577</v>
      </c>
      <c r="G39">
        <f t="shared" si="0"/>
        <v>8529</v>
      </c>
    </row>
    <row r="40" spans="1:7">
      <c r="A40" s="2940">
        <v>39</v>
      </c>
      <c r="B40" s="2941" t="s">
        <v>3079</v>
      </c>
      <c r="C40" s="2941">
        <v>12</v>
      </c>
      <c r="D40" s="2941" t="s">
        <v>27</v>
      </c>
      <c r="E40" s="2942">
        <v>98.91</v>
      </c>
      <c r="F40" s="2942">
        <v>843577</v>
      </c>
      <c r="G40">
        <f t="shared" si="0"/>
        <v>8529</v>
      </c>
    </row>
    <row r="41" spans="1:7">
      <c r="A41" s="2940">
        <v>40</v>
      </c>
      <c r="B41" s="2941" t="s">
        <v>3080</v>
      </c>
      <c r="C41" s="2941">
        <v>12</v>
      </c>
      <c r="D41" s="2941" t="s">
        <v>27</v>
      </c>
      <c r="E41" s="2942">
        <v>98.91</v>
      </c>
      <c r="F41" s="2942">
        <v>860631</v>
      </c>
      <c r="G41">
        <f t="shared" si="0"/>
        <v>8701</v>
      </c>
    </row>
    <row r="42" spans="1:7">
      <c r="A42" s="2940">
        <v>41</v>
      </c>
      <c r="B42" s="2941" t="s">
        <v>3081</v>
      </c>
      <c r="C42" s="2941">
        <v>12</v>
      </c>
      <c r="D42" s="2941" t="s">
        <v>27</v>
      </c>
      <c r="E42" s="2942">
        <v>49.45</v>
      </c>
      <c r="F42" s="2942">
        <v>435956</v>
      </c>
      <c r="G42">
        <f t="shared" si="0"/>
        <v>8816</v>
      </c>
    </row>
    <row r="43" spans="1:7">
      <c r="A43" s="2940">
        <v>42</v>
      </c>
      <c r="B43" s="2941" t="s">
        <v>3082</v>
      </c>
      <c r="C43" s="2941">
        <v>12</v>
      </c>
      <c r="D43" s="2941" t="s">
        <v>27</v>
      </c>
      <c r="E43" s="2942">
        <v>76.540000000000006</v>
      </c>
      <c r="F43" s="2942">
        <v>652789</v>
      </c>
      <c r="G43">
        <f t="shared" si="0"/>
        <v>8529</v>
      </c>
    </row>
    <row r="44" spans="1:7">
      <c r="A44" s="2940">
        <v>43</v>
      </c>
      <c r="B44" s="2941" t="s">
        <v>3083</v>
      </c>
      <c r="C44" s="2941">
        <v>12</v>
      </c>
      <c r="D44" s="2941" t="s">
        <v>27</v>
      </c>
      <c r="E44" s="2942">
        <v>135.76</v>
      </c>
      <c r="F44" s="2942">
        <v>1204675</v>
      </c>
      <c r="G44">
        <f t="shared" si="0"/>
        <v>8874</v>
      </c>
    </row>
    <row r="45" spans="1:7">
      <c r="A45" s="2940">
        <v>44</v>
      </c>
      <c r="B45" s="2941" t="s">
        <v>3084</v>
      </c>
      <c r="C45" s="2941">
        <v>13</v>
      </c>
      <c r="D45" s="2941" t="s">
        <v>27</v>
      </c>
      <c r="E45" s="2942">
        <v>80.73</v>
      </c>
      <c r="F45" s="2942"/>
      <c r="G45">
        <f t="shared" si="0"/>
        <v>0</v>
      </c>
    </row>
    <row r="46" spans="1:7">
      <c r="A46" s="2940">
        <v>45</v>
      </c>
      <c r="B46" s="2941" t="s">
        <v>3085</v>
      </c>
      <c r="C46" s="2941">
        <v>13</v>
      </c>
      <c r="D46" s="2941" t="s">
        <v>27</v>
      </c>
      <c r="E46" s="2942">
        <v>52.17</v>
      </c>
      <c r="F46" s="2942"/>
      <c r="G46">
        <f t="shared" si="0"/>
        <v>0</v>
      </c>
    </row>
    <row r="47" spans="1:7">
      <c r="A47" s="2940">
        <v>46</v>
      </c>
      <c r="B47" s="2941" t="s">
        <v>3086</v>
      </c>
      <c r="C47" s="2941">
        <v>13</v>
      </c>
      <c r="D47" s="2941" t="s">
        <v>27</v>
      </c>
      <c r="E47" s="2942">
        <v>52.17</v>
      </c>
      <c r="F47" s="2942"/>
      <c r="G47">
        <f t="shared" si="0"/>
        <v>0</v>
      </c>
    </row>
    <row r="48" spans="1:7">
      <c r="A48" s="2940">
        <v>47</v>
      </c>
      <c r="B48" s="2941" t="s">
        <v>3087</v>
      </c>
      <c r="C48" s="2941">
        <v>13</v>
      </c>
      <c r="D48" s="2941" t="s">
        <v>27</v>
      </c>
      <c r="E48" s="2942">
        <v>52.17</v>
      </c>
      <c r="F48" s="2942"/>
      <c r="G48">
        <f t="shared" si="0"/>
        <v>0</v>
      </c>
    </row>
    <row r="49" spans="1:7">
      <c r="A49" s="2940">
        <v>48</v>
      </c>
      <c r="B49" s="2941" t="s">
        <v>3088</v>
      </c>
      <c r="C49" s="2941">
        <v>13</v>
      </c>
      <c r="D49" s="2941" t="s">
        <v>27</v>
      </c>
      <c r="E49" s="2942">
        <v>52.17</v>
      </c>
      <c r="F49" s="2942"/>
      <c r="G49">
        <f t="shared" si="0"/>
        <v>0</v>
      </c>
    </row>
    <row r="50" spans="1:7">
      <c r="A50" s="2940">
        <v>49</v>
      </c>
      <c r="B50" s="2941" t="s">
        <v>3089</v>
      </c>
      <c r="C50" s="2941">
        <v>13</v>
      </c>
      <c r="D50" s="2941" t="s">
        <v>27</v>
      </c>
      <c r="E50" s="2942">
        <v>52.17</v>
      </c>
      <c r="F50" s="2942"/>
      <c r="G50">
        <f t="shared" si="0"/>
        <v>0</v>
      </c>
    </row>
    <row r="51" spans="1:7">
      <c r="A51" s="2940">
        <v>50</v>
      </c>
      <c r="B51" s="2941" t="s">
        <v>3090</v>
      </c>
      <c r="C51" s="2941">
        <v>13</v>
      </c>
      <c r="D51" s="2941" t="s">
        <v>27</v>
      </c>
      <c r="E51" s="2942">
        <v>52.17</v>
      </c>
      <c r="F51" s="2942"/>
      <c r="G51">
        <f t="shared" si="0"/>
        <v>0</v>
      </c>
    </row>
    <row r="52" spans="1:7">
      <c r="A52" s="2940">
        <v>51</v>
      </c>
      <c r="B52" s="2941" t="s">
        <v>3091</v>
      </c>
      <c r="C52" s="2941">
        <v>13</v>
      </c>
      <c r="D52" s="2941" t="s">
        <v>27</v>
      </c>
      <c r="E52" s="2942">
        <v>52.17</v>
      </c>
      <c r="F52" s="2942"/>
      <c r="G52">
        <f t="shared" si="0"/>
        <v>0</v>
      </c>
    </row>
    <row r="53" spans="1:7">
      <c r="A53" s="2940">
        <v>52</v>
      </c>
      <c r="B53" s="2941" t="s">
        <v>3092</v>
      </c>
      <c r="C53" s="2941">
        <v>13</v>
      </c>
      <c r="D53" s="2941" t="s">
        <v>27</v>
      </c>
      <c r="E53" s="2942">
        <v>52.17</v>
      </c>
      <c r="F53" s="2942"/>
      <c r="G53">
        <f t="shared" si="0"/>
        <v>0</v>
      </c>
    </row>
    <row r="54" spans="1:7">
      <c r="A54" s="2940">
        <v>53</v>
      </c>
      <c r="B54" s="2941" t="s">
        <v>3093</v>
      </c>
      <c r="C54" s="2941">
        <v>13</v>
      </c>
      <c r="D54" s="2941" t="s">
        <v>27</v>
      </c>
      <c r="E54" s="2942">
        <v>52.17</v>
      </c>
      <c r="F54" s="2942"/>
      <c r="G54">
        <f t="shared" si="0"/>
        <v>0</v>
      </c>
    </row>
    <row r="55" spans="1:7">
      <c r="A55" s="2940">
        <v>54</v>
      </c>
      <c r="B55" s="2941" t="s">
        <v>3094</v>
      </c>
      <c r="C55" s="2941">
        <v>13</v>
      </c>
      <c r="D55" s="2941" t="s">
        <v>27</v>
      </c>
      <c r="E55" s="2942">
        <v>52.17</v>
      </c>
      <c r="F55" s="2942"/>
      <c r="G55">
        <f t="shared" si="0"/>
        <v>0</v>
      </c>
    </row>
    <row r="56" spans="1:7">
      <c r="A56" s="2940">
        <v>55</v>
      </c>
      <c r="B56" s="2941" t="s">
        <v>3095</v>
      </c>
      <c r="C56" s="2941">
        <v>13</v>
      </c>
      <c r="D56" s="2941" t="s">
        <v>27</v>
      </c>
      <c r="E56" s="2942">
        <v>80.73</v>
      </c>
      <c r="F56" s="2942"/>
      <c r="G56">
        <f t="shared" si="0"/>
        <v>0</v>
      </c>
    </row>
    <row r="57" spans="1:7">
      <c r="A57" s="2940">
        <v>56</v>
      </c>
      <c r="B57" s="2941" t="s">
        <v>3096</v>
      </c>
      <c r="C57" s="2941">
        <v>13</v>
      </c>
      <c r="D57" s="2941" t="s">
        <v>27</v>
      </c>
      <c r="E57" s="2942">
        <v>66.040000000000006</v>
      </c>
      <c r="F57" s="2942"/>
      <c r="G57">
        <f t="shared" si="0"/>
        <v>0</v>
      </c>
    </row>
    <row r="58" spans="1:7">
      <c r="A58" s="2940">
        <v>57</v>
      </c>
      <c r="B58" s="2941" t="s">
        <v>3097</v>
      </c>
      <c r="C58" s="2941">
        <v>13</v>
      </c>
      <c r="D58" s="2941" t="s">
        <v>27</v>
      </c>
      <c r="E58" s="2942">
        <v>66.040000000000006</v>
      </c>
      <c r="F58" s="2942"/>
      <c r="G58">
        <f t="shared" si="0"/>
        <v>0</v>
      </c>
    </row>
    <row r="59" spans="1:7">
      <c r="A59" s="2940">
        <v>58</v>
      </c>
      <c r="B59" s="2941" t="s">
        <v>3098</v>
      </c>
      <c r="C59" s="2941">
        <v>13</v>
      </c>
      <c r="D59" s="2941" t="s">
        <v>27</v>
      </c>
      <c r="E59" s="2942">
        <v>80.73</v>
      </c>
      <c r="F59" s="2942"/>
      <c r="G59">
        <f t="shared" si="0"/>
        <v>0</v>
      </c>
    </row>
    <row r="60" spans="1:7">
      <c r="A60" s="2940">
        <v>59</v>
      </c>
      <c r="B60" s="2941" t="s">
        <v>3099</v>
      </c>
      <c r="C60" s="2941">
        <v>13</v>
      </c>
      <c r="D60" s="2941" t="s">
        <v>27</v>
      </c>
      <c r="E60" s="2942">
        <v>52.17</v>
      </c>
      <c r="F60" s="2942"/>
      <c r="G60">
        <f t="shared" si="0"/>
        <v>0</v>
      </c>
    </row>
    <row r="61" spans="1:7">
      <c r="A61" s="2940">
        <v>60</v>
      </c>
      <c r="B61" s="2941" t="s">
        <v>3100</v>
      </c>
      <c r="C61" s="2941">
        <v>13</v>
      </c>
      <c r="D61" s="2941" t="s">
        <v>27</v>
      </c>
      <c r="E61" s="2942">
        <v>52.17</v>
      </c>
      <c r="F61" s="2942"/>
      <c r="G61">
        <f t="shared" si="0"/>
        <v>0</v>
      </c>
    </row>
    <row r="62" spans="1:7">
      <c r="A62" s="2940">
        <v>61</v>
      </c>
      <c r="B62" s="2941" t="s">
        <v>3101</v>
      </c>
      <c r="C62" s="2941">
        <v>13</v>
      </c>
      <c r="D62" s="2941" t="s">
        <v>27</v>
      </c>
      <c r="E62" s="2942">
        <v>52.17</v>
      </c>
      <c r="F62" s="2942"/>
      <c r="G62">
        <f t="shared" si="0"/>
        <v>0</v>
      </c>
    </row>
    <row r="63" spans="1:7">
      <c r="A63" s="2940">
        <v>62</v>
      </c>
      <c r="B63" s="2941" t="s">
        <v>3102</v>
      </c>
      <c r="C63" s="2941">
        <v>13</v>
      </c>
      <c r="D63" s="2941" t="s">
        <v>27</v>
      </c>
      <c r="E63" s="2942">
        <v>52.17</v>
      </c>
      <c r="F63" s="2942"/>
      <c r="G63">
        <f t="shared" si="0"/>
        <v>0</v>
      </c>
    </row>
    <row r="64" spans="1:7">
      <c r="A64" s="2940">
        <v>63</v>
      </c>
      <c r="B64" s="2941" t="s">
        <v>3103</v>
      </c>
      <c r="C64" s="2941">
        <v>13</v>
      </c>
      <c r="D64" s="2941" t="s">
        <v>27</v>
      </c>
      <c r="E64" s="2942">
        <v>52.17</v>
      </c>
      <c r="F64" s="2942"/>
      <c r="G64">
        <f t="shared" si="0"/>
        <v>0</v>
      </c>
    </row>
    <row r="65" spans="1:7">
      <c r="A65" s="2940">
        <v>64</v>
      </c>
      <c r="B65" s="2941" t="s">
        <v>3104</v>
      </c>
      <c r="C65" s="2941">
        <v>13</v>
      </c>
      <c r="D65" s="2941" t="s">
        <v>27</v>
      </c>
      <c r="E65" s="2942">
        <v>52.17</v>
      </c>
      <c r="F65" s="2942"/>
      <c r="G65">
        <f t="shared" si="0"/>
        <v>0</v>
      </c>
    </row>
    <row r="66" spans="1:7">
      <c r="A66" s="2940">
        <v>65</v>
      </c>
      <c r="B66" s="2941" t="s">
        <v>3105</v>
      </c>
      <c r="C66" s="2941">
        <v>13</v>
      </c>
      <c r="D66" s="2941" t="s">
        <v>27</v>
      </c>
      <c r="E66" s="2942">
        <v>52.17</v>
      </c>
      <c r="F66" s="2942"/>
      <c r="G66">
        <f t="shared" si="0"/>
        <v>0</v>
      </c>
    </row>
    <row r="67" spans="1:7">
      <c r="A67" s="2940">
        <v>66</v>
      </c>
      <c r="B67" s="2941" t="s">
        <v>3106</v>
      </c>
      <c r="C67" s="2941">
        <v>13</v>
      </c>
      <c r="D67" s="2941" t="s">
        <v>27</v>
      </c>
      <c r="E67" s="2942">
        <v>52.17</v>
      </c>
      <c r="F67" s="2942"/>
      <c r="G67">
        <f t="shared" ref="G67:G130" si="1">ROUND(F67/E67,0)</f>
        <v>0</v>
      </c>
    </row>
    <row r="68" spans="1:7">
      <c r="A68" s="2940">
        <v>67</v>
      </c>
      <c r="B68" s="2941" t="s">
        <v>3107</v>
      </c>
      <c r="C68" s="2941">
        <v>13</v>
      </c>
      <c r="D68" s="2941" t="s">
        <v>27</v>
      </c>
      <c r="E68" s="2942">
        <v>52.17</v>
      </c>
      <c r="F68" s="2942"/>
      <c r="G68">
        <f t="shared" si="1"/>
        <v>0</v>
      </c>
    </row>
    <row r="69" spans="1:7">
      <c r="A69" s="2940">
        <v>68</v>
      </c>
      <c r="B69" s="2941" t="s">
        <v>3108</v>
      </c>
      <c r="C69" s="2941">
        <v>13</v>
      </c>
      <c r="D69" s="2941" t="s">
        <v>27</v>
      </c>
      <c r="E69" s="2942">
        <v>52.17</v>
      </c>
      <c r="F69" s="2942"/>
      <c r="G69">
        <f t="shared" si="1"/>
        <v>0</v>
      </c>
    </row>
    <row r="70" spans="1:7">
      <c r="A70" s="2940">
        <v>69</v>
      </c>
      <c r="B70" s="2941" t="s">
        <v>3109</v>
      </c>
      <c r="C70" s="2941">
        <v>13</v>
      </c>
      <c r="D70" s="2941" t="s">
        <v>27</v>
      </c>
      <c r="E70" s="2942">
        <v>80.73</v>
      </c>
      <c r="F70" s="2942"/>
      <c r="G70">
        <f t="shared" si="1"/>
        <v>0</v>
      </c>
    </row>
    <row r="71" spans="1:7">
      <c r="A71" s="2940">
        <v>70</v>
      </c>
      <c r="B71" s="2941" t="s">
        <v>3110</v>
      </c>
      <c r="C71" s="2941">
        <v>13</v>
      </c>
      <c r="D71" s="2941" t="s">
        <v>27</v>
      </c>
      <c r="E71" s="2942">
        <v>66.040000000000006</v>
      </c>
      <c r="F71" s="2942"/>
      <c r="G71">
        <f t="shared" si="1"/>
        <v>0</v>
      </c>
    </row>
    <row r="72" spans="1:7">
      <c r="A72" s="2940">
        <v>71</v>
      </c>
      <c r="B72" s="2941" t="s">
        <v>3111</v>
      </c>
      <c r="C72" s="2941">
        <v>13</v>
      </c>
      <c r="D72" s="2941" t="s">
        <v>27</v>
      </c>
      <c r="E72" s="2942">
        <v>66.040000000000006</v>
      </c>
      <c r="F72" s="2942"/>
      <c r="G72">
        <f t="shared" si="1"/>
        <v>0</v>
      </c>
    </row>
    <row r="73" spans="1:7">
      <c r="A73" s="2940">
        <v>72</v>
      </c>
      <c r="B73" s="2941" t="s">
        <v>3112</v>
      </c>
      <c r="C73" s="2941">
        <v>14</v>
      </c>
      <c r="D73" s="2941" t="s">
        <v>27</v>
      </c>
      <c r="E73" s="2942">
        <v>80.73</v>
      </c>
      <c r="F73" s="2942"/>
      <c r="G73">
        <f t="shared" si="1"/>
        <v>0</v>
      </c>
    </row>
    <row r="74" spans="1:7">
      <c r="A74" s="2940">
        <v>73</v>
      </c>
      <c r="B74" s="2941" t="s">
        <v>3113</v>
      </c>
      <c r="C74" s="2941">
        <v>14</v>
      </c>
      <c r="D74" s="2941" t="s">
        <v>27</v>
      </c>
      <c r="E74" s="2942">
        <v>52.17</v>
      </c>
      <c r="F74" s="2942"/>
      <c r="G74">
        <f t="shared" si="1"/>
        <v>0</v>
      </c>
    </row>
    <row r="75" spans="1:7">
      <c r="A75" s="2940">
        <v>74</v>
      </c>
      <c r="B75" s="2941" t="s">
        <v>3114</v>
      </c>
      <c r="C75" s="2941">
        <v>14</v>
      </c>
      <c r="D75" s="2941" t="s">
        <v>27</v>
      </c>
      <c r="E75" s="2942">
        <v>52.17</v>
      </c>
      <c r="F75" s="2942"/>
      <c r="G75">
        <f t="shared" si="1"/>
        <v>0</v>
      </c>
    </row>
    <row r="76" spans="1:7">
      <c r="A76" s="2940">
        <v>75</v>
      </c>
      <c r="B76" s="2941" t="s">
        <v>3115</v>
      </c>
      <c r="C76" s="2941">
        <v>14</v>
      </c>
      <c r="D76" s="2941" t="s">
        <v>27</v>
      </c>
      <c r="E76" s="2942">
        <v>52.17</v>
      </c>
      <c r="F76" s="2942"/>
      <c r="G76">
        <f t="shared" si="1"/>
        <v>0</v>
      </c>
    </row>
    <row r="77" spans="1:7">
      <c r="A77" s="2940">
        <v>76</v>
      </c>
      <c r="B77" s="2941" t="s">
        <v>3116</v>
      </c>
      <c r="C77" s="2941">
        <v>14</v>
      </c>
      <c r="D77" s="2941" t="s">
        <v>27</v>
      </c>
      <c r="E77" s="2942">
        <v>52.17</v>
      </c>
      <c r="F77" s="2942"/>
      <c r="G77">
        <f t="shared" si="1"/>
        <v>0</v>
      </c>
    </row>
    <row r="78" spans="1:7">
      <c r="A78" s="2940">
        <v>77</v>
      </c>
      <c r="B78" s="2941" t="s">
        <v>3117</v>
      </c>
      <c r="C78" s="2941">
        <v>14</v>
      </c>
      <c r="D78" s="2941" t="s">
        <v>27</v>
      </c>
      <c r="E78" s="2942">
        <v>52.17</v>
      </c>
      <c r="F78" s="2942"/>
      <c r="G78">
        <f t="shared" si="1"/>
        <v>0</v>
      </c>
    </row>
    <row r="79" spans="1:7">
      <c r="A79" s="2940">
        <v>78</v>
      </c>
      <c r="B79" s="2941" t="s">
        <v>3118</v>
      </c>
      <c r="C79" s="2941">
        <v>14</v>
      </c>
      <c r="D79" s="2941" t="s">
        <v>27</v>
      </c>
      <c r="E79" s="2942">
        <v>52.17</v>
      </c>
      <c r="F79" s="2942"/>
      <c r="G79">
        <f t="shared" si="1"/>
        <v>0</v>
      </c>
    </row>
    <row r="80" spans="1:7">
      <c r="A80" s="2940">
        <v>79</v>
      </c>
      <c r="B80" s="2941" t="s">
        <v>3119</v>
      </c>
      <c r="C80" s="2941">
        <v>14</v>
      </c>
      <c r="D80" s="2941" t="s">
        <v>27</v>
      </c>
      <c r="E80" s="2942">
        <v>52.17</v>
      </c>
      <c r="F80" s="2942"/>
      <c r="G80">
        <f t="shared" si="1"/>
        <v>0</v>
      </c>
    </row>
    <row r="81" spans="1:7">
      <c r="A81" s="2940">
        <v>80</v>
      </c>
      <c r="B81" s="2941" t="s">
        <v>3120</v>
      </c>
      <c r="C81" s="2941">
        <v>14</v>
      </c>
      <c r="D81" s="2941" t="s">
        <v>27</v>
      </c>
      <c r="E81" s="2942">
        <v>52.17</v>
      </c>
      <c r="F81" s="2942"/>
      <c r="G81">
        <f t="shared" si="1"/>
        <v>0</v>
      </c>
    </row>
    <row r="82" spans="1:7">
      <c r="A82" s="2940">
        <v>81</v>
      </c>
      <c r="B82" s="2941" t="s">
        <v>3121</v>
      </c>
      <c r="C82" s="2941">
        <v>14</v>
      </c>
      <c r="D82" s="2941" t="s">
        <v>27</v>
      </c>
      <c r="E82" s="2942">
        <v>52.17</v>
      </c>
      <c r="F82" s="2942"/>
      <c r="G82">
        <f t="shared" si="1"/>
        <v>0</v>
      </c>
    </row>
    <row r="83" spans="1:7">
      <c r="A83" s="2940">
        <v>82</v>
      </c>
      <c r="B83" s="2941" t="s">
        <v>3122</v>
      </c>
      <c r="C83" s="2941">
        <v>14</v>
      </c>
      <c r="D83" s="2941" t="s">
        <v>27</v>
      </c>
      <c r="E83" s="2942">
        <v>52.17</v>
      </c>
      <c r="F83" s="2942"/>
      <c r="G83">
        <f t="shared" si="1"/>
        <v>0</v>
      </c>
    </row>
    <row r="84" spans="1:7">
      <c r="A84" s="2940">
        <v>83</v>
      </c>
      <c r="B84" s="2941" t="s">
        <v>3123</v>
      </c>
      <c r="C84" s="2941">
        <v>14</v>
      </c>
      <c r="D84" s="2941" t="s">
        <v>27</v>
      </c>
      <c r="E84" s="2942">
        <v>80.73</v>
      </c>
      <c r="F84" s="2942"/>
      <c r="G84">
        <f t="shared" si="1"/>
        <v>0</v>
      </c>
    </row>
    <row r="85" spans="1:7">
      <c r="A85" s="2940">
        <v>84</v>
      </c>
      <c r="B85" s="2941" t="s">
        <v>3124</v>
      </c>
      <c r="C85" s="2941">
        <v>14</v>
      </c>
      <c r="D85" s="2941" t="s">
        <v>27</v>
      </c>
      <c r="E85" s="2942">
        <v>66.040000000000006</v>
      </c>
      <c r="F85" s="2942"/>
      <c r="G85">
        <f t="shared" si="1"/>
        <v>0</v>
      </c>
    </row>
    <row r="86" spans="1:7">
      <c r="A86" s="2940">
        <v>85</v>
      </c>
      <c r="B86" s="2941" t="s">
        <v>3125</v>
      </c>
      <c r="C86" s="2941">
        <v>14</v>
      </c>
      <c r="D86" s="2941" t="s">
        <v>27</v>
      </c>
      <c r="E86" s="2942">
        <v>66.040000000000006</v>
      </c>
      <c r="F86" s="2942"/>
      <c r="G86">
        <f t="shared" si="1"/>
        <v>0</v>
      </c>
    </row>
    <row r="87" spans="1:7">
      <c r="A87" s="2940">
        <v>86</v>
      </c>
      <c r="B87" s="2941" t="s">
        <v>3126</v>
      </c>
      <c r="C87" s="2941">
        <v>14</v>
      </c>
      <c r="D87" s="2941" t="s">
        <v>27</v>
      </c>
      <c r="E87" s="2942">
        <v>80.73</v>
      </c>
      <c r="F87" s="2942"/>
      <c r="G87">
        <f t="shared" si="1"/>
        <v>0</v>
      </c>
    </row>
    <row r="88" spans="1:7">
      <c r="A88" s="2940">
        <v>87</v>
      </c>
      <c r="B88" s="2941" t="s">
        <v>3127</v>
      </c>
      <c r="C88" s="2941">
        <v>14</v>
      </c>
      <c r="D88" s="2941" t="s">
        <v>27</v>
      </c>
      <c r="E88" s="2942">
        <v>52.17</v>
      </c>
      <c r="F88" s="2942"/>
      <c r="G88">
        <f t="shared" si="1"/>
        <v>0</v>
      </c>
    </row>
    <row r="89" spans="1:7">
      <c r="A89" s="2940">
        <v>88</v>
      </c>
      <c r="B89" s="2941" t="s">
        <v>3128</v>
      </c>
      <c r="C89" s="2941">
        <v>14</v>
      </c>
      <c r="D89" s="2941" t="s">
        <v>27</v>
      </c>
      <c r="E89" s="2942">
        <v>52.17</v>
      </c>
      <c r="F89" s="2942"/>
      <c r="G89">
        <f t="shared" si="1"/>
        <v>0</v>
      </c>
    </row>
    <row r="90" spans="1:7">
      <c r="A90" s="2940">
        <v>89</v>
      </c>
      <c r="B90" s="2941" t="s">
        <v>3129</v>
      </c>
      <c r="C90" s="2941">
        <v>14</v>
      </c>
      <c r="D90" s="2941" t="s">
        <v>27</v>
      </c>
      <c r="E90" s="2942">
        <v>52.17</v>
      </c>
      <c r="F90" s="2942"/>
      <c r="G90">
        <f t="shared" si="1"/>
        <v>0</v>
      </c>
    </row>
    <row r="91" spans="1:7">
      <c r="A91" s="2940">
        <v>90</v>
      </c>
      <c r="B91" s="2941" t="s">
        <v>3130</v>
      </c>
      <c r="C91" s="2941">
        <v>14</v>
      </c>
      <c r="D91" s="2941" t="s">
        <v>27</v>
      </c>
      <c r="E91" s="2942">
        <v>52.17</v>
      </c>
      <c r="F91" s="2942"/>
      <c r="G91">
        <f t="shared" si="1"/>
        <v>0</v>
      </c>
    </row>
    <row r="92" spans="1:7">
      <c r="A92" s="2940">
        <v>91</v>
      </c>
      <c r="B92" s="2941" t="s">
        <v>3131</v>
      </c>
      <c r="C92" s="2941">
        <v>14</v>
      </c>
      <c r="D92" s="2941" t="s">
        <v>27</v>
      </c>
      <c r="E92" s="2942">
        <v>52.17</v>
      </c>
      <c r="F92" s="2942"/>
      <c r="G92">
        <f t="shared" si="1"/>
        <v>0</v>
      </c>
    </row>
    <row r="93" spans="1:7">
      <c r="A93" s="2940">
        <v>92</v>
      </c>
      <c r="B93" s="2941" t="s">
        <v>3132</v>
      </c>
      <c r="C93" s="2941">
        <v>14</v>
      </c>
      <c r="D93" s="2941" t="s">
        <v>27</v>
      </c>
      <c r="E93" s="2942">
        <v>52.17</v>
      </c>
      <c r="F93" s="2942"/>
      <c r="G93">
        <f t="shared" si="1"/>
        <v>0</v>
      </c>
    </row>
    <row r="94" spans="1:7">
      <c r="A94" s="2940">
        <v>93</v>
      </c>
      <c r="B94" s="2941" t="s">
        <v>3133</v>
      </c>
      <c r="C94" s="2941">
        <v>14</v>
      </c>
      <c r="D94" s="2941" t="s">
        <v>27</v>
      </c>
      <c r="E94" s="2942">
        <v>52.17</v>
      </c>
      <c r="F94" s="2942"/>
      <c r="G94">
        <f t="shared" si="1"/>
        <v>0</v>
      </c>
    </row>
    <row r="95" spans="1:7">
      <c r="A95" s="2940">
        <v>94</v>
      </c>
      <c r="B95" s="2941" t="s">
        <v>3134</v>
      </c>
      <c r="C95" s="2941">
        <v>14</v>
      </c>
      <c r="D95" s="2941" t="s">
        <v>27</v>
      </c>
      <c r="E95" s="2942">
        <v>52.17</v>
      </c>
      <c r="F95" s="2942"/>
      <c r="G95">
        <f t="shared" si="1"/>
        <v>0</v>
      </c>
    </row>
    <row r="96" spans="1:7">
      <c r="A96" s="2940">
        <v>95</v>
      </c>
      <c r="B96" s="2941" t="s">
        <v>3135</v>
      </c>
      <c r="C96" s="2941">
        <v>14</v>
      </c>
      <c r="D96" s="2941" t="s">
        <v>27</v>
      </c>
      <c r="E96" s="2942">
        <v>52.17</v>
      </c>
      <c r="F96" s="2942"/>
      <c r="G96">
        <f t="shared" si="1"/>
        <v>0</v>
      </c>
    </row>
    <row r="97" spans="1:7">
      <c r="A97" s="2940">
        <v>96</v>
      </c>
      <c r="B97" s="2941" t="s">
        <v>3136</v>
      </c>
      <c r="C97" s="2941">
        <v>14</v>
      </c>
      <c r="D97" s="2941" t="s">
        <v>27</v>
      </c>
      <c r="E97" s="2942">
        <v>52.17</v>
      </c>
      <c r="F97" s="2942"/>
      <c r="G97">
        <f t="shared" si="1"/>
        <v>0</v>
      </c>
    </row>
    <row r="98" spans="1:7">
      <c r="A98" s="2940">
        <v>97</v>
      </c>
      <c r="B98" s="2941" t="s">
        <v>3137</v>
      </c>
      <c r="C98" s="2941">
        <v>14</v>
      </c>
      <c r="D98" s="2941" t="s">
        <v>27</v>
      </c>
      <c r="E98" s="2942">
        <v>80.73</v>
      </c>
      <c r="F98" s="2942"/>
      <c r="G98">
        <f t="shared" si="1"/>
        <v>0</v>
      </c>
    </row>
    <row r="99" spans="1:7">
      <c r="A99" s="2940">
        <v>98</v>
      </c>
      <c r="B99" s="2941" t="s">
        <v>3138</v>
      </c>
      <c r="C99" s="2941">
        <v>14</v>
      </c>
      <c r="D99" s="2941" t="s">
        <v>27</v>
      </c>
      <c r="E99" s="2942">
        <v>93.08</v>
      </c>
      <c r="F99" s="2942"/>
      <c r="G99">
        <f t="shared" si="1"/>
        <v>0</v>
      </c>
    </row>
    <row r="100" spans="1:7">
      <c r="A100" s="2940">
        <v>99</v>
      </c>
      <c r="B100" s="2941" t="s">
        <v>3139</v>
      </c>
      <c r="C100" s="2941">
        <v>14</v>
      </c>
      <c r="D100" s="2941" t="s">
        <v>27</v>
      </c>
      <c r="E100" s="2942">
        <v>93.08</v>
      </c>
      <c r="F100" s="2942"/>
      <c r="G100">
        <f t="shared" si="1"/>
        <v>0</v>
      </c>
    </row>
    <row r="101" spans="1:7">
      <c r="A101" s="2940">
        <v>100</v>
      </c>
      <c r="B101" s="2941" t="s">
        <v>3140</v>
      </c>
      <c r="C101" s="2941">
        <v>15</v>
      </c>
      <c r="D101" s="2941" t="s">
        <v>27</v>
      </c>
      <c r="E101" s="2942">
        <v>80.73</v>
      </c>
      <c r="F101" s="2942">
        <v>640133</v>
      </c>
      <c r="G101">
        <f t="shared" si="1"/>
        <v>7929</v>
      </c>
    </row>
    <row r="102" spans="1:7">
      <c r="A102" s="2940">
        <v>101</v>
      </c>
      <c r="B102" s="2941" t="s">
        <v>3141</v>
      </c>
      <c r="C102" s="2941">
        <v>15</v>
      </c>
      <c r="D102" s="2941" t="s">
        <v>27</v>
      </c>
      <c r="E102" s="2942">
        <v>52.17</v>
      </c>
      <c r="F102" s="2942">
        <v>413672</v>
      </c>
      <c r="G102">
        <f t="shared" si="1"/>
        <v>7929</v>
      </c>
    </row>
    <row r="103" spans="1:7">
      <c r="A103" s="2940">
        <v>102</v>
      </c>
      <c r="B103" s="2941" t="s">
        <v>3142</v>
      </c>
      <c r="C103" s="2941">
        <v>15</v>
      </c>
      <c r="D103" s="2941" t="s">
        <v>27</v>
      </c>
      <c r="E103" s="2942">
        <v>52.17</v>
      </c>
      <c r="F103" s="2942">
        <v>413672</v>
      </c>
      <c r="G103">
        <f t="shared" si="1"/>
        <v>7929</v>
      </c>
    </row>
    <row r="104" spans="1:7">
      <c r="A104" s="2940">
        <v>103</v>
      </c>
      <c r="B104" s="2941" t="s">
        <v>3143</v>
      </c>
      <c r="C104" s="2941">
        <v>15</v>
      </c>
      <c r="D104" s="2941" t="s">
        <v>27</v>
      </c>
      <c r="E104" s="2942">
        <v>52.17</v>
      </c>
      <c r="F104" s="2942"/>
      <c r="G104">
        <f t="shared" si="1"/>
        <v>0</v>
      </c>
    </row>
    <row r="105" spans="1:7">
      <c r="A105" s="2940">
        <v>104</v>
      </c>
      <c r="B105" s="2941" t="s">
        <v>3144</v>
      </c>
      <c r="C105" s="2941">
        <v>15</v>
      </c>
      <c r="D105" s="2941" t="s">
        <v>27</v>
      </c>
      <c r="E105" s="2942">
        <v>52.17</v>
      </c>
      <c r="F105" s="2942"/>
      <c r="G105">
        <f t="shared" si="1"/>
        <v>0</v>
      </c>
    </row>
    <row r="106" spans="1:7">
      <c r="A106" s="2940">
        <v>105</v>
      </c>
      <c r="B106" s="2941" t="s">
        <v>3145</v>
      </c>
      <c r="C106" s="2941">
        <v>15</v>
      </c>
      <c r="D106" s="2941" t="s">
        <v>27</v>
      </c>
      <c r="E106" s="2942">
        <v>52.17</v>
      </c>
      <c r="F106" s="2942"/>
      <c r="G106">
        <f t="shared" si="1"/>
        <v>0</v>
      </c>
    </row>
    <row r="107" spans="1:7">
      <c r="A107" s="2940">
        <v>106</v>
      </c>
      <c r="B107" s="2941" t="s">
        <v>3146</v>
      </c>
      <c r="C107" s="2941">
        <v>15</v>
      </c>
      <c r="D107" s="2941" t="s">
        <v>27</v>
      </c>
      <c r="E107" s="2942">
        <v>52.17</v>
      </c>
      <c r="F107" s="2942"/>
      <c r="G107">
        <f t="shared" si="1"/>
        <v>0</v>
      </c>
    </row>
    <row r="108" spans="1:7">
      <c r="A108" s="2940">
        <v>107</v>
      </c>
      <c r="B108" s="2941" t="s">
        <v>3147</v>
      </c>
      <c r="C108" s="2941">
        <v>15</v>
      </c>
      <c r="D108" s="2941" t="s">
        <v>27</v>
      </c>
      <c r="E108" s="2942">
        <v>52.17</v>
      </c>
      <c r="F108" s="2942"/>
      <c r="G108">
        <f t="shared" si="1"/>
        <v>0</v>
      </c>
    </row>
    <row r="109" spans="1:7">
      <c r="A109" s="2940">
        <v>108</v>
      </c>
      <c r="B109" s="2941" t="s">
        <v>3148</v>
      </c>
      <c r="C109" s="2941">
        <v>15</v>
      </c>
      <c r="D109" s="2941" t="s">
        <v>27</v>
      </c>
      <c r="E109" s="2942">
        <v>52.17</v>
      </c>
      <c r="F109" s="2942"/>
      <c r="G109">
        <f t="shared" si="1"/>
        <v>0</v>
      </c>
    </row>
    <row r="110" spans="1:7">
      <c r="A110" s="2940">
        <v>109</v>
      </c>
      <c r="B110" s="2941" t="s">
        <v>3149</v>
      </c>
      <c r="C110" s="2941">
        <v>15</v>
      </c>
      <c r="D110" s="2941" t="s">
        <v>27</v>
      </c>
      <c r="E110" s="2942">
        <v>52.17</v>
      </c>
      <c r="F110" s="2942"/>
      <c r="G110">
        <f t="shared" si="1"/>
        <v>0</v>
      </c>
    </row>
    <row r="111" spans="1:7">
      <c r="A111" s="2940">
        <v>110</v>
      </c>
      <c r="B111" s="2941" t="s">
        <v>3150</v>
      </c>
      <c r="C111" s="2941">
        <v>15</v>
      </c>
      <c r="D111" s="2941" t="s">
        <v>27</v>
      </c>
      <c r="E111" s="2942">
        <v>52.17</v>
      </c>
      <c r="F111" s="2942"/>
      <c r="G111">
        <f t="shared" si="1"/>
        <v>0</v>
      </c>
    </row>
    <row r="112" spans="1:7">
      <c r="A112" s="2940">
        <v>111</v>
      </c>
      <c r="B112" s="2941" t="s">
        <v>3151</v>
      </c>
      <c r="C112" s="2941">
        <v>15</v>
      </c>
      <c r="D112" s="2941" t="s">
        <v>27</v>
      </c>
      <c r="E112" s="2942">
        <v>52.17</v>
      </c>
      <c r="F112" s="2942"/>
      <c r="G112">
        <f t="shared" si="1"/>
        <v>0</v>
      </c>
    </row>
    <row r="113" spans="1:7">
      <c r="A113" s="2940">
        <v>112</v>
      </c>
      <c r="B113" s="2941" t="s">
        <v>3152</v>
      </c>
      <c r="C113" s="2941">
        <v>15</v>
      </c>
      <c r="D113" s="2941" t="s">
        <v>27</v>
      </c>
      <c r="E113" s="2942">
        <v>52.17</v>
      </c>
      <c r="F113" s="2942"/>
      <c r="G113">
        <f t="shared" si="1"/>
        <v>0</v>
      </c>
    </row>
    <row r="114" spans="1:7">
      <c r="A114" s="2940">
        <v>113</v>
      </c>
      <c r="B114" s="2941" t="s">
        <v>3153</v>
      </c>
      <c r="C114" s="2941">
        <v>15</v>
      </c>
      <c r="D114" s="2941" t="s">
        <v>27</v>
      </c>
      <c r="E114" s="2942">
        <v>52.17</v>
      </c>
      <c r="F114" s="2942"/>
      <c r="G114">
        <f t="shared" si="1"/>
        <v>0</v>
      </c>
    </row>
    <row r="115" spans="1:7">
      <c r="A115" s="2940">
        <v>114</v>
      </c>
      <c r="B115" s="2941" t="s">
        <v>3154</v>
      </c>
      <c r="C115" s="2941">
        <v>15</v>
      </c>
      <c r="D115" s="2941" t="s">
        <v>27</v>
      </c>
      <c r="E115" s="2942">
        <v>93.08</v>
      </c>
      <c r="F115" s="2942"/>
      <c r="G115">
        <f t="shared" si="1"/>
        <v>0</v>
      </c>
    </row>
    <row r="116" spans="1:7">
      <c r="A116" s="2940">
        <v>115</v>
      </c>
      <c r="B116" s="2941" t="s">
        <v>3155</v>
      </c>
      <c r="C116" s="2941">
        <v>15</v>
      </c>
      <c r="D116" s="2941" t="s">
        <v>27</v>
      </c>
      <c r="E116" s="2942">
        <v>93.08</v>
      </c>
      <c r="F116" s="2942">
        <v>738060</v>
      </c>
      <c r="G116">
        <f t="shared" si="1"/>
        <v>7929</v>
      </c>
    </row>
    <row r="117" spans="1:7">
      <c r="A117" s="2940">
        <v>116</v>
      </c>
      <c r="B117" s="2941" t="s">
        <v>3156</v>
      </c>
      <c r="C117" s="2941">
        <v>16</v>
      </c>
      <c r="D117" s="2941" t="s">
        <v>27</v>
      </c>
      <c r="E117" s="2942">
        <v>80.73</v>
      </c>
      <c r="F117" s="2942"/>
      <c r="G117">
        <f t="shared" si="1"/>
        <v>0</v>
      </c>
    </row>
    <row r="118" spans="1:7">
      <c r="A118" s="2940">
        <v>117</v>
      </c>
      <c r="B118" s="2941" t="s">
        <v>3157</v>
      </c>
      <c r="C118" s="2941">
        <v>16</v>
      </c>
      <c r="D118" s="2941" t="s">
        <v>27</v>
      </c>
      <c r="E118" s="2942">
        <v>52.17</v>
      </c>
      <c r="F118" s="2942"/>
      <c r="G118">
        <f t="shared" si="1"/>
        <v>0</v>
      </c>
    </row>
    <row r="119" spans="1:7">
      <c r="A119" s="2940">
        <v>118</v>
      </c>
      <c r="B119" s="2941" t="s">
        <v>3158</v>
      </c>
      <c r="C119" s="2941">
        <v>16</v>
      </c>
      <c r="D119" s="2941" t="s">
        <v>27</v>
      </c>
      <c r="E119" s="2942">
        <v>52.17</v>
      </c>
      <c r="F119" s="2942"/>
      <c r="G119">
        <f t="shared" si="1"/>
        <v>0</v>
      </c>
    </row>
    <row r="120" spans="1:7">
      <c r="A120" s="2940">
        <v>119</v>
      </c>
      <c r="B120" s="2941" t="s">
        <v>3159</v>
      </c>
      <c r="C120" s="2941">
        <v>16</v>
      </c>
      <c r="D120" s="2941" t="s">
        <v>27</v>
      </c>
      <c r="E120" s="2942">
        <v>52.17</v>
      </c>
      <c r="F120" s="2942"/>
      <c r="G120">
        <f t="shared" si="1"/>
        <v>0</v>
      </c>
    </row>
    <row r="121" spans="1:7">
      <c r="A121" s="2940">
        <v>120</v>
      </c>
      <c r="B121" s="2941" t="s">
        <v>3160</v>
      </c>
      <c r="C121" s="2941">
        <v>16</v>
      </c>
      <c r="D121" s="2941" t="s">
        <v>27</v>
      </c>
      <c r="E121" s="2942">
        <v>52.17</v>
      </c>
      <c r="F121" s="2942"/>
      <c r="G121">
        <f t="shared" si="1"/>
        <v>0</v>
      </c>
    </row>
    <row r="122" spans="1:7">
      <c r="A122" s="2940">
        <v>121</v>
      </c>
      <c r="B122" s="2941" t="s">
        <v>3161</v>
      </c>
      <c r="C122" s="2941">
        <v>16</v>
      </c>
      <c r="D122" s="2941" t="s">
        <v>27</v>
      </c>
      <c r="E122" s="2942">
        <v>52.17</v>
      </c>
      <c r="F122" s="2942"/>
      <c r="G122">
        <f t="shared" si="1"/>
        <v>0</v>
      </c>
    </row>
    <row r="123" spans="1:7">
      <c r="A123" s="2940">
        <v>122</v>
      </c>
      <c r="B123" s="2941" t="s">
        <v>3162</v>
      </c>
      <c r="C123" s="2941">
        <v>16</v>
      </c>
      <c r="D123" s="2941" t="s">
        <v>27</v>
      </c>
      <c r="E123" s="2942">
        <v>52.17</v>
      </c>
      <c r="F123" s="2942"/>
      <c r="G123">
        <f t="shared" si="1"/>
        <v>0</v>
      </c>
    </row>
    <row r="124" spans="1:7">
      <c r="A124" s="2940">
        <v>123</v>
      </c>
      <c r="B124" s="2941" t="s">
        <v>3163</v>
      </c>
      <c r="C124" s="2941">
        <v>16</v>
      </c>
      <c r="D124" s="2941" t="s">
        <v>27</v>
      </c>
      <c r="E124" s="2942">
        <v>52.17</v>
      </c>
      <c r="F124" s="2942"/>
      <c r="G124">
        <f t="shared" si="1"/>
        <v>0</v>
      </c>
    </row>
    <row r="125" spans="1:7">
      <c r="A125" s="2940">
        <v>124</v>
      </c>
      <c r="B125" s="2941" t="s">
        <v>3164</v>
      </c>
      <c r="C125" s="2941">
        <v>16</v>
      </c>
      <c r="D125" s="2941" t="s">
        <v>27</v>
      </c>
      <c r="E125" s="2942">
        <v>52.17</v>
      </c>
      <c r="F125" s="2942"/>
      <c r="G125">
        <f t="shared" si="1"/>
        <v>0</v>
      </c>
    </row>
    <row r="126" spans="1:7">
      <c r="A126" s="2940">
        <v>125</v>
      </c>
      <c r="B126" s="2941" t="s">
        <v>3165</v>
      </c>
      <c r="C126" s="2941">
        <v>16</v>
      </c>
      <c r="D126" s="2941" t="s">
        <v>27</v>
      </c>
      <c r="E126" s="2942">
        <v>52.17</v>
      </c>
      <c r="F126" s="2942"/>
      <c r="G126">
        <f t="shared" si="1"/>
        <v>0</v>
      </c>
    </row>
    <row r="127" spans="1:7">
      <c r="A127" s="2940">
        <v>126</v>
      </c>
      <c r="B127" s="2941" t="s">
        <v>3166</v>
      </c>
      <c r="C127" s="2941">
        <v>16</v>
      </c>
      <c r="D127" s="2941" t="s">
        <v>27</v>
      </c>
      <c r="E127" s="2942">
        <v>52.17</v>
      </c>
      <c r="F127" s="2942"/>
      <c r="G127">
        <f t="shared" si="1"/>
        <v>0</v>
      </c>
    </row>
    <row r="128" spans="1:7">
      <c r="A128" s="2940">
        <v>127</v>
      </c>
      <c r="B128" s="2941" t="s">
        <v>3167</v>
      </c>
      <c r="C128" s="2941">
        <v>16</v>
      </c>
      <c r="D128" s="2941" t="s">
        <v>27</v>
      </c>
      <c r="E128" s="2942">
        <v>52.17</v>
      </c>
      <c r="F128" s="2942"/>
      <c r="G128">
        <f t="shared" si="1"/>
        <v>0</v>
      </c>
    </row>
    <row r="129" spans="1:7">
      <c r="A129" s="2940">
        <v>128</v>
      </c>
      <c r="B129" s="2941" t="s">
        <v>3168</v>
      </c>
      <c r="C129" s="2941">
        <v>16</v>
      </c>
      <c r="D129" s="2941" t="s">
        <v>27</v>
      </c>
      <c r="E129" s="2942">
        <v>52.17</v>
      </c>
      <c r="F129" s="2942"/>
      <c r="G129">
        <f t="shared" si="1"/>
        <v>0</v>
      </c>
    </row>
    <row r="130" spans="1:7">
      <c r="A130" s="2940">
        <v>129</v>
      </c>
      <c r="B130" s="2941" t="s">
        <v>3169</v>
      </c>
      <c r="C130" s="2941">
        <v>16</v>
      </c>
      <c r="D130" s="2941" t="s">
        <v>27</v>
      </c>
      <c r="E130" s="2942">
        <v>52.17</v>
      </c>
      <c r="F130" s="2942"/>
      <c r="G130">
        <f t="shared" si="1"/>
        <v>0</v>
      </c>
    </row>
    <row r="131" spans="1:7">
      <c r="A131" s="2940">
        <v>130</v>
      </c>
      <c r="B131" s="2941" t="s">
        <v>3170</v>
      </c>
      <c r="C131" s="2941">
        <v>16</v>
      </c>
      <c r="D131" s="2941" t="s">
        <v>27</v>
      </c>
      <c r="E131" s="2942">
        <v>52.17</v>
      </c>
      <c r="F131" s="2942"/>
      <c r="G131">
        <f t="shared" ref="G131:G194" si="2">ROUND(F131/E131,0)</f>
        <v>0</v>
      </c>
    </row>
    <row r="132" spans="1:7">
      <c r="A132" s="2940">
        <v>131</v>
      </c>
      <c r="B132" s="2941" t="s">
        <v>3171</v>
      </c>
      <c r="C132" s="2941">
        <v>16</v>
      </c>
      <c r="D132" s="2941" t="s">
        <v>27</v>
      </c>
      <c r="E132" s="2942">
        <v>80.73</v>
      </c>
      <c r="F132" s="2942"/>
      <c r="G132">
        <f t="shared" si="2"/>
        <v>0</v>
      </c>
    </row>
    <row r="133" spans="1:7">
      <c r="A133" s="2940">
        <v>132</v>
      </c>
      <c r="B133" s="2941" t="s">
        <v>3172</v>
      </c>
      <c r="C133" s="2941">
        <v>16</v>
      </c>
      <c r="D133" s="2941" t="s">
        <v>27</v>
      </c>
      <c r="E133" s="2942">
        <v>93.08</v>
      </c>
      <c r="F133" s="2942"/>
      <c r="G133">
        <f t="shared" si="2"/>
        <v>0</v>
      </c>
    </row>
    <row r="134" spans="1:7">
      <c r="A134" s="2940">
        <v>133</v>
      </c>
      <c r="B134" s="2941" t="s">
        <v>3173</v>
      </c>
      <c r="C134" s="2941">
        <v>16</v>
      </c>
      <c r="D134" s="2941" t="s">
        <v>27</v>
      </c>
      <c r="E134" s="2942">
        <v>93.08</v>
      </c>
      <c r="F134" s="2942"/>
      <c r="G134">
        <f t="shared" si="2"/>
        <v>0</v>
      </c>
    </row>
    <row r="135" spans="1:7">
      <c r="A135" s="2940">
        <v>134</v>
      </c>
      <c r="B135" s="2941" t="s">
        <v>3174</v>
      </c>
      <c r="C135" s="2941">
        <v>17</v>
      </c>
      <c r="D135" s="2941" t="s">
        <v>27</v>
      </c>
      <c r="E135" s="2942">
        <v>66.040000000000006</v>
      </c>
      <c r="F135" s="2942">
        <v>518072</v>
      </c>
      <c r="G135">
        <f t="shared" si="2"/>
        <v>7845</v>
      </c>
    </row>
    <row r="136" spans="1:7">
      <c r="A136" s="2940">
        <v>135</v>
      </c>
      <c r="B136" s="2941" t="s">
        <v>3175</v>
      </c>
      <c r="C136" s="2941">
        <v>17</v>
      </c>
      <c r="D136" s="2941" t="s">
        <v>27</v>
      </c>
      <c r="E136" s="2942">
        <v>66.040000000000006</v>
      </c>
      <c r="F136" s="2942">
        <v>518072</v>
      </c>
      <c r="G136">
        <f t="shared" si="2"/>
        <v>7845</v>
      </c>
    </row>
    <row r="137" spans="1:7">
      <c r="A137" s="2940">
        <v>136</v>
      </c>
      <c r="B137" s="2941" t="s">
        <v>3176</v>
      </c>
      <c r="C137" s="2941">
        <v>17</v>
      </c>
      <c r="D137" s="2941" t="s">
        <v>27</v>
      </c>
      <c r="E137" s="2942">
        <v>80.73</v>
      </c>
      <c r="F137" s="2942">
        <v>633313</v>
      </c>
      <c r="G137">
        <f t="shared" si="2"/>
        <v>7845</v>
      </c>
    </row>
    <row r="138" spans="1:7">
      <c r="A138" s="2940">
        <v>137</v>
      </c>
      <c r="B138" s="2941" t="s">
        <v>3177</v>
      </c>
      <c r="C138" s="2941">
        <v>17</v>
      </c>
      <c r="D138" s="2941" t="s">
        <v>27</v>
      </c>
      <c r="E138" s="2942">
        <v>52.17</v>
      </c>
      <c r="F138" s="2942">
        <v>409264</v>
      </c>
      <c r="G138">
        <f t="shared" si="2"/>
        <v>7845</v>
      </c>
    </row>
    <row r="139" spans="1:7">
      <c r="A139" s="2940">
        <v>138</v>
      </c>
      <c r="B139" s="2941" t="s">
        <v>3178</v>
      </c>
      <c r="C139" s="2941">
        <v>17</v>
      </c>
      <c r="D139" s="2941" t="s">
        <v>27</v>
      </c>
      <c r="E139" s="2942">
        <v>52.17</v>
      </c>
      <c r="F139" s="2942">
        <v>409264</v>
      </c>
      <c r="G139">
        <f t="shared" si="2"/>
        <v>7845</v>
      </c>
    </row>
    <row r="140" spans="1:7">
      <c r="A140" s="2940">
        <v>139</v>
      </c>
      <c r="B140" s="2941" t="s">
        <v>3179</v>
      </c>
      <c r="C140" s="2941">
        <v>17</v>
      </c>
      <c r="D140" s="2941" t="s">
        <v>27</v>
      </c>
      <c r="E140" s="2942">
        <v>52.17</v>
      </c>
      <c r="F140" s="2942">
        <v>409264</v>
      </c>
      <c r="G140">
        <f t="shared" si="2"/>
        <v>7845</v>
      </c>
    </row>
    <row r="141" spans="1:7">
      <c r="A141" s="2940">
        <v>140</v>
      </c>
      <c r="B141" s="2941" t="s">
        <v>3180</v>
      </c>
      <c r="C141" s="2941">
        <v>17</v>
      </c>
      <c r="D141" s="2941" t="s">
        <v>27</v>
      </c>
      <c r="E141" s="2942">
        <v>52.17</v>
      </c>
      <c r="F141" s="2942">
        <v>409264</v>
      </c>
      <c r="G141">
        <f t="shared" si="2"/>
        <v>7845</v>
      </c>
    </row>
    <row r="142" spans="1:7">
      <c r="A142" s="2940">
        <v>141</v>
      </c>
      <c r="B142" s="2941" t="s">
        <v>3181</v>
      </c>
      <c r="C142" s="2941">
        <v>17</v>
      </c>
      <c r="D142" s="2941" t="s">
        <v>27</v>
      </c>
      <c r="E142" s="2942">
        <v>52.17</v>
      </c>
      <c r="F142" s="2942">
        <v>409264</v>
      </c>
      <c r="G142">
        <f t="shared" si="2"/>
        <v>7845</v>
      </c>
    </row>
    <row r="143" spans="1:7">
      <c r="A143" s="2940">
        <v>142</v>
      </c>
      <c r="B143" s="2941" t="s">
        <v>3182</v>
      </c>
      <c r="C143" s="2941">
        <v>17</v>
      </c>
      <c r="D143" s="2941" t="s">
        <v>27</v>
      </c>
      <c r="E143" s="2942">
        <v>52.17</v>
      </c>
      <c r="F143" s="2942">
        <v>409264</v>
      </c>
      <c r="G143">
        <f t="shared" si="2"/>
        <v>7845</v>
      </c>
    </row>
    <row r="144" spans="1:7">
      <c r="A144" s="2940">
        <v>143</v>
      </c>
      <c r="B144" s="2941" t="s">
        <v>3183</v>
      </c>
      <c r="C144" s="2941">
        <v>17</v>
      </c>
      <c r="D144" s="2941" t="s">
        <v>27</v>
      </c>
      <c r="E144" s="2942">
        <v>52.17</v>
      </c>
      <c r="F144" s="2942">
        <v>409264</v>
      </c>
      <c r="G144">
        <f t="shared" si="2"/>
        <v>7845</v>
      </c>
    </row>
    <row r="145" spans="1:7">
      <c r="A145" s="2940">
        <v>144</v>
      </c>
      <c r="B145" s="2941" t="s">
        <v>3184</v>
      </c>
      <c r="C145" s="2941">
        <v>17</v>
      </c>
      <c r="D145" s="2941" t="s">
        <v>27</v>
      </c>
      <c r="E145" s="2942">
        <v>52.17</v>
      </c>
      <c r="F145" s="2942">
        <v>409264</v>
      </c>
      <c r="G145">
        <f t="shared" si="2"/>
        <v>7845</v>
      </c>
    </row>
    <row r="146" spans="1:7">
      <c r="A146" s="2940">
        <v>145</v>
      </c>
      <c r="B146" s="2941" t="s">
        <v>3185</v>
      </c>
      <c r="C146" s="2941">
        <v>17</v>
      </c>
      <c r="D146" s="2941" t="s">
        <v>27</v>
      </c>
      <c r="E146" s="2942">
        <v>52.17</v>
      </c>
      <c r="F146" s="2942">
        <v>409264</v>
      </c>
      <c r="G146">
        <f t="shared" si="2"/>
        <v>7845</v>
      </c>
    </row>
    <row r="147" spans="1:7">
      <c r="A147" s="2940">
        <v>146</v>
      </c>
      <c r="B147" s="2941" t="s">
        <v>3186</v>
      </c>
      <c r="C147" s="2941">
        <v>17</v>
      </c>
      <c r="D147" s="2941" t="s">
        <v>27</v>
      </c>
      <c r="E147" s="2942">
        <v>52.17</v>
      </c>
      <c r="F147" s="2942">
        <v>409264</v>
      </c>
      <c r="G147">
        <f t="shared" si="2"/>
        <v>7845</v>
      </c>
    </row>
    <row r="148" spans="1:7">
      <c r="A148" s="2940">
        <v>147</v>
      </c>
      <c r="B148" s="2941" t="s">
        <v>3187</v>
      </c>
      <c r="C148" s="2941">
        <v>17</v>
      </c>
      <c r="D148" s="2941" t="s">
        <v>27</v>
      </c>
      <c r="E148" s="2942">
        <v>80.73</v>
      </c>
      <c r="F148" s="2942">
        <v>633313</v>
      </c>
      <c r="G148">
        <f t="shared" si="2"/>
        <v>7845</v>
      </c>
    </row>
    <row r="149" spans="1:7">
      <c r="A149" s="2940">
        <v>148</v>
      </c>
      <c r="B149" s="2941" t="s">
        <v>3188</v>
      </c>
      <c r="C149" s="2941">
        <v>18</v>
      </c>
      <c r="D149" s="2941" t="s">
        <v>27</v>
      </c>
      <c r="E149" s="2942">
        <v>80.73</v>
      </c>
      <c r="F149" s="2942"/>
      <c r="G149">
        <f t="shared" si="2"/>
        <v>0</v>
      </c>
    </row>
    <row r="150" spans="1:7">
      <c r="A150" s="2940">
        <v>149</v>
      </c>
      <c r="B150" s="2941" t="s">
        <v>3189</v>
      </c>
      <c r="C150" s="2941">
        <v>18</v>
      </c>
      <c r="D150" s="2941" t="s">
        <v>27</v>
      </c>
      <c r="E150" s="2942">
        <v>52.17</v>
      </c>
      <c r="F150" s="2942"/>
      <c r="G150">
        <f t="shared" si="2"/>
        <v>0</v>
      </c>
    </row>
    <row r="151" spans="1:7">
      <c r="A151" s="2940">
        <v>150</v>
      </c>
      <c r="B151" s="2941" t="s">
        <v>3190</v>
      </c>
      <c r="C151" s="2941">
        <v>18</v>
      </c>
      <c r="D151" s="2941" t="s">
        <v>27</v>
      </c>
      <c r="E151" s="2942">
        <v>52.17</v>
      </c>
      <c r="F151" s="2942"/>
      <c r="G151">
        <f t="shared" si="2"/>
        <v>0</v>
      </c>
    </row>
    <row r="152" spans="1:7">
      <c r="A152" s="2940">
        <v>151</v>
      </c>
      <c r="B152" s="2941" t="s">
        <v>3191</v>
      </c>
      <c r="C152" s="2941">
        <v>18</v>
      </c>
      <c r="D152" s="2941" t="s">
        <v>27</v>
      </c>
      <c r="E152" s="2942">
        <v>52.17</v>
      </c>
      <c r="F152" s="2942"/>
      <c r="G152">
        <f t="shared" si="2"/>
        <v>0</v>
      </c>
    </row>
    <row r="153" spans="1:7">
      <c r="A153" s="2940">
        <v>152</v>
      </c>
      <c r="B153" s="2941" t="s">
        <v>3192</v>
      </c>
      <c r="C153" s="2941">
        <v>18</v>
      </c>
      <c r="D153" s="2941" t="s">
        <v>27</v>
      </c>
      <c r="E153" s="2942">
        <v>52.17</v>
      </c>
      <c r="F153" s="2942"/>
      <c r="G153">
        <f t="shared" si="2"/>
        <v>0</v>
      </c>
    </row>
    <row r="154" spans="1:7">
      <c r="A154" s="2940">
        <v>153</v>
      </c>
      <c r="B154" s="2941" t="s">
        <v>3193</v>
      </c>
      <c r="C154" s="2941">
        <v>18</v>
      </c>
      <c r="D154" s="2941" t="s">
        <v>27</v>
      </c>
      <c r="E154" s="2942">
        <v>52.17</v>
      </c>
      <c r="F154" s="2942"/>
      <c r="G154">
        <f t="shared" si="2"/>
        <v>0</v>
      </c>
    </row>
    <row r="155" spans="1:7">
      <c r="A155" s="2940">
        <v>154</v>
      </c>
      <c r="B155" s="2941" t="s">
        <v>3194</v>
      </c>
      <c r="C155" s="2941">
        <v>18</v>
      </c>
      <c r="D155" s="2941" t="s">
        <v>27</v>
      </c>
      <c r="E155" s="2942">
        <v>52.17</v>
      </c>
      <c r="F155" s="2942"/>
      <c r="G155">
        <f t="shared" si="2"/>
        <v>0</v>
      </c>
    </row>
    <row r="156" spans="1:7">
      <c r="A156" s="2940">
        <v>155</v>
      </c>
      <c r="B156" s="2941" t="s">
        <v>3195</v>
      </c>
      <c r="C156" s="2941">
        <v>18</v>
      </c>
      <c r="D156" s="2941" t="s">
        <v>27</v>
      </c>
      <c r="E156" s="2942">
        <v>52.17</v>
      </c>
      <c r="F156" s="2942"/>
      <c r="G156">
        <f t="shared" si="2"/>
        <v>0</v>
      </c>
    </row>
    <row r="157" spans="1:7">
      <c r="A157" s="2940">
        <v>156</v>
      </c>
      <c r="B157" s="2941" t="s">
        <v>3196</v>
      </c>
      <c r="C157" s="2941">
        <v>18</v>
      </c>
      <c r="D157" s="2941" t="s">
        <v>27</v>
      </c>
      <c r="E157" s="2942">
        <v>52.17</v>
      </c>
      <c r="F157" s="2942"/>
      <c r="G157">
        <f t="shared" si="2"/>
        <v>0</v>
      </c>
    </row>
    <row r="158" spans="1:7">
      <c r="A158" s="2940">
        <v>157</v>
      </c>
      <c r="B158" s="2941" t="s">
        <v>3197</v>
      </c>
      <c r="C158" s="2941">
        <v>18</v>
      </c>
      <c r="D158" s="2941" t="s">
        <v>27</v>
      </c>
      <c r="E158" s="2942">
        <v>52.17</v>
      </c>
      <c r="F158" s="2942"/>
      <c r="G158">
        <f t="shared" si="2"/>
        <v>0</v>
      </c>
    </row>
    <row r="159" spans="1:7">
      <c r="A159" s="2940">
        <v>158</v>
      </c>
      <c r="B159" s="2941" t="s">
        <v>3198</v>
      </c>
      <c r="C159" s="2941">
        <v>18</v>
      </c>
      <c r="D159" s="2941" t="s">
        <v>27</v>
      </c>
      <c r="E159" s="2942">
        <v>52.17</v>
      </c>
      <c r="F159" s="2942"/>
      <c r="G159">
        <f t="shared" si="2"/>
        <v>0</v>
      </c>
    </row>
    <row r="160" spans="1:7">
      <c r="A160" s="2940">
        <v>159</v>
      </c>
      <c r="B160" s="2941" t="s">
        <v>3199</v>
      </c>
      <c r="C160" s="2941">
        <v>18</v>
      </c>
      <c r="D160" s="2941" t="s">
        <v>27</v>
      </c>
      <c r="E160" s="2942">
        <v>80.73</v>
      </c>
      <c r="F160" s="2942"/>
      <c r="G160">
        <f t="shared" si="2"/>
        <v>0</v>
      </c>
    </row>
    <row r="161" spans="1:7">
      <c r="A161" s="2940">
        <v>160</v>
      </c>
      <c r="B161" s="2941" t="s">
        <v>3200</v>
      </c>
      <c r="C161" s="2941">
        <v>18</v>
      </c>
      <c r="D161" s="2941" t="s">
        <v>27</v>
      </c>
      <c r="E161" s="2942">
        <v>66.040000000000006</v>
      </c>
      <c r="F161" s="2942"/>
      <c r="G161">
        <f t="shared" si="2"/>
        <v>0</v>
      </c>
    </row>
    <row r="162" spans="1:7">
      <c r="A162" s="2940">
        <v>161</v>
      </c>
      <c r="B162" s="2941" t="s">
        <v>3201</v>
      </c>
      <c r="C162" s="2941">
        <v>18</v>
      </c>
      <c r="D162" s="2941" t="s">
        <v>27</v>
      </c>
      <c r="E162" s="2942">
        <v>66.040000000000006</v>
      </c>
      <c r="F162" s="2942"/>
      <c r="G162">
        <f t="shared" si="2"/>
        <v>0</v>
      </c>
    </row>
    <row r="163" spans="1:7">
      <c r="A163" s="2940">
        <v>162</v>
      </c>
      <c r="B163" s="2941" t="s">
        <v>3202</v>
      </c>
      <c r="C163" s="2941">
        <v>18</v>
      </c>
      <c r="D163" s="2941" t="s">
        <v>27</v>
      </c>
      <c r="E163" s="2942">
        <v>80.73</v>
      </c>
      <c r="F163" s="2942"/>
      <c r="G163">
        <f t="shared" si="2"/>
        <v>0</v>
      </c>
    </row>
    <row r="164" spans="1:7">
      <c r="A164" s="2940">
        <v>163</v>
      </c>
      <c r="B164" s="2941" t="s">
        <v>3203</v>
      </c>
      <c r="C164" s="2941">
        <v>18</v>
      </c>
      <c r="D164" s="2941" t="s">
        <v>27</v>
      </c>
      <c r="E164" s="2942">
        <v>52.17</v>
      </c>
      <c r="F164" s="2942"/>
      <c r="G164">
        <f t="shared" si="2"/>
        <v>0</v>
      </c>
    </row>
    <row r="165" spans="1:7">
      <c r="A165" s="2940">
        <v>164</v>
      </c>
      <c r="B165" s="2941" t="s">
        <v>3204</v>
      </c>
      <c r="C165" s="2941">
        <v>18</v>
      </c>
      <c r="D165" s="2941" t="s">
        <v>27</v>
      </c>
      <c r="E165" s="2942">
        <v>52.17</v>
      </c>
      <c r="F165" s="2942"/>
      <c r="G165">
        <f t="shared" si="2"/>
        <v>0</v>
      </c>
    </row>
    <row r="166" spans="1:7">
      <c r="A166" s="2940">
        <v>165</v>
      </c>
      <c r="B166" s="2941" t="s">
        <v>3205</v>
      </c>
      <c r="C166" s="2941">
        <v>18</v>
      </c>
      <c r="D166" s="2941" t="s">
        <v>27</v>
      </c>
      <c r="E166" s="2942">
        <v>52.17</v>
      </c>
      <c r="F166" s="2942"/>
      <c r="G166">
        <f t="shared" si="2"/>
        <v>0</v>
      </c>
    </row>
    <row r="167" spans="1:7">
      <c r="A167" s="2940">
        <v>166</v>
      </c>
      <c r="B167" s="2941" t="s">
        <v>3206</v>
      </c>
      <c r="C167" s="2941">
        <v>18</v>
      </c>
      <c r="D167" s="2941" t="s">
        <v>27</v>
      </c>
      <c r="E167" s="2942">
        <v>52.17</v>
      </c>
      <c r="F167" s="2942"/>
      <c r="G167">
        <f t="shared" si="2"/>
        <v>0</v>
      </c>
    </row>
    <row r="168" spans="1:7">
      <c r="A168" s="2940">
        <v>167</v>
      </c>
      <c r="B168" s="2941" t="s">
        <v>3207</v>
      </c>
      <c r="C168" s="2941">
        <v>18</v>
      </c>
      <c r="D168" s="2941" t="s">
        <v>27</v>
      </c>
      <c r="E168" s="2942">
        <v>52.17</v>
      </c>
      <c r="F168" s="2942"/>
      <c r="G168">
        <f t="shared" si="2"/>
        <v>0</v>
      </c>
    </row>
    <row r="169" spans="1:7">
      <c r="A169" s="2940">
        <v>168</v>
      </c>
      <c r="B169" s="2941" t="s">
        <v>3208</v>
      </c>
      <c r="C169" s="2941">
        <v>18</v>
      </c>
      <c r="D169" s="2941" t="s">
        <v>27</v>
      </c>
      <c r="E169" s="2942">
        <v>52.17</v>
      </c>
      <c r="F169" s="2942"/>
      <c r="G169">
        <f t="shared" si="2"/>
        <v>0</v>
      </c>
    </row>
    <row r="170" spans="1:7">
      <c r="A170" s="2940">
        <v>169</v>
      </c>
      <c r="B170" s="2941" t="s">
        <v>3209</v>
      </c>
      <c r="C170" s="2941">
        <v>18</v>
      </c>
      <c r="D170" s="2941" t="s">
        <v>27</v>
      </c>
      <c r="E170" s="2942">
        <v>52.17</v>
      </c>
      <c r="F170" s="2942"/>
      <c r="G170">
        <f t="shared" si="2"/>
        <v>0</v>
      </c>
    </row>
    <row r="171" spans="1:7">
      <c r="A171" s="2940">
        <v>170</v>
      </c>
      <c r="B171" s="2941" t="s">
        <v>3210</v>
      </c>
      <c r="C171" s="2941">
        <v>18</v>
      </c>
      <c r="D171" s="2941" t="s">
        <v>27</v>
      </c>
      <c r="E171" s="2942">
        <v>52.17</v>
      </c>
      <c r="F171" s="2942"/>
      <c r="G171">
        <f t="shared" si="2"/>
        <v>0</v>
      </c>
    </row>
    <row r="172" spans="1:7">
      <c r="A172" s="2940">
        <v>171</v>
      </c>
      <c r="B172" s="2941" t="s">
        <v>3211</v>
      </c>
      <c r="C172" s="2941">
        <v>18</v>
      </c>
      <c r="D172" s="2941" t="s">
        <v>27</v>
      </c>
      <c r="E172" s="2942">
        <v>52.17</v>
      </c>
      <c r="F172" s="2942"/>
      <c r="G172">
        <f t="shared" si="2"/>
        <v>0</v>
      </c>
    </row>
    <row r="173" spans="1:7">
      <c r="A173" s="2940">
        <v>172</v>
      </c>
      <c r="B173" s="2941" t="s">
        <v>3212</v>
      </c>
      <c r="C173" s="2941">
        <v>18</v>
      </c>
      <c r="D173" s="2941" t="s">
        <v>27</v>
      </c>
      <c r="E173" s="2942">
        <v>52.17</v>
      </c>
      <c r="F173" s="2942"/>
      <c r="G173">
        <f t="shared" si="2"/>
        <v>0</v>
      </c>
    </row>
    <row r="174" spans="1:7">
      <c r="A174" s="2940">
        <v>173</v>
      </c>
      <c r="B174" s="2941" t="s">
        <v>3213</v>
      </c>
      <c r="C174" s="2941">
        <v>18</v>
      </c>
      <c r="D174" s="2941" t="s">
        <v>27</v>
      </c>
      <c r="E174" s="2942">
        <v>80.73</v>
      </c>
      <c r="F174" s="2942"/>
      <c r="G174">
        <f t="shared" si="2"/>
        <v>0</v>
      </c>
    </row>
    <row r="175" spans="1:7">
      <c r="A175" s="2940">
        <v>174</v>
      </c>
      <c r="B175" s="2941" t="s">
        <v>3214</v>
      </c>
      <c r="C175" s="2941">
        <v>18</v>
      </c>
      <c r="D175" s="2941" t="s">
        <v>27</v>
      </c>
      <c r="E175" s="2942">
        <v>93.08</v>
      </c>
      <c r="F175" s="2942"/>
      <c r="G175">
        <f t="shared" si="2"/>
        <v>0</v>
      </c>
    </row>
    <row r="176" spans="1:7">
      <c r="A176" s="2940">
        <v>175</v>
      </c>
      <c r="B176" s="2941" t="s">
        <v>3215</v>
      </c>
      <c r="C176" s="2941">
        <v>18</v>
      </c>
      <c r="D176" s="2941" t="s">
        <v>27</v>
      </c>
      <c r="E176" s="2942">
        <v>93.08</v>
      </c>
      <c r="F176" s="2942"/>
      <c r="G176">
        <f t="shared" si="2"/>
        <v>0</v>
      </c>
    </row>
    <row r="177" spans="1:7">
      <c r="A177" s="2940">
        <v>176</v>
      </c>
      <c r="B177" s="2941" t="s">
        <v>3216</v>
      </c>
      <c r="C177" s="2941">
        <v>19</v>
      </c>
      <c r="D177" s="2941" t="s">
        <v>27</v>
      </c>
      <c r="E177" s="2942">
        <v>80.73</v>
      </c>
      <c r="F177" s="2942"/>
      <c r="G177">
        <f t="shared" si="2"/>
        <v>0</v>
      </c>
    </row>
    <row r="178" spans="1:7">
      <c r="A178" s="2940">
        <v>177</v>
      </c>
      <c r="B178" s="2941" t="s">
        <v>3217</v>
      </c>
      <c r="C178" s="2941">
        <v>19</v>
      </c>
      <c r="D178" s="2941" t="s">
        <v>27</v>
      </c>
      <c r="E178" s="2942">
        <v>52.17</v>
      </c>
      <c r="F178" s="2942"/>
      <c r="G178">
        <f t="shared" si="2"/>
        <v>0</v>
      </c>
    </row>
    <row r="179" spans="1:7">
      <c r="A179" s="2940">
        <v>178</v>
      </c>
      <c r="B179" s="2941" t="s">
        <v>3218</v>
      </c>
      <c r="C179" s="2941">
        <v>19</v>
      </c>
      <c r="D179" s="2941" t="s">
        <v>27</v>
      </c>
      <c r="E179" s="2942">
        <v>52.17</v>
      </c>
      <c r="F179" s="2942"/>
      <c r="G179">
        <f t="shared" si="2"/>
        <v>0</v>
      </c>
    </row>
    <row r="180" spans="1:7">
      <c r="A180" s="2940">
        <v>179</v>
      </c>
      <c r="B180" s="2941" t="s">
        <v>3219</v>
      </c>
      <c r="C180" s="2941">
        <v>19</v>
      </c>
      <c r="D180" s="2941" t="s">
        <v>27</v>
      </c>
      <c r="E180" s="2942">
        <v>52.17</v>
      </c>
      <c r="F180" s="2942"/>
      <c r="G180">
        <f t="shared" si="2"/>
        <v>0</v>
      </c>
    </row>
    <row r="181" spans="1:7">
      <c r="A181" s="2940">
        <v>180</v>
      </c>
      <c r="B181" s="2941" t="s">
        <v>3220</v>
      </c>
      <c r="C181" s="2941">
        <v>19</v>
      </c>
      <c r="D181" s="2941" t="s">
        <v>27</v>
      </c>
      <c r="E181" s="2942">
        <v>52.17</v>
      </c>
      <c r="F181" s="2942"/>
      <c r="G181">
        <f t="shared" si="2"/>
        <v>0</v>
      </c>
    </row>
    <row r="182" spans="1:7">
      <c r="A182" s="2940">
        <v>181</v>
      </c>
      <c r="B182" s="2941" t="s">
        <v>3221</v>
      </c>
      <c r="C182" s="2941">
        <v>19</v>
      </c>
      <c r="D182" s="2941" t="s">
        <v>27</v>
      </c>
      <c r="E182" s="2942">
        <v>52.17</v>
      </c>
      <c r="F182" s="2942"/>
      <c r="G182">
        <f t="shared" si="2"/>
        <v>0</v>
      </c>
    </row>
    <row r="183" spans="1:7">
      <c r="A183" s="2940">
        <v>182</v>
      </c>
      <c r="B183" s="2941" t="s">
        <v>3222</v>
      </c>
      <c r="C183" s="2941">
        <v>19</v>
      </c>
      <c r="D183" s="2941" t="s">
        <v>27</v>
      </c>
      <c r="E183" s="2942">
        <v>52.17</v>
      </c>
      <c r="F183" s="2942"/>
      <c r="G183">
        <f t="shared" si="2"/>
        <v>0</v>
      </c>
    </row>
    <row r="184" spans="1:7">
      <c r="A184" s="2940">
        <v>183</v>
      </c>
      <c r="B184" s="2941" t="s">
        <v>3223</v>
      </c>
      <c r="C184" s="2941">
        <v>19</v>
      </c>
      <c r="D184" s="2941" t="s">
        <v>27</v>
      </c>
      <c r="E184" s="2942">
        <v>52.17</v>
      </c>
      <c r="F184" s="2942"/>
      <c r="G184">
        <f t="shared" si="2"/>
        <v>0</v>
      </c>
    </row>
    <row r="185" spans="1:7">
      <c r="A185" s="2940">
        <v>184</v>
      </c>
      <c r="B185" s="2941" t="s">
        <v>3224</v>
      </c>
      <c r="C185" s="2941">
        <v>19</v>
      </c>
      <c r="D185" s="2941" t="s">
        <v>27</v>
      </c>
      <c r="E185" s="2942">
        <v>52.17</v>
      </c>
      <c r="F185" s="2942"/>
      <c r="G185">
        <f t="shared" si="2"/>
        <v>0</v>
      </c>
    </row>
    <row r="186" spans="1:7">
      <c r="A186" s="2940">
        <v>185</v>
      </c>
      <c r="B186" s="2941" t="s">
        <v>3225</v>
      </c>
      <c r="C186" s="2941">
        <v>19</v>
      </c>
      <c r="D186" s="2941" t="s">
        <v>27</v>
      </c>
      <c r="E186" s="2942">
        <v>52.17</v>
      </c>
      <c r="F186" s="2942"/>
      <c r="G186">
        <f t="shared" si="2"/>
        <v>0</v>
      </c>
    </row>
    <row r="187" spans="1:7">
      <c r="A187" s="2940">
        <v>186</v>
      </c>
      <c r="B187" s="2941" t="s">
        <v>3226</v>
      </c>
      <c r="C187" s="2941">
        <v>19</v>
      </c>
      <c r="D187" s="2941" t="s">
        <v>27</v>
      </c>
      <c r="E187" s="2942">
        <v>52.17</v>
      </c>
      <c r="F187" s="2942"/>
      <c r="G187">
        <f t="shared" si="2"/>
        <v>0</v>
      </c>
    </row>
    <row r="188" spans="1:7">
      <c r="A188" s="2940">
        <v>187</v>
      </c>
      <c r="B188" s="2941" t="s">
        <v>3227</v>
      </c>
      <c r="C188" s="2941">
        <v>19</v>
      </c>
      <c r="D188" s="2941" t="s">
        <v>27</v>
      </c>
      <c r="E188" s="2942">
        <v>80.73</v>
      </c>
      <c r="F188" s="2942"/>
      <c r="G188">
        <f t="shared" si="2"/>
        <v>0</v>
      </c>
    </row>
    <row r="189" spans="1:7">
      <c r="A189" s="2940">
        <v>188</v>
      </c>
      <c r="B189" s="2941" t="s">
        <v>3228</v>
      </c>
      <c r="C189" s="2941">
        <v>19</v>
      </c>
      <c r="D189" s="2941" t="s">
        <v>27</v>
      </c>
      <c r="E189" s="2942">
        <v>66.040000000000006</v>
      </c>
      <c r="F189" s="2942"/>
      <c r="G189">
        <f t="shared" si="2"/>
        <v>0</v>
      </c>
    </row>
    <row r="190" spans="1:7">
      <c r="A190" s="2940">
        <v>189</v>
      </c>
      <c r="B190" s="2941" t="s">
        <v>3229</v>
      </c>
      <c r="C190" s="2941">
        <v>19</v>
      </c>
      <c r="D190" s="2941" t="s">
        <v>27</v>
      </c>
      <c r="E190" s="2942">
        <v>66.040000000000006</v>
      </c>
      <c r="F190" s="2942"/>
      <c r="G190">
        <f t="shared" si="2"/>
        <v>0</v>
      </c>
    </row>
    <row r="191" spans="1:7">
      <c r="A191" s="2940">
        <v>190</v>
      </c>
      <c r="B191" s="2941" t="s">
        <v>3230</v>
      </c>
      <c r="C191" s="2941">
        <v>19</v>
      </c>
      <c r="D191" s="2941" t="s">
        <v>27</v>
      </c>
      <c r="E191" s="2942">
        <v>80.73</v>
      </c>
      <c r="F191" s="2942"/>
      <c r="G191">
        <f t="shared" si="2"/>
        <v>0</v>
      </c>
    </row>
    <row r="192" spans="1:7">
      <c r="A192" s="2940">
        <v>191</v>
      </c>
      <c r="B192" s="2941" t="s">
        <v>3231</v>
      </c>
      <c r="C192" s="2941">
        <v>19</v>
      </c>
      <c r="D192" s="2941" t="s">
        <v>27</v>
      </c>
      <c r="E192" s="2942">
        <v>52.17</v>
      </c>
      <c r="F192" s="2942"/>
      <c r="G192">
        <f t="shared" si="2"/>
        <v>0</v>
      </c>
    </row>
    <row r="193" spans="1:7">
      <c r="A193" s="2940">
        <v>192</v>
      </c>
      <c r="B193" s="2941" t="s">
        <v>3232</v>
      </c>
      <c r="C193" s="2941">
        <v>19</v>
      </c>
      <c r="D193" s="2941" t="s">
        <v>27</v>
      </c>
      <c r="E193" s="2942">
        <v>52.17</v>
      </c>
      <c r="F193" s="2942"/>
      <c r="G193">
        <f t="shared" si="2"/>
        <v>0</v>
      </c>
    </row>
    <row r="194" spans="1:7">
      <c r="A194" s="2940">
        <v>193</v>
      </c>
      <c r="B194" s="2941" t="s">
        <v>3233</v>
      </c>
      <c r="C194" s="2941">
        <v>19</v>
      </c>
      <c r="D194" s="2941" t="s">
        <v>27</v>
      </c>
      <c r="E194" s="2942">
        <v>52.17</v>
      </c>
      <c r="F194" s="2942"/>
      <c r="G194">
        <f t="shared" si="2"/>
        <v>0</v>
      </c>
    </row>
    <row r="195" spans="1:7">
      <c r="A195" s="2940">
        <v>194</v>
      </c>
      <c r="B195" s="2941" t="s">
        <v>3234</v>
      </c>
      <c r="C195" s="2941">
        <v>19</v>
      </c>
      <c r="D195" s="2941" t="s">
        <v>27</v>
      </c>
      <c r="E195" s="2942">
        <v>52.17</v>
      </c>
      <c r="F195" s="2942"/>
      <c r="G195">
        <f t="shared" ref="G195:G258" si="3">ROUND(F195/E195,0)</f>
        <v>0</v>
      </c>
    </row>
    <row r="196" spans="1:7">
      <c r="A196" s="2940">
        <v>195</v>
      </c>
      <c r="B196" s="2941" t="s">
        <v>3235</v>
      </c>
      <c r="C196" s="2941">
        <v>19</v>
      </c>
      <c r="D196" s="2941" t="s">
        <v>27</v>
      </c>
      <c r="E196" s="2942">
        <v>52.17</v>
      </c>
      <c r="F196" s="2942"/>
      <c r="G196">
        <f t="shared" si="3"/>
        <v>0</v>
      </c>
    </row>
    <row r="197" spans="1:7">
      <c r="A197" s="2940">
        <v>196</v>
      </c>
      <c r="B197" s="2941" t="s">
        <v>3236</v>
      </c>
      <c r="C197" s="2941">
        <v>19</v>
      </c>
      <c r="D197" s="2941" t="s">
        <v>27</v>
      </c>
      <c r="E197" s="2942">
        <v>52.17</v>
      </c>
      <c r="F197" s="2942"/>
      <c r="G197">
        <f t="shared" si="3"/>
        <v>0</v>
      </c>
    </row>
    <row r="198" spans="1:7">
      <c r="A198" s="2940">
        <v>197</v>
      </c>
      <c r="B198" s="2941" t="s">
        <v>3237</v>
      </c>
      <c r="C198" s="2941">
        <v>19</v>
      </c>
      <c r="D198" s="2941" t="s">
        <v>27</v>
      </c>
      <c r="E198" s="2942">
        <v>52.17</v>
      </c>
      <c r="F198" s="2942"/>
      <c r="G198">
        <f t="shared" si="3"/>
        <v>0</v>
      </c>
    </row>
    <row r="199" spans="1:7">
      <c r="A199" s="2940">
        <v>198</v>
      </c>
      <c r="B199" s="2941" t="s">
        <v>3238</v>
      </c>
      <c r="C199" s="2941">
        <v>19</v>
      </c>
      <c r="D199" s="2941" t="s">
        <v>27</v>
      </c>
      <c r="E199" s="2942">
        <v>52.17</v>
      </c>
      <c r="F199" s="2942"/>
      <c r="G199">
        <f t="shared" si="3"/>
        <v>0</v>
      </c>
    </row>
    <row r="200" spans="1:7">
      <c r="A200" s="2940">
        <v>199</v>
      </c>
      <c r="B200" s="2941" t="s">
        <v>3239</v>
      </c>
      <c r="C200" s="2941">
        <v>19</v>
      </c>
      <c r="D200" s="2941" t="s">
        <v>27</v>
      </c>
      <c r="E200" s="2942">
        <v>52.17</v>
      </c>
      <c r="F200" s="2942"/>
      <c r="G200">
        <f t="shared" si="3"/>
        <v>0</v>
      </c>
    </row>
    <row r="201" spans="1:7">
      <c r="A201" s="2940">
        <v>200</v>
      </c>
      <c r="B201" s="2941" t="s">
        <v>3240</v>
      </c>
      <c r="C201" s="2941">
        <v>19</v>
      </c>
      <c r="D201" s="2941" t="s">
        <v>27</v>
      </c>
      <c r="E201" s="2942">
        <v>52.17</v>
      </c>
      <c r="F201" s="2942"/>
      <c r="G201">
        <f t="shared" si="3"/>
        <v>0</v>
      </c>
    </row>
    <row r="202" spans="1:7">
      <c r="A202" s="2940">
        <v>201</v>
      </c>
      <c r="B202" s="2941" t="s">
        <v>3241</v>
      </c>
      <c r="C202" s="2941">
        <v>19</v>
      </c>
      <c r="D202" s="2941" t="s">
        <v>27</v>
      </c>
      <c r="E202" s="2942">
        <v>80.73</v>
      </c>
      <c r="F202" s="2942"/>
      <c r="G202">
        <f t="shared" si="3"/>
        <v>0</v>
      </c>
    </row>
    <row r="203" spans="1:7">
      <c r="A203" s="2940">
        <v>202</v>
      </c>
      <c r="B203" s="2941" t="s">
        <v>3242</v>
      </c>
      <c r="C203" s="2941">
        <v>19</v>
      </c>
      <c r="D203" s="2941" t="s">
        <v>27</v>
      </c>
      <c r="E203" s="2942">
        <v>93.08</v>
      </c>
      <c r="F203" s="2942"/>
      <c r="G203">
        <f t="shared" si="3"/>
        <v>0</v>
      </c>
    </row>
    <row r="204" spans="1:7">
      <c r="A204" s="2940">
        <v>203</v>
      </c>
      <c r="B204" s="2941" t="s">
        <v>3243</v>
      </c>
      <c r="C204" s="2941">
        <v>19</v>
      </c>
      <c r="D204" s="2941" t="s">
        <v>27</v>
      </c>
      <c r="E204" s="2942">
        <v>93.08</v>
      </c>
      <c r="F204" s="2942"/>
      <c r="G204">
        <f t="shared" si="3"/>
        <v>0</v>
      </c>
    </row>
    <row r="205" spans="1:7">
      <c r="A205" s="2940">
        <v>204</v>
      </c>
      <c r="B205" s="2941" t="s">
        <v>3244</v>
      </c>
      <c r="C205" s="2941">
        <v>20</v>
      </c>
      <c r="D205" s="2941" t="s">
        <v>27</v>
      </c>
      <c r="E205" s="2942">
        <v>80.73</v>
      </c>
      <c r="F205" s="2942"/>
      <c r="G205">
        <f t="shared" si="3"/>
        <v>0</v>
      </c>
    </row>
    <row r="206" spans="1:7">
      <c r="A206" s="2940">
        <v>205</v>
      </c>
      <c r="B206" s="2941" t="s">
        <v>3245</v>
      </c>
      <c r="C206" s="2941">
        <v>20</v>
      </c>
      <c r="D206" s="2941" t="s">
        <v>27</v>
      </c>
      <c r="E206" s="2942">
        <v>52.17</v>
      </c>
      <c r="F206" s="2942"/>
      <c r="G206">
        <f t="shared" si="3"/>
        <v>0</v>
      </c>
    </row>
    <row r="207" spans="1:7">
      <c r="A207" s="2940">
        <v>206</v>
      </c>
      <c r="B207" s="2941" t="s">
        <v>3246</v>
      </c>
      <c r="C207" s="2941">
        <v>20</v>
      </c>
      <c r="D207" s="2941" t="s">
        <v>27</v>
      </c>
      <c r="E207" s="2942">
        <v>52.17</v>
      </c>
      <c r="F207" s="2942"/>
      <c r="G207">
        <f t="shared" si="3"/>
        <v>0</v>
      </c>
    </row>
    <row r="208" spans="1:7">
      <c r="A208" s="2940">
        <v>207</v>
      </c>
      <c r="B208" s="2941" t="s">
        <v>3247</v>
      </c>
      <c r="C208" s="2941">
        <v>20</v>
      </c>
      <c r="D208" s="2941" t="s">
        <v>27</v>
      </c>
      <c r="E208" s="2942">
        <v>52.17</v>
      </c>
      <c r="F208" s="2942"/>
      <c r="G208">
        <f t="shared" si="3"/>
        <v>0</v>
      </c>
    </row>
    <row r="209" spans="1:7">
      <c r="A209" s="2940">
        <v>208</v>
      </c>
      <c r="B209" s="2941" t="s">
        <v>3248</v>
      </c>
      <c r="C209" s="2941">
        <v>20</v>
      </c>
      <c r="D209" s="2941" t="s">
        <v>27</v>
      </c>
      <c r="E209" s="2942">
        <v>52.17</v>
      </c>
      <c r="F209" s="2942"/>
      <c r="G209">
        <f t="shared" si="3"/>
        <v>0</v>
      </c>
    </row>
    <row r="210" spans="1:7">
      <c r="A210" s="2940">
        <v>209</v>
      </c>
      <c r="B210" s="2941" t="s">
        <v>3249</v>
      </c>
      <c r="C210" s="2941">
        <v>20</v>
      </c>
      <c r="D210" s="2941" t="s">
        <v>27</v>
      </c>
      <c r="E210" s="2942">
        <v>52.17</v>
      </c>
      <c r="F210" s="2942"/>
      <c r="G210">
        <f t="shared" si="3"/>
        <v>0</v>
      </c>
    </row>
    <row r="211" spans="1:7">
      <c r="A211" s="2940">
        <v>210</v>
      </c>
      <c r="B211" s="2941" t="s">
        <v>3250</v>
      </c>
      <c r="C211" s="2941">
        <v>20</v>
      </c>
      <c r="D211" s="2941" t="s">
        <v>27</v>
      </c>
      <c r="E211" s="2942">
        <v>52.17</v>
      </c>
      <c r="F211" s="2942"/>
      <c r="G211">
        <f t="shared" si="3"/>
        <v>0</v>
      </c>
    </row>
    <row r="212" spans="1:7">
      <c r="A212" s="2940">
        <v>211</v>
      </c>
      <c r="B212" s="2941" t="s">
        <v>3251</v>
      </c>
      <c r="C212" s="2941">
        <v>20</v>
      </c>
      <c r="D212" s="2941" t="s">
        <v>27</v>
      </c>
      <c r="E212" s="2942">
        <v>52.17</v>
      </c>
      <c r="F212" s="2942"/>
      <c r="G212">
        <f t="shared" si="3"/>
        <v>0</v>
      </c>
    </row>
    <row r="213" spans="1:7">
      <c r="A213" s="2940">
        <v>212</v>
      </c>
      <c r="B213" s="2941" t="s">
        <v>3252</v>
      </c>
      <c r="C213" s="2941">
        <v>20</v>
      </c>
      <c r="D213" s="2941" t="s">
        <v>27</v>
      </c>
      <c r="E213" s="2942">
        <v>52.17</v>
      </c>
      <c r="F213" s="2942"/>
      <c r="G213">
        <f t="shared" si="3"/>
        <v>0</v>
      </c>
    </row>
    <row r="214" spans="1:7">
      <c r="A214" s="2940">
        <v>213</v>
      </c>
      <c r="B214" s="2941" t="s">
        <v>3253</v>
      </c>
      <c r="C214" s="2941">
        <v>20</v>
      </c>
      <c r="D214" s="2941" t="s">
        <v>27</v>
      </c>
      <c r="E214" s="2942">
        <v>52.17</v>
      </c>
      <c r="F214" s="2942"/>
      <c r="G214">
        <f t="shared" si="3"/>
        <v>0</v>
      </c>
    </row>
    <row r="215" spans="1:7">
      <c r="A215" s="2940">
        <v>214</v>
      </c>
      <c r="B215" s="2941" t="s">
        <v>3254</v>
      </c>
      <c r="C215" s="2941">
        <v>20</v>
      </c>
      <c r="D215" s="2941" t="s">
        <v>27</v>
      </c>
      <c r="E215" s="2942">
        <v>52.17</v>
      </c>
      <c r="F215" s="2942"/>
      <c r="G215">
        <f t="shared" si="3"/>
        <v>0</v>
      </c>
    </row>
    <row r="216" spans="1:7">
      <c r="A216" s="2940">
        <v>215</v>
      </c>
      <c r="B216" s="2941" t="s">
        <v>3255</v>
      </c>
      <c r="C216" s="2941">
        <v>20</v>
      </c>
      <c r="D216" s="2941" t="s">
        <v>27</v>
      </c>
      <c r="E216" s="2942">
        <v>80.73</v>
      </c>
      <c r="F216" s="2942"/>
      <c r="G216">
        <f t="shared" si="3"/>
        <v>0</v>
      </c>
    </row>
    <row r="217" spans="1:7">
      <c r="A217" s="2940">
        <v>216</v>
      </c>
      <c r="B217" s="2941" t="s">
        <v>3256</v>
      </c>
      <c r="C217" s="2941">
        <v>20</v>
      </c>
      <c r="D217" s="2941" t="s">
        <v>27</v>
      </c>
      <c r="E217" s="2942">
        <v>66.040000000000006</v>
      </c>
      <c r="F217" s="2942"/>
      <c r="G217">
        <f t="shared" si="3"/>
        <v>0</v>
      </c>
    </row>
    <row r="218" spans="1:7">
      <c r="A218" s="2940">
        <v>217</v>
      </c>
      <c r="B218" s="2941" t="s">
        <v>3257</v>
      </c>
      <c r="C218" s="2941">
        <v>20</v>
      </c>
      <c r="D218" s="2941" t="s">
        <v>27</v>
      </c>
      <c r="E218" s="2942">
        <v>66.040000000000006</v>
      </c>
      <c r="F218" s="2942"/>
      <c r="G218">
        <f t="shared" si="3"/>
        <v>0</v>
      </c>
    </row>
    <row r="219" spans="1:7">
      <c r="A219" s="2940">
        <v>218</v>
      </c>
      <c r="B219" s="2941" t="s">
        <v>3258</v>
      </c>
      <c r="C219" s="2941">
        <v>20</v>
      </c>
      <c r="D219" s="2941" t="s">
        <v>27</v>
      </c>
      <c r="E219" s="2942">
        <v>80.73</v>
      </c>
      <c r="F219" s="2942"/>
      <c r="G219">
        <f t="shared" si="3"/>
        <v>0</v>
      </c>
    </row>
    <row r="220" spans="1:7">
      <c r="A220" s="2940">
        <v>219</v>
      </c>
      <c r="B220" s="2941" t="s">
        <v>3259</v>
      </c>
      <c r="C220" s="2941">
        <v>20</v>
      </c>
      <c r="D220" s="2941" t="s">
        <v>27</v>
      </c>
      <c r="E220" s="2942">
        <v>52.17</v>
      </c>
      <c r="F220" s="2942"/>
      <c r="G220">
        <f t="shared" si="3"/>
        <v>0</v>
      </c>
    </row>
    <row r="221" spans="1:7">
      <c r="A221" s="2940">
        <v>220</v>
      </c>
      <c r="B221" s="2941" t="s">
        <v>3260</v>
      </c>
      <c r="C221" s="2941">
        <v>20</v>
      </c>
      <c r="D221" s="2941" t="s">
        <v>27</v>
      </c>
      <c r="E221" s="2942">
        <v>52.17</v>
      </c>
      <c r="F221" s="2942"/>
      <c r="G221">
        <f t="shared" si="3"/>
        <v>0</v>
      </c>
    </row>
    <row r="222" spans="1:7">
      <c r="A222" s="2940">
        <v>221</v>
      </c>
      <c r="B222" s="2941" t="s">
        <v>3261</v>
      </c>
      <c r="C222" s="2941">
        <v>20</v>
      </c>
      <c r="D222" s="2941" t="s">
        <v>27</v>
      </c>
      <c r="E222" s="2942">
        <v>52.17</v>
      </c>
      <c r="F222" s="2942"/>
      <c r="G222">
        <f t="shared" si="3"/>
        <v>0</v>
      </c>
    </row>
    <row r="223" spans="1:7">
      <c r="A223" s="2940">
        <v>222</v>
      </c>
      <c r="B223" s="2941" t="s">
        <v>3262</v>
      </c>
      <c r="C223" s="2941">
        <v>20</v>
      </c>
      <c r="D223" s="2941" t="s">
        <v>27</v>
      </c>
      <c r="E223" s="2942">
        <v>52.17</v>
      </c>
      <c r="F223" s="2942"/>
      <c r="G223">
        <f t="shared" si="3"/>
        <v>0</v>
      </c>
    </row>
    <row r="224" spans="1:7">
      <c r="A224" s="2940">
        <v>223</v>
      </c>
      <c r="B224" s="2941" t="s">
        <v>3263</v>
      </c>
      <c r="C224" s="2941">
        <v>20</v>
      </c>
      <c r="D224" s="2941" t="s">
        <v>27</v>
      </c>
      <c r="E224" s="2942">
        <v>52.17</v>
      </c>
      <c r="F224" s="2942"/>
      <c r="G224">
        <f t="shared" si="3"/>
        <v>0</v>
      </c>
    </row>
    <row r="225" spans="1:7">
      <c r="A225" s="2940">
        <v>224</v>
      </c>
      <c r="B225" s="2941" t="s">
        <v>3264</v>
      </c>
      <c r="C225" s="2941">
        <v>20</v>
      </c>
      <c r="D225" s="2941" t="s">
        <v>27</v>
      </c>
      <c r="E225" s="2942">
        <v>52.17</v>
      </c>
      <c r="F225" s="2942"/>
      <c r="G225">
        <f t="shared" si="3"/>
        <v>0</v>
      </c>
    </row>
    <row r="226" spans="1:7">
      <c r="A226" s="2940">
        <v>225</v>
      </c>
      <c r="B226" s="2941" t="s">
        <v>3265</v>
      </c>
      <c r="C226" s="2941">
        <v>20</v>
      </c>
      <c r="D226" s="2941" t="s">
        <v>27</v>
      </c>
      <c r="E226" s="2942">
        <v>52.17</v>
      </c>
      <c r="F226" s="2942"/>
      <c r="G226">
        <f t="shared" si="3"/>
        <v>0</v>
      </c>
    </row>
    <row r="227" spans="1:7">
      <c r="A227" s="2940">
        <v>226</v>
      </c>
      <c r="B227" s="2941" t="s">
        <v>3266</v>
      </c>
      <c r="C227" s="2941">
        <v>20</v>
      </c>
      <c r="D227" s="2941" t="s">
        <v>27</v>
      </c>
      <c r="E227" s="2942">
        <v>52.17</v>
      </c>
      <c r="F227" s="2942"/>
      <c r="G227">
        <f t="shared" si="3"/>
        <v>0</v>
      </c>
    </row>
    <row r="228" spans="1:7">
      <c r="A228" s="2940">
        <v>227</v>
      </c>
      <c r="B228" s="2941" t="s">
        <v>3267</v>
      </c>
      <c r="C228" s="2941">
        <v>20</v>
      </c>
      <c r="D228" s="2941" t="s">
        <v>27</v>
      </c>
      <c r="E228" s="2942">
        <v>52.17</v>
      </c>
      <c r="F228" s="2942"/>
      <c r="G228">
        <f t="shared" si="3"/>
        <v>0</v>
      </c>
    </row>
    <row r="229" spans="1:7">
      <c r="A229" s="2940">
        <v>228</v>
      </c>
      <c r="B229" s="2941" t="s">
        <v>3268</v>
      </c>
      <c r="C229" s="2941">
        <v>20</v>
      </c>
      <c r="D229" s="2941" t="s">
        <v>27</v>
      </c>
      <c r="E229" s="2942">
        <v>52.17</v>
      </c>
      <c r="F229" s="2942"/>
      <c r="G229">
        <f t="shared" si="3"/>
        <v>0</v>
      </c>
    </row>
    <row r="230" spans="1:7">
      <c r="A230" s="2940">
        <v>229</v>
      </c>
      <c r="B230" s="2941" t="s">
        <v>3269</v>
      </c>
      <c r="C230" s="2941">
        <v>20</v>
      </c>
      <c r="D230" s="2941" t="s">
        <v>27</v>
      </c>
      <c r="E230" s="2942">
        <v>80.73</v>
      </c>
      <c r="F230" s="2942"/>
      <c r="G230">
        <f t="shared" si="3"/>
        <v>0</v>
      </c>
    </row>
    <row r="231" spans="1:7">
      <c r="A231" s="2940">
        <v>230</v>
      </c>
      <c r="B231" s="2941" t="s">
        <v>3270</v>
      </c>
      <c r="C231" s="2941">
        <v>20</v>
      </c>
      <c r="D231" s="2941" t="s">
        <v>27</v>
      </c>
      <c r="E231" s="2942">
        <v>93.08</v>
      </c>
      <c r="F231" s="2942"/>
      <c r="G231">
        <f t="shared" si="3"/>
        <v>0</v>
      </c>
    </row>
    <row r="232" spans="1:7">
      <c r="A232" s="2940">
        <v>231</v>
      </c>
      <c r="B232" s="2941" t="s">
        <v>3271</v>
      </c>
      <c r="C232" s="2941">
        <v>20</v>
      </c>
      <c r="D232" s="2941" t="s">
        <v>27</v>
      </c>
      <c r="E232" s="2942">
        <v>93.08</v>
      </c>
      <c r="F232" s="2942"/>
      <c r="G232">
        <f t="shared" si="3"/>
        <v>0</v>
      </c>
    </row>
    <row r="233" spans="1:7">
      <c r="A233" s="2940">
        <v>232</v>
      </c>
      <c r="B233" s="2941" t="s">
        <v>3272</v>
      </c>
      <c r="C233" s="2941">
        <v>21</v>
      </c>
      <c r="D233" s="2941" t="s">
        <v>27</v>
      </c>
      <c r="E233" s="2942">
        <v>80.73</v>
      </c>
      <c r="F233" s="2942"/>
      <c r="G233">
        <f t="shared" si="3"/>
        <v>0</v>
      </c>
    </row>
    <row r="234" spans="1:7">
      <c r="A234" s="2940">
        <v>233</v>
      </c>
      <c r="B234" s="2941" t="s">
        <v>3273</v>
      </c>
      <c r="C234" s="2941">
        <v>21</v>
      </c>
      <c r="D234" s="2941" t="s">
        <v>27</v>
      </c>
      <c r="E234" s="2942">
        <v>52.17</v>
      </c>
      <c r="F234" s="2942"/>
      <c r="G234">
        <f t="shared" si="3"/>
        <v>0</v>
      </c>
    </row>
    <row r="235" spans="1:7">
      <c r="A235" s="2940">
        <v>234</v>
      </c>
      <c r="B235" s="2941" t="s">
        <v>3274</v>
      </c>
      <c r="C235" s="2941">
        <v>21</v>
      </c>
      <c r="D235" s="2941" t="s">
        <v>27</v>
      </c>
      <c r="E235" s="2942">
        <v>52.17</v>
      </c>
      <c r="F235" s="2942"/>
      <c r="G235">
        <f t="shared" si="3"/>
        <v>0</v>
      </c>
    </row>
    <row r="236" spans="1:7">
      <c r="A236" s="2940">
        <v>235</v>
      </c>
      <c r="B236" s="2941" t="s">
        <v>3275</v>
      </c>
      <c r="C236" s="2941">
        <v>21</v>
      </c>
      <c r="D236" s="2941" t="s">
        <v>27</v>
      </c>
      <c r="E236" s="2942">
        <v>52.17</v>
      </c>
      <c r="F236" s="2942"/>
      <c r="G236">
        <f t="shared" si="3"/>
        <v>0</v>
      </c>
    </row>
    <row r="237" spans="1:7">
      <c r="A237" s="2940">
        <v>236</v>
      </c>
      <c r="B237" s="2941" t="s">
        <v>3276</v>
      </c>
      <c r="C237" s="2941">
        <v>21</v>
      </c>
      <c r="D237" s="2941" t="s">
        <v>27</v>
      </c>
      <c r="E237" s="2942">
        <v>52.17</v>
      </c>
      <c r="F237" s="2942"/>
      <c r="G237">
        <f t="shared" si="3"/>
        <v>0</v>
      </c>
    </row>
    <row r="238" spans="1:7">
      <c r="A238" s="2940">
        <v>237</v>
      </c>
      <c r="B238" s="2941" t="s">
        <v>3277</v>
      </c>
      <c r="C238" s="2941">
        <v>21</v>
      </c>
      <c r="D238" s="2941" t="s">
        <v>27</v>
      </c>
      <c r="E238" s="2942">
        <v>52.17</v>
      </c>
      <c r="F238" s="2942"/>
      <c r="G238">
        <f t="shared" si="3"/>
        <v>0</v>
      </c>
    </row>
    <row r="239" spans="1:7">
      <c r="A239" s="2940">
        <v>238</v>
      </c>
      <c r="B239" s="2941" t="s">
        <v>3278</v>
      </c>
      <c r="C239" s="2941">
        <v>21</v>
      </c>
      <c r="D239" s="2941" t="s">
        <v>27</v>
      </c>
      <c r="E239" s="2942">
        <v>52.17</v>
      </c>
      <c r="F239" s="2942"/>
      <c r="G239">
        <f t="shared" si="3"/>
        <v>0</v>
      </c>
    </row>
    <row r="240" spans="1:7">
      <c r="A240" s="2940">
        <v>239</v>
      </c>
      <c r="B240" s="2941" t="s">
        <v>3279</v>
      </c>
      <c r="C240" s="2941">
        <v>21</v>
      </c>
      <c r="D240" s="2941" t="s">
        <v>27</v>
      </c>
      <c r="E240" s="2942">
        <v>52.17</v>
      </c>
      <c r="F240" s="2942"/>
      <c r="G240">
        <f t="shared" si="3"/>
        <v>0</v>
      </c>
    </row>
    <row r="241" spans="1:7">
      <c r="A241" s="2940">
        <v>240</v>
      </c>
      <c r="B241" s="2941" t="s">
        <v>3280</v>
      </c>
      <c r="C241" s="2941">
        <v>21</v>
      </c>
      <c r="D241" s="2941" t="s">
        <v>27</v>
      </c>
      <c r="E241" s="2942">
        <v>52.17</v>
      </c>
      <c r="F241" s="2942"/>
      <c r="G241">
        <f t="shared" si="3"/>
        <v>0</v>
      </c>
    </row>
    <row r="242" spans="1:7">
      <c r="A242" s="2940">
        <v>241</v>
      </c>
      <c r="B242" s="2941" t="s">
        <v>3281</v>
      </c>
      <c r="C242" s="2941">
        <v>21</v>
      </c>
      <c r="D242" s="2941" t="s">
        <v>27</v>
      </c>
      <c r="E242" s="2942">
        <v>52.17</v>
      </c>
      <c r="F242" s="2942"/>
      <c r="G242">
        <f t="shared" si="3"/>
        <v>0</v>
      </c>
    </row>
    <row r="243" spans="1:7">
      <c r="A243" s="2940">
        <v>242</v>
      </c>
      <c r="B243" s="2941" t="s">
        <v>3282</v>
      </c>
      <c r="C243" s="2941">
        <v>21</v>
      </c>
      <c r="D243" s="2941" t="s">
        <v>27</v>
      </c>
      <c r="E243" s="2942">
        <v>52.17</v>
      </c>
      <c r="F243" s="2942"/>
      <c r="G243">
        <f t="shared" si="3"/>
        <v>0</v>
      </c>
    </row>
    <row r="244" spans="1:7">
      <c r="A244" s="2940">
        <v>243</v>
      </c>
      <c r="B244" s="2941" t="s">
        <v>3283</v>
      </c>
      <c r="C244" s="2941">
        <v>21</v>
      </c>
      <c r="D244" s="2941" t="s">
        <v>27</v>
      </c>
      <c r="E244" s="2942">
        <v>80.73</v>
      </c>
      <c r="F244" s="2942"/>
      <c r="G244">
        <f t="shared" si="3"/>
        <v>0</v>
      </c>
    </row>
    <row r="245" spans="1:7">
      <c r="A245" s="2940">
        <v>244</v>
      </c>
      <c r="B245" s="2941" t="s">
        <v>3284</v>
      </c>
      <c r="C245" s="2941">
        <v>21</v>
      </c>
      <c r="D245" s="2941" t="s">
        <v>27</v>
      </c>
      <c r="E245" s="2942">
        <v>66.040000000000006</v>
      </c>
      <c r="F245" s="2942"/>
      <c r="G245">
        <f t="shared" si="3"/>
        <v>0</v>
      </c>
    </row>
    <row r="246" spans="1:7">
      <c r="A246" s="2940">
        <v>245</v>
      </c>
      <c r="B246" s="2941" t="s">
        <v>3285</v>
      </c>
      <c r="C246" s="2941">
        <v>21</v>
      </c>
      <c r="D246" s="2941" t="s">
        <v>27</v>
      </c>
      <c r="E246" s="2942">
        <v>66.040000000000006</v>
      </c>
      <c r="F246" s="2942"/>
      <c r="G246">
        <f t="shared" si="3"/>
        <v>0</v>
      </c>
    </row>
    <row r="247" spans="1:7">
      <c r="A247" s="2940">
        <v>246</v>
      </c>
      <c r="B247" s="2941" t="s">
        <v>3286</v>
      </c>
      <c r="C247" s="2941">
        <v>21</v>
      </c>
      <c r="D247" s="2941" t="s">
        <v>27</v>
      </c>
      <c r="E247" s="2942">
        <v>80.73</v>
      </c>
      <c r="F247" s="2942"/>
      <c r="G247">
        <f t="shared" si="3"/>
        <v>0</v>
      </c>
    </row>
    <row r="248" spans="1:7">
      <c r="A248" s="2940">
        <v>247</v>
      </c>
      <c r="B248" s="2941" t="s">
        <v>3287</v>
      </c>
      <c r="C248" s="2941">
        <v>21</v>
      </c>
      <c r="D248" s="2941" t="s">
        <v>27</v>
      </c>
      <c r="E248" s="2942">
        <v>52.17</v>
      </c>
      <c r="F248" s="2942"/>
      <c r="G248">
        <f t="shared" si="3"/>
        <v>0</v>
      </c>
    </row>
    <row r="249" spans="1:7">
      <c r="A249" s="2940">
        <v>248</v>
      </c>
      <c r="B249" s="2941" t="s">
        <v>3288</v>
      </c>
      <c r="C249" s="2941">
        <v>21</v>
      </c>
      <c r="D249" s="2941" t="s">
        <v>27</v>
      </c>
      <c r="E249" s="2942">
        <v>52.17</v>
      </c>
      <c r="F249" s="2942"/>
      <c r="G249">
        <f t="shared" si="3"/>
        <v>0</v>
      </c>
    </row>
    <row r="250" spans="1:7">
      <c r="A250" s="2940">
        <v>249</v>
      </c>
      <c r="B250" s="2941" t="s">
        <v>3289</v>
      </c>
      <c r="C250" s="2941">
        <v>21</v>
      </c>
      <c r="D250" s="2941" t="s">
        <v>27</v>
      </c>
      <c r="E250" s="2942">
        <v>52.17</v>
      </c>
      <c r="F250" s="2942"/>
      <c r="G250">
        <f t="shared" si="3"/>
        <v>0</v>
      </c>
    </row>
    <row r="251" spans="1:7">
      <c r="A251" s="2940">
        <v>250</v>
      </c>
      <c r="B251" s="2941" t="s">
        <v>3290</v>
      </c>
      <c r="C251" s="2941">
        <v>21</v>
      </c>
      <c r="D251" s="2941" t="s">
        <v>27</v>
      </c>
      <c r="E251" s="2942">
        <v>52.17</v>
      </c>
      <c r="F251" s="2942"/>
      <c r="G251">
        <f t="shared" si="3"/>
        <v>0</v>
      </c>
    </row>
    <row r="252" spans="1:7">
      <c r="A252" s="2940">
        <v>251</v>
      </c>
      <c r="B252" s="2941" t="s">
        <v>3291</v>
      </c>
      <c r="C252" s="2941">
        <v>21</v>
      </c>
      <c r="D252" s="2941" t="s">
        <v>27</v>
      </c>
      <c r="E252" s="2942">
        <v>52.17</v>
      </c>
      <c r="F252" s="2942"/>
      <c r="G252">
        <f t="shared" si="3"/>
        <v>0</v>
      </c>
    </row>
    <row r="253" spans="1:7">
      <c r="A253" s="2940">
        <v>252</v>
      </c>
      <c r="B253" s="2941" t="s">
        <v>3292</v>
      </c>
      <c r="C253" s="2941">
        <v>21</v>
      </c>
      <c r="D253" s="2941" t="s">
        <v>27</v>
      </c>
      <c r="E253" s="2942">
        <v>52.17</v>
      </c>
      <c r="F253" s="2942"/>
      <c r="G253">
        <f t="shared" si="3"/>
        <v>0</v>
      </c>
    </row>
    <row r="254" spans="1:7">
      <c r="A254" s="2940">
        <v>253</v>
      </c>
      <c r="B254" s="2941" t="s">
        <v>3293</v>
      </c>
      <c r="C254" s="2941">
        <v>21</v>
      </c>
      <c r="D254" s="2941" t="s">
        <v>27</v>
      </c>
      <c r="E254" s="2942">
        <v>52.17</v>
      </c>
      <c r="F254" s="2942"/>
      <c r="G254">
        <f t="shared" si="3"/>
        <v>0</v>
      </c>
    </row>
    <row r="255" spans="1:7">
      <c r="A255" s="2940">
        <v>254</v>
      </c>
      <c r="B255" s="2941" t="s">
        <v>3294</v>
      </c>
      <c r="C255" s="2941">
        <v>21</v>
      </c>
      <c r="D255" s="2941" t="s">
        <v>27</v>
      </c>
      <c r="E255" s="2942">
        <v>52.17</v>
      </c>
      <c r="F255" s="2942"/>
      <c r="G255">
        <f t="shared" si="3"/>
        <v>0</v>
      </c>
    </row>
    <row r="256" spans="1:7">
      <c r="A256" s="2940">
        <v>255</v>
      </c>
      <c r="B256" s="2941" t="s">
        <v>3295</v>
      </c>
      <c r="C256" s="2941">
        <v>21</v>
      </c>
      <c r="D256" s="2941" t="s">
        <v>27</v>
      </c>
      <c r="E256" s="2942">
        <v>52.17</v>
      </c>
      <c r="F256" s="2942"/>
      <c r="G256">
        <f t="shared" si="3"/>
        <v>0</v>
      </c>
    </row>
    <row r="257" spans="1:7">
      <c r="A257" s="2940">
        <v>256</v>
      </c>
      <c r="B257" s="2941" t="s">
        <v>3296</v>
      </c>
      <c r="C257" s="2941">
        <v>21</v>
      </c>
      <c r="D257" s="2941" t="s">
        <v>27</v>
      </c>
      <c r="E257" s="2942">
        <v>52.17</v>
      </c>
      <c r="F257" s="2942"/>
      <c r="G257">
        <f t="shared" si="3"/>
        <v>0</v>
      </c>
    </row>
    <row r="258" spans="1:7">
      <c r="A258" s="2940">
        <v>257</v>
      </c>
      <c r="B258" s="2941" t="s">
        <v>3297</v>
      </c>
      <c r="C258" s="2941">
        <v>21</v>
      </c>
      <c r="D258" s="2941" t="s">
        <v>27</v>
      </c>
      <c r="E258" s="2942">
        <v>80.73</v>
      </c>
      <c r="F258" s="2942"/>
      <c r="G258">
        <f t="shared" si="3"/>
        <v>0</v>
      </c>
    </row>
    <row r="259" spans="1:7">
      <c r="A259" s="2940">
        <v>258</v>
      </c>
      <c r="B259" s="2941" t="s">
        <v>3298</v>
      </c>
      <c r="C259" s="2941">
        <v>21</v>
      </c>
      <c r="D259" s="2941" t="s">
        <v>27</v>
      </c>
      <c r="E259" s="2942">
        <v>93.08</v>
      </c>
      <c r="F259" s="2942"/>
      <c r="G259">
        <f t="shared" ref="G259:G322" si="4">ROUND(F259/E259,0)</f>
        <v>0</v>
      </c>
    </row>
    <row r="260" spans="1:7">
      <c r="A260" s="2940">
        <v>259</v>
      </c>
      <c r="B260" s="2941" t="s">
        <v>3299</v>
      </c>
      <c r="C260" s="2941">
        <v>21</v>
      </c>
      <c r="D260" s="2941" t="s">
        <v>27</v>
      </c>
      <c r="E260" s="2942">
        <v>93.08</v>
      </c>
      <c r="F260" s="2942"/>
      <c r="G260">
        <f t="shared" si="4"/>
        <v>0</v>
      </c>
    </row>
    <row r="261" spans="1:7">
      <c r="A261" s="2940">
        <v>260</v>
      </c>
      <c r="B261" s="2941" t="s">
        <v>3300</v>
      </c>
      <c r="C261" s="2941">
        <v>22</v>
      </c>
      <c r="D261" s="2941" t="s">
        <v>27</v>
      </c>
      <c r="E261" s="2942">
        <v>80.73</v>
      </c>
      <c r="F261" s="2942"/>
      <c r="G261">
        <f t="shared" si="4"/>
        <v>0</v>
      </c>
    </row>
    <row r="262" spans="1:7">
      <c r="A262" s="2940">
        <v>261</v>
      </c>
      <c r="B262" s="2941" t="s">
        <v>3301</v>
      </c>
      <c r="C262" s="2941">
        <v>22</v>
      </c>
      <c r="D262" s="2941" t="s">
        <v>27</v>
      </c>
      <c r="E262" s="2942">
        <v>52.17</v>
      </c>
      <c r="F262" s="2942"/>
      <c r="G262">
        <f t="shared" si="4"/>
        <v>0</v>
      </c>
    </row>
    <row r="263" spans="1:7">
      <c r="A263" s="2940">
        <v>262</v>
      </c>
      <c r="B263" s="2941" t="s">
        <v>3302</v>
      </c>
      <c r="C263" s="2941">
        <v>22</v>
      </c>
      <c r="D263" s="2941" t="s">
        <v>27</v>
      </c>
      <c r="E263" s="2942">
        <v>52.17</v>
      </c>
      <c r="F263" s="2942"/>
      <c r="G263">
        <f t="shared" si="4"/>
        <v>0</v>
      </c>
    </row>
    <row r="264" spans="1:7">
      <c r="A264" s="2940">
        <v>263</v>
      </c>
      <c r="B264" s="2941" t="s">
        <v>3303</v>
      </c>
      <c r="C264" s="2941">
        <v>22</v>
      </c>
      <c r="D264" s="2941" t="s">
        <v>27</v>
      </c>
      <c r="E264" s="2942">
        <v>52.17</v>
      </c>
      <c r="F264" s="2942"/>
      <c r="G264">
        <f t="shared" si="4"/>
        <v>0</v>
      </c>
    </row>
    <row r="265" spans="1:7">
      <c r="A265" s="2940">
        <v>264</v>
      </c>
      <c r="B265" s="2941" t="s">
        <v>3304</v>
      </c>
      <c r="C265" s="2941">
        <v>22</v>
      </c>
      <c r="D265" s="2941" t="s">
        <v>27</v>
      </c>
      <c r="E265" s="2942">
        <v>52.17</v>
      </c>
      <c r="F265" s="2942"/>
      <c r="G265">
        <f t="shared" si="4"/>
        <v>0</v>
      </c>
    </row>
    <row r="266" spans="1:7">
      <c r="A266" s="2940">
        <v>265</v>
      </c>
      <c r="B266" s="2941" t="s">
        <v>3305</v>
      </c>
      <c r="C266" s="2941">
        <v>22</v>
      </c>
      <c r="D266" s="2941" t="s">
        <v>27</v>
      </c>
      <c r="E266" s="2942">
        <v>52.17</v>
      </c>
      <c r="F266" s="2942"/>
      <c r="G266">
        <f t="shared" si="4"/>
        <v>0</v>
      </c>
    </row>
    <row r="267" spans="1:7">
      <c r="A267" s="2940">
        <v>266</v>
      </c>
      <c r="B267" s="2941" t="s">
        <v>3306</v>
      </c>
      <c r="C267" s="2941">
        <v>22</v>
      </c>
      <c r="D267" s="2941" t="s">
        <v>27</v>
      </c>
      <c r="E267" s="2942">
        <v>52.17</v>
      </c>
      <c r="F267" s="2942"/>
      <c r="G267">
        <f t="shared" si="4"/>
        <v>0</v>
      </c>
    </row>
    <row r="268" spans="1:7">
      <c r="A268" s="2940">
        <v>267</v>
      </c>
      <c r="B268" s="2941" t="s">
        <v>3307</v>
      </c>
      <c r="C268" s="2941">
        <v>22</v>
      </c>
      <c r="D268" s="2941" t="s">
        <v>27</v>
      </c>
      <c r="E268" s="2942">
        <v>52.17</v>
      </c>
      <c r="F268" s="2942"/>
      <c r="G268">
        <f t="shared" si="4"/>
        <v>0</v>
      </c>
    </row>
    <row r="269" spans="1:7">
      <c r="A269" s="2940">
        <v>268</v>
      </c>
      <c r="B269" s="2941" t="s">
        <v>3308</v>
      </c>
      <c r="C269" s="2941">
        <v>22</v>
      </c>
      <c r="D269" s="2941" t="s">
        <v>27</v>
      </c>
      <c r="E269" s="2942">
        <v>52.17</v>
      </c>
      <c r="F269" s="2942"/>
      <c r="G269">
        <f t="shared" si="4"/>
        <v>0</v>
      </c>
    </row>
    <row r="270" spans="1:7">
      <c r="A270" s="2940">
        <v>269</v>
      </c>
      <c r="B270" s="2941" t="s">
        <v>3309</v>
      </c>
      <c r="C270" s="2941">
        <v>22</v>
      </c>
      <c r="D270" s="2941" t="s">
        <v>27</v>
      </c>
      <c r="E270" s="2942">
        <v>52.17</v>
      </c>
      <c r="F270" s="2942"/>
      <c r="G270">
        <f t="shared" si="4"/>
        <v>0</v>
      </c>
    </row>
    <row r="271" spans="1:7">
      <c r="A271" s="2940">
        <v>270</v>
      </c>
      <c r="B271" s="2941" t="s">
        <v>3310</v>
      </c>
      <c r="C271" s="2941">
        <v>22</v>
      </c>
      <c r="D271" s="2941" t="s">
        <v>27</v>
      </c>
      <c r="E271" s="2942">
        <v>52.17</v>
      </c>
      <c r="F271" s="2942"/>
      <c r="G271">
        <f t="shared" si="4"/>
        <v>0</v>
      </c>
    </row>
    <row r="272" spans="1:7">
      <c r="A272" s="2940">
        <v>271</v>
      </c>
      <c r="B272" s="2941" t="s">
        <v>3311</v>
      </c>
      <c r="C272" s="2941">
        <v>22</v>
      </c>
      <c r="D272" s="2941" t="s">
        <v>27</v>
      </c>
      <c r="E272" s="2942">
        <v>80.73</v>
      </c>
      <c r="F272" s="2942"/>
      <c r="G272">
        <f t="shared" si="4"/>
        <v>0</v>
      </c>
    </row>
    <row r="273" spans="1:7">
      <c r="A273" s="2940">
        <v>272</v>
      </c>
      <c r="B273" s="2941" t="s">
        <v>3312</v>
      </c>
      <c r="C273" s="2941">
        <v>22</v>
      </c>
      <c r="D273" s="2941" t="s">
        <v>27</v>
      </c>
      <c r="E273" s="2942">
        <v>67.36</v>
      </c>
      <c r="F273" s="2942"/>
      <c r="G273">
        <f t="shared" si="4"/>
        <v>0</v>
      </c>
    </row>
    <row r="274" spans="1:7">
      <c r="A274" s="2940">
        <v>273</v>
      </c>
      <c r="B274" s="2941" t="s">
        <v>3313</v>
      </c>
      <c r="C274" s="2941">
        <v>22</v>
      </c>
      <c r="D274" s="2941" t="s">
        <v>27</v>
      </c>
      <c r="E274" s="2942">
        <v>67.36</v>
      </c>
      <c r="F274" s="2942"/>
      <c r="G274">
        <f t="shared" si="4"/>
        <v>0</v>
      </c>
    </row>
    <row r="275" spans="1:7">
      <c r="A275" s="2940">
        <v>274</v>
      </c>
      <c r="B275" s="2941" t="s">
        <v>3314</v>
      </c>
      <c r="C275" s="2941">
        <v>22</v>
      </c>
      <c r="D275" s="2941" t="s">
        <v>27</v>
      </c>
      <c r="E275" s="2942">
        <v>80.73</v>
      </c>
      <c r="F275" s="2942"/>
      <c r="G275">
        <f t="shared" si="4"/>
        <v>0</v>
      </c>
    </row>
    <row r="276" spans="1:7">
      <c r="A276" s="2940">
        <v>275</v>
      </c>
      <c r="B276" s="2941" t="s">
        <v>3315</v>
      </c>
      <c r="C276" s="2941">
        <v>22</v>
      </c>
      <c r="D276" s="2941" t="s">
        <v>27</v>
      </c>
      <c r="E276" s="2942">
        <v>52.17</v>
      </c>
      <c r="F276" s="2942"/>
      <c r="G276">
        <f t="shared" si="4"/>
        <v>0</v>
      </c>
    </row>
    <row r="277" spans="1:7">
      <c r="A277" s="2940">
        <v>276</v>
      </c>
      <c r="B277" s="2941" t="s">
        <v>3316</v>
      </c>
      <c r="C277" s="2941">
        <v>22</v>
      </c>
      <c r="D277" s="2941" t="s">
        <v>27</v>
      </c>
      <c r="E277" s="2942">
        <v>52.17</v>
      </c>
      <c r="F277" s="2942"/>
      <c r="G277">
        <f t="shared" si="4"/>
        <v>0</v>
      </c>
    </row>
    <row r="278" spans="1:7">
      <c r="A278" s="2940">
        <v>277</v>
      </c>
      <c r="B278" s="2941" t="s">
        <v>3317</v>
      </c>
      <c r="C278" s="2941">
        <v>22</v>
      </c>
      <c r="D278" s="2941" t="s">
        <v>27</v>
      </c>
      <c r="E278" s="2942">
        <v>52.17</v>
      </c>
      <c r="F278" s="2942"/>
      <c r="G278">
        <f t="shared" si="4"/>
        <v>0</v>
      </c>
    </row>
    <row r="279" spans="1:7">
      <c r="A279" s="2940">
        <v>278</v>
      </c>
      <c r="B279" s="2941" t="s">
        <v>3318</v>
      </c>
      <c r="C279" s="2941">
        <v>22</v>
      </c>
      <c r="D279" s="2941" t="s">
        <v>27</v>
      </c>
      <c r="E279" s="2942">
        <v>52.17</v>
      </c>
      <c r="F279" s="2942"/>
      <c r="G279">
        <f t="shared" si="4"/>
        <v>0</v>
      </c>
    </row>
    <row r="280" spans="1:7">
      <c r="A280" s="2940">
        <v>279</v>
      </c>
      <c r="B280" s="2941" t="s">
        <v>3319</v>
      </c>
      <c r="C280" s="2941">
        <v>22</v>
      </c>
      <c r="D280" s="2941" t="s">
        <v>27</v>
      </c>
      <c r="E280" s="2942">
        <v>52.17</v>
      </c>
      <c r="F280" s="2942"/>
      <c r="G280">
        <f t="shared" si="4"/>
        <v>0</v>
      </c>
    </row>
    <row r="281" spans="1:7">
      <c r="A281" s="2940">
        <v>280</v>
      </c>
      <c r="B281" s="2941" t="s">
        <v>3320</v>
      </c>
      <c r="C281" s="2941">
        <v>22</v>
      </c>
      <c r="D281" s="2941" t="s">
        <v>27</v>
      </c>
      <c r="E281" s="2942">
        <v>52.17</v>
      </c>
      <c r="F281" s="2942"/>
      <c r="G281">
        <f t="shared" si="4"/>
        <v>0</v>
      </c>
    </row>
    <row r="282" spans="1:7">
      <c r="A282" s="2940">
        <v>281</v>
      </c>
      <c r="B282" s="2941" t="s">
        <v>3321</v>
      </c>
      <c r="C282" s="2941">
        <v>22</v>
      </c>
      <c r="D282" s="2941" t="s">
        <v>27</v>
      </c>
      <c r="E282" s="2942">
        <v>52.17</v>
      </c>
      <c r="F282" s="2942"/>
      <c r="G282">
        <f t="shared" si="4"/>
        <v>0</v>
      </c>
    </row>
    <row r="283" spans="1:7">
      <c r="A283" s="2940">
        <v>282</v>
      </c>
      <c r="B283" s="2941" t="s">
        <v>3322</v>
      </c>
      <c r="C283" s="2941">
        <v>22</v>
      </c>
      <c r="D283" s="2941" t="s">
        <v>27</v>
      </c>
      <c r="E283" s="2942">
        <v>52.17</v>
      </c>
      <c r="F283" s="2942"/>
      <c r="G283">
        <f t="shared" si="4"/>
        <v>0</v>
      </c>
    </row>
    <row r="284" spans="1:7">
      <c r="A284" s="2940">
        <v>283</v>
      </c>
      <c r="B284" s="2941" t="s">
        <v>3323</v>
      </c>
      <c r="C284" s="2941">
        <v>22</v>
      </c>
      <c r="D284" s="2941" t="s">
        <v>27</v>
      </c>
      <c r="E284" s="2942">
        <v>52.17</v>
      </c>
      <c r="F284" s="2942"/>
      <c r="G284">
        <f t="shared" si="4"/>
        <v>0</v>
      </c>
    </row>
    <row r="285" spans="1:7">
      <c r="A285" s="2940">
        <v>284</v>
      </c>
      <c r="B285" s="2941" t="s">
        <v>3324</v>
      </c>
      <c r="C285" s="2941">
        <v>22</v>
      </c>
      <c r="D285" s="2941" t="s">
        <v>27</v>
      </c>
      <c r="E285" s="2942">
        <v>52.17</v>
      </c>
      <c r="F285" s="2942"/>
      <c r="G285">
        <f t="shared" si="4"/>
        <v>0</v>
      </c>
    </row>
    <row r="286" spans="1:7">
      <c r="A286" s="2940">
        <v>285</v>
      </c>
      <c r="B286" s="2941" t="s">
        <v>3325</v>
      </c>
      <c r="C286" s="2941">
        <v>22</v>
      </c>
      <c r="D286" s="2941" t="s">
        <v>27</v>
      </c>
      <c r="E286" s="2942">
        <v>80.73</v>
      </c>
      <c r="F286" s="2942"/>
      <c r="G286">
        <f t="shared" si="4"/>
        <v>0</v>
      </c>
    </row>
    <row r="287" spans="1:7">
      <c r="A287" s="2940">
        <v>286</v>
      </c>
      <c r="B287" s="2941" t="s">
        <v>3326</v>
      </c>
      <c r="C287" s="2941">
        <v>22</v>
      </c>
      <c r="D287" s="2941" t="s">
        <v>27</v>
      </c>
      <c r="E287" s="2942">
        <v>93.08</v>
      </c>
      <c r="F287" s="2942"/>
      <c r="G287">
        <f t="shared" si="4"/>
        <v>0</v>
      </c>
    </row>
    <row r="288" spans="1:7">
      <c r="A288" s="2940">
        <v>287</v>
      </c>
      <c r="B288" s="2941" t="s">
        <v>3327</v>
      </c>
      <c r="C288" s="2941">
        <v>22</v>
      </c>
      <c r="D288" s="2941" t="s">
        <v>27</v>
      </c>
      <c r="E288" s="2942">
        <v>93.08</v>
      </c>
      <c r="F288" s="2942"/>
      <c r="G288">
        <f t="shared" si="4"/>
        <v>0</v>
      </c>
    </row>
    <row r="289" spans="1:7">
      <c r="A289" s="2940">
        <v>288</v>
      </c>
      <c r="B289" s="2941" t="s">
        <v>3328</v>
      </c>
      <c r="C289" s="2941">
        <v>23</v>
      </c>
      <c r="D289" s="2941" t="s">
        <v>27</v>
      </c>
      <c r="E289" s="2942">
        <v>80.73</v>
      </c>
      <c r="F289" s="2942"/>
      <c r="G289">
        <f t="shared" si="4"/>
        <v>0</v>
      </c>
    </row>
    <row r="290" spans="1:7">
      <c r="A290" s="2940">
        <v>289</v>
      </c>
      <c r="B290" s="2941" t="s">
        <v>3329</v>
      </c>
      <c r="C290" s="2941">
        <v>23</v>
      </c>
      <c r="D290" s="2941" t="s">
        <v>27</v>
      </c>
      <c r="E290" s="2942">
        <v>52.17</v>
      </c>
      <c r="F290" s="2942"/>
      <c r="G290">
        <f t="shared" si="4"/>
        <v>0</v>
      </c>
    </row>
    <row r="291" spans="1:7">
      <c r="A291" s="2940">
        <v>290</v>
      </c>
      <c r="B291" s="2941" t="s">
        <v>3330</v>
      </c>
      <c r="C291" s="2941">
        <v>23</v>
      </c>
      <c r="D291" s="2941" t="s">
        <v>27</v>
      </c>
      <c r="E291" s="2942">
        <v>52.17</v>
      </c>
      <c r="F291" s="2942"/>
      <c r="G291">
        <f t="shared" si="4"/>
        <v>0</v>
      </c>
    </row>
    <row r="292" spans="1:7">
      <c r="A292" s="2940">
        <v>291</v>
      </c>
      <c r="B292" s="2941" t="s">
        <v>3331</v>
      </c>
      <c r="C292" s="2941">
        <v>23</v>
      </c>
      <c r="D292" s="2941" t="s">
        <v>27</v>
      </c>
      <c r="E292" s="2942">
        <v>52.17</v>
      </c>
      <c r="F292" s="2942"/>
      <c r="G292">
        <f t="shared" si="4"/>
        <v>0</v>
      </c>
    </row>
    <row r="293" spans="1:7">
      <c r="A293" s="2940">
        <v>292</v>
      </c>
      <c r="B293" s="2941" t="s">
        <v>3332</v>
      </c>
      <c r="C293" s="2941">
        <v>23</v>
      </c>
      <c r="D293" s="2941" t="s">
        <v>27</v>
      </c>
      <c r="E293" s="2942">
        <v>52.17</v>
      </c>
      <c r="F293" s="2942"/>
      <c r="G293">
        <f t="shared" si="4"/>
        <v>0</v>
      </c>
    </row>
    <row r="294" spans="1:7">
      <c r="A294" s="2940">
        <v>293</v>
      </c>
      <c r="B294" s="2941" t="s">
        <v>3333</v>
      </c>
      <c r="C294" s="2941">
        <v>23</v>
      </c>
      <c r="D294" s="2941" t="s">
        <v>27</v>
      </c>
      <c r="E294" s="2942">
        <v>52.17</v>
      </c>
      <c r="F294" s="2942"/>
      <c r="G294">
        <f t="shared" si="4"/>
        <v>0</v>
      </c>
    </row>
    <row r="295" spans="1:7">
      <c r="A295" s="2940">
        <v>294</v>
      </c>
      <c r="B295" s="2941" t="s">
        <v>3334</v>
      </c>
      <c r="C295" s="2941">
        <v>23</v>
      </c>
      <c r="D295" s="2941" t="s">
        <v>27</v>
      </c>
      <c r="E295" s="2942">
        <v>52.17</v>
      </c>
      <c r="F295" s="2942"/>
      <c r="G295">
        <f t="shared" si="4"/>
        <v>0</v>
      </c>
    </row>
    <row r="296" spans="1:7">
      <c r="A296" s="2940">
        <v>295</v>
      </c>
      <c r="B296" s="2941" t="s">
        <v>3335</v>
      </c>
      <c r="C296" s="2941">
        <v>23</v>
      </c>
      <c r="D296" s="2941" t="s">
        <v>27</v>
      </c>
      <c r="E296" s="2942">
        <v>52.17</v>
      </c>
      <c r="F296" s="2942"/>
      <c r="G296">
        <f t="shared" si="4"/>
        <v>0</v>
      </c>
    </row>
    <row r="297" spans="1:7">
      <c r="A297" s="2940">
        <v>296</v>
      </c>
      <c r="B297" s="2941" t="s">
        <v>3336</v>
      </c>
      <c r="C297" s="2941">
        <v>23</v>
      </c>
      <c r="D297" s="2941" t="s">
        <v>27</v>
      </c>
      <c r="E297" s="2942">
        <v>52.17</v>
      </c>
      <c r="F297" s="2942"/>
      <c r="G297">
        <f t="shared" si="4"/>
        <v>0</v>
      </c>
    </row>
    <row r="298" spans="1:7">
      <c r="A298" s="2940">
        <v>297</v>
      </c>
      <c r="B298" s="2941" t="s">
        <v>3337</v>
      </c>
      <c r="C298" s="2941">
        <v>23</v>
      </c>
      <c r="D298" s="2941" t="s">
        <v>27</v>
      </c>
      <c r="E298" s="2942">
        <v>52.17</v>
      </c>
      <c r="F298" s="2942"/>
      <c r="G298">
        <f t="shared" si="4"/>
        <v>0</v>
      </c>
    </row>
    <row r="299" spans="1:7">
      <c r="A299" s="2940">
        <v>298</v>
      </c>
      <c r="B299" s="2941" t="s">
        <v>3338</v>
      </c>
      <c r="C299" s="2941">
        <v>23</v>
      </c>
      <c r="D299" s="2941" t="s">
        <v>27</v>
      </c>
      <c r="E299" s="2942">
        <v>52.17</v>
      </c>
      <c r="F299" s="2942"/>
      <c r="G299">
        <f t="shared" si="4"/>
        <v>0</v>
      </c>
    </row>
    <row r="300" spans="1:7">
      <c r="A300" s="2940">
        <v>299</v>
      </c>
      <c r="B300" s="2941" t="s">
        <v>3339</v>
      </c>
      <c r="C300" s="2941">
        <v>23</v>
      </c>
      <c r="D300" s="2941" t="s">
        <v>27</v>
      </c>
      <c r="E300" s="2942">
        <v>80.73</v>
      </c>
      <c r="F300" s="2942"/>
      <c r="G300">
        <f t="shared" si="4"/>
        <v>0</v>
      </c>
    </row>
    <row r="301" spans="1:7">
      <c r="A301" s="2940">
        <v>300</v>
      </c>
      <c r="B301" s="2941" t="s">
        <v>3340</v>
      </c>
      <c r="C301" s="2941">
        <v>23</v>
      </c>
      <c r="D301" s="2941" t="s">
        <v>27</v>
      </c>
      <c r="E301" s="2942">
        <v>67.36</v>
      </c>
      <c r="F301" s="2942"/>
      <c r="G301">
        <f t="shared" si="4"/>
        <v>0</v>
      </c>
    </row>
    <row r="302" spans="1:7">
      <c r="A302" s="2940">
        <v>301</v>
      </c>
      <c r="B302" s="2941" t="s">
        <v>3341</v>
      </c>
      <c r="C302" s="2941">
        <v>23</v>
      </c>
      <c r="D302" s="2941" t="s">
        <v>27</v>
      </c>
      <c r="E302" s="2942">
        <v>67.36</v>
      </c>
      <c r="F302" s="2942"/>
      <c r="G302">
        <f t="shared" si="4"/>
        <v>0</v>
      </c>
    </row>
    <row r="303" spans="1:7">
      <c r="A303" s="2940">
        <v>302</v>
      </c>
      <c r="B303" s="2941" t="s">
        <v>3342</v>
      </c>
      <c r="C303" s="2941">
        <v>23</v>
      </c>
      <c r="D303" s="2941" t="s">
        <v>27</v>
      </c>
      <c r="E303" s="2942">
        <v>80.73</v>
      </c>
      <c r="F303" s="2942"/>
      <c r="G303">
        <f t="shared" si="4"/>
        <v>0</v>
      </c>
    </row>
    <row r="304" spans="1:7">
      <c r="A304" s="2940">
        <v>303</v>
      </c>
      <c r="B304" s="2941" t="s">
        <v>3343</v>
      </c>
      <c r="C304" s="2941">
        <v>23</v>
      </c>
      <c r="D304" s="2941" t="s">
        <v>27</v>
      </c>
      <c r="E304" s="2942">
        <v>52.17</v>
      </c>
      <c r="F304" s="2942"/>
      <c r="G304">
        <f t="shared" si="4"/>
        <v>0</v>
      </c>
    </row>
    <row r="305" spans="1:7">
      <c r="A305" s="2940">
        <v>304</v>
      </c>
      <c r="B305" s="2941" t="s">
        <v>3344</v>
      </c>
      <c r="C305" s="2941">
        <v>23</v>
      </c>
      <c r="D305" s="2941" t="s">
        <v>27</v>
      </c>
      <c r="E305" s="2942">
        <v>52.17</v>
      </c>
      <c r="F305" s="2942"/>
      <c r="G305">
        <f t="shared" si="4"/>
        <v>0</v>
      </c>
    </row>
    <row r="306" spans="1:7">
      <c r="A306" s="2940">
        <v>305</v>
      </c>
      <c r="B306" s="2941" t="s">
        <v>3345</v>
      </c>
      <c r="C306" s="2941">
        <v>23</v>
      </c>
      <c r="D306" s="2941" t="s">
        <v>27</v>
      </c>
      <c r="E306" s="2942">
        <v>52.17</v>
      </c>
      <c r="F306" s="2942"/>
      <c r="G306">
        <f t="shared" si="4"/>
        <v>0</v>
      </c>
    </row>
    <row r="307" spans="1:7">
      <c r="A307" s="2940">
        <v>306</v>
      </c>
      <c r="B307" s="2941" t="s">
        <v>3346</v>
      </c>
      <c r="C307" s="2941">
        <v>23</v>
      </c>
      <c r="D307" s="2941" t="s">
        <v>27</v>
      </c>
      <c r="E307" s="2942">
        <v>52.17</v>
      </c>
      <c r="F307" s="2942"/>
      <c r="G307">
        <f t="shared" si="4"/>
        <v>0</v>
      </c>
    </row>
    <row r="308" spans="1:7">
      <c r="A308" s="2940">
        <v>307</v>
      </c>
      <c r="B308" s="2941" t="s">
        <v>3347</v>
      </c>
      <c r="C308" s="2941">
        <v>23</v>
      </c>
      <c r="D308" s="2941" t="s">
        <v>27</v>
      </c>
      <c r="E308" s="2942">
        <v>52.17</v>
      </c>
      <c r="F308" s="2942"/>
      <c r="G308">
        <f t="shared" si="4"/>
        <v>0</v>
      </c>
    </row>
    <row r="309" spans="1:7">
      <c r="A309" s="2940">
        <v>308</v>
      </c>
      <c r="B309" s="2941" t="s">
        <v>3348</v>
      </c>
      <c r="C309" s="2941">
        <v>23</v>
      </c>
      <c r="D309" s="2941" t="s">
        <v>27</v>
      </c>
      <c r="E309" s="2942">
        <v>52.17</v>
      </c>
      <c r="F309" s="2942"/>
      <c r="G309">
        <f t="shared" si="4"/>
        <v>0</v>
      </c>
    </row>
    <row r="310" spans="1:7">
      <c r="A310" s="2940">
        <v>309</v>
      </c>
      <c r="B310" s="2941" t="s">
        <v>3349</v>
      </c>
      <c r="C310" s="2941">
        <v>23</v>
      </c>
      <c r="D310" s="2941" t="s">
        <v>27</v>
      </c>
      <c r="E310" s="2942">
        <v>52.17</v>
      </c>
      <c r="F310" s="2942"/>
      <c r="G310">
        <f t="shared" si="4"/>
        <v>0</v>
      </c>
    </row>
    <row r="311" spans="1:7">
      <c r="A311" s="2940">
        <v>310</v>
      </c>
      <c r="B311" s="2941" t="s">
        <v>3350</v>
      </c>
      <c r="C311" s="2941">
        <v>23</v>
      </c>
      <c r="D311" s="2941" t="s">
        <v>27</v>
      </c>
      <c r="E311" s="2942">
        <v>52.17</v>
      </c>
      <c r="F311" s="2942"/>
      <c r="G311">
        <f t="shared" si="4"/>
        <v>0</v>
      </c>
    </row>
    <row r="312" spans="1:7">
      <c r="A312" s="2940">
        <v>311</v>
      </c>
      <c r="B312" s="2941" t="s">
        <v>3351</v>
      </c>
      <c r="C312" s="2941">
        <v>23</v>
      </c>
      <c r="D312" s="2941" t="s">
        <v>27</v>
      </c>
      <c r="E312" s="2942">
        <v>52.17</v>
      </c>
      <c r="F312" s="2942"/>
      <c r="G312">
        <f t="shared" si="4"/>
        <v>0</v>
      </c>
    </row>
    <row r="313" spans="1:7">
      <c r="A313" s="2940">
        <v>312</v>
      </c>
      <c r="B313" s="2941" t="s">
        <v>3352</v>
      </c>
      <c r="C313" s="2941">
        <v>23</v>
      </c>
      <c r="D313" s="2941" t="s">
        <v>27</v>
      </c>
      <c r="E313" s="2942">
        <v>52.17</v>
      </c>
      <c r="F313" s="2942"/>
      <c r="G313">
        <f t="shared" si="4"/>
        <v>0</v>
      </c>
    </row>
    <row r="314" spans="1:7">
      <c r="A314" s="2940">
        <v>313</v>
      </c>
      <c r="B314" s="2941" t="s">
        <v>3353</v>
      </c>
      <c r="C314" s="2941">
        <v>23</v>
      </c>
      <c r="D314" s="2941" t="s">
        <v>27</v>
      </c>
      <c r="E314" s="2942">
        <v>80.73</v>
      </c>
      <c r="F314" s="2942"/>
      <c r="G314">
        <f t="shared" si="4"/>
        <v>0</v>
      </c>
    </row>
    <row r="315" spans="1:7">
      <c r="A315" s="2940">
        <v>314</v>
      </c>
      <c r="B315" s="2941" t="s">
        <v>3354</v>
      </c>
      <c r="C315" s="2941">
        <v>23</v>
      </c>
      <c r="D315" s="2941" t="s">
        <v>27</v>
      </c>
      <c r="E315" s="2942">
        <v>93.08</v>
      </c>
      <c r="F315" s="2942"/>
      <c r="G315">
        <f t="shared" si="4"/>
        <v>0</v>
      </c>
    </row>
    <row r="316" spans="1:7">
      <c r="A316" s="2940">
        <v>315</v>
      </c>
      <c r="B316" s="2941" t="s">
        <v>3355</v>
      </c>
      <c r="C316" s="2941">
        <v>23</v>
      </c>
      <c r="D316" s="2941" t="s">
        <v>27</v>
      </c>
      <c r="E316" s="2942">
        <v>93.08</v>
      </c>
      <c r="F316" s="2942"/>
      <c r="G316">
        <f t="shared" si="4"/>
        <v>0</v>
      </c>
    </row>
    <row r="317" spans="1:7">
      <c r="A317" s="2940">
        <v>316</v>
      </c>
      <c r="B317" s="2941" t="s">
        <v>3356</v>
      </c>
      <c r="C317" s="2941">
        <v>24</v>
      </c>
      <c r="D317" s="2941" t="s">
        <v>27</v>
      </c>
      <c r="E317" s="2942">
        <v>80.73</v>
      </c>
      <c r="F317" s="2942"/>
      <c r="G317">
        <f t="shared" si="4"/>
        <v>0</v>
      </c>
    </row>
    <row r="318" spans="1:7">
      <c r="A318" s="2940">
        <v>317</v>
      </c>
      <c r="B318" s="2941" t="s">
        <v>3357</v>
      </c>
      <c r="C318" s="2941">
        <v>24</v>
      </c>
      <c r="D318" s="2941" t="s">
        <v>27</v>
      </c>
      <c r="E318" s="2942">
        <v>52.17</v>
      </c>
      <c r="F318" s="2942"/>
      <c r="G318">
        <f t="shared" si="4"/>
        <v>0</v>
      </c>
    </row>
    <row r="319" spans="1:7">
      <c r="A319" s="2940">
        <v>318</v>
      </c>
      <c r="B319" s="2941" t="s">
        <v>3358</v>
      </c>
      <c r="C319" s="2941">
        <v>24</v>
      </c>
      <c r="D319" s="2941" t="s">
        <v>27</v>
      </c>
      <c r="E319" s="2942">
        <v>52.17</v>
      </c>
      <c r="F319" s="2942"/>
      <c r="G319">
        <f t="shared" si="4"/>
        <v>0</v>
      </c>
    </row>
    <row r="320" spans="1:7">
      <c r="A320" s="2940">
        <v>319</v>
      </c>
      <c r="B320" s="2941" t="s">
        <v>3359</v>
      </c>
      <c r="C320" s="2941">
        <v>24</v>
      </c>
      <c r="D320" s="2941" t="s">
        <v>27</v>
      </c>
      <c r="E320" s="2942">
        <v>52.17</v>
      </c>
      <c r="F320" s="2942"/>
      <c r="G320">
        <f t="shared" si="4"/>
        <v>0</v>
      </c>
    </row>
    <row r="321" spans="1:7">
      <c r="A321" s="2940">
        <v>320</v>
      </c>
      <c r="B321" s="2941" t="s">
        <v>3360</v>
      </c>
      <c r="C321" s="2941">
        <v>24</v>
      </c>
      <c r="D321" s="2941" t="s">
        <v>27</v>
      </c>
      <c r="E321" s="2942">
        <v>52.17</v>
      </c>
      <c r="F321" s="2942"/>
      <c r="G321">
        <f t="shared" si="4"/>
        <v>0</v>
      </c>
    </row>
    <row r="322" spans="1:7">
      <c r="A322" s="2940">
        <v>321</v>
      </c>
      <c r="B322" s="2941" t="s">
        <v>3361</v>
      </c>
      <c r="C322" s="2941">
        <v>24</v>
      </c>
      <c r="D322" s="2941" t="s">
        <v>27</v>
      </c>
      <c r="E322" s="2942">
        <v>52.17</v>
      </c>
      <c r="F322" s="2942"/>
      <c r="G322">
        <f t="shared" si="4"/>
        <v>0</v>
      </c>
    </row>
    <row r="323" spans="1:7">
      <c r="A323" s="2940">
        <v>322</v>
      </c>
      <c r="B323" s="2941" t="s">
        <v>3362</v>
      </c>
      <c r="C323" s="2941">
        <v>24</v>
      </c>
      <c r="D323" s="2941" t="s">
        <v>27</v>
      </c>
      <c r="E323" s="2942">
        <v>52.17</v>
      </c>
      <c r="F323" s="2942"/>
      <c r="G323">
        <f t="shared" ref="G323:G386" si="5">ROUND(F323/E323,0)</f>
        <v>0</v>
      </c>
    </row>
    <row r="324" spans="1:7">
      <c r="A324" s="2940">
        <v>323</v>
      </c>
      <c r="B324" s="2941" t="s">
        <v>3363</v>
      </c>
      <c r="C324" s="2941">
        <v>24</v>
      </c>
      <c r="D324" s="2941" t="s">
        <v>27</v>
      </c>
      <c r="E324" s="2942">
        <v>52.17</v>
      </c>
      <c r="F324" s="2942"/>
      <c r="G324">
        <f t="shared" si="5"/>
        <v>0</v>
      </c>
    </row>
    <row r="325" spans="1:7">
      <c r="A325" s="2940">
        <v>324</v>
      </c>
      <c r="B325" s="2941" t="s">
        <v>3364</v>
      </c>
      <c r="C325" s="2941">
        <v>24</v>
      </c>
      <c r="D325" s="2941" t="s">
        <v>27</v>
      </c>
      <c r="E325" s="2942">
        <v>52.17</v>
      </c>
      <c r="F325" s="2942"/>
      <c r="G325">
        <f t="shared" si="5"/>
        <v>0</v>
      </c>
    </row>
    <row r="326" spans="1:7">
      <c r="A326" s="2940">
        <v>325</v>
      </c>
      <c r="B326" s="2941" t="s">
        <v>3365</v>
      </c>
      <c r="C326" s="2941">
        <v>24</v>
      </c>
      <c r="D326" s="2941" t="s">
        <v>27</v>
      </c>
      <c r="E326" s="2942">
        <v>52.17</v>
      </c>
      <c r="F326" s="2942"/>
      <c r="G326">
        <f t="shared" si="5"/>
        <v>0</v>
      </c>
    </row>
    <row r="327" spans="1:7">
      <c r="A327" s="2940">
        <v>326</v>
      </c>
      <c r="B327" s="2941" t="s">
        <v>3366</v>
      </c>
      <c r="C327" s="2941">
        <v>24</v>
      </c>
      <c r="D327" s="2941" t="s">
        <v>27</v>
      </c>
      <c r="E327" s="2942">
        <v>52.17</v>
      </c>
      <c r="F327" s="2942"/>
      <c r="G327">
        <f t="shared" si="5"/>
        <v>0</v>
      </c>
    </row>
    <row r="328" spans="1:7">
      <c r="A328" s="2940">
        <v>327</v>
      </c>
      <c r="B328" s="2941" t="s">
        <v>3367</v>
      </c>
      <c r="C328" s="2941">
        <v>24</v>
      </c>
      <c r="D328" s="2941" t="s">
        <v>27</v>
      </c>
      <c r="E328" s="2942">
        <v>80.73</v>
      </c>
      <c r="F328" s="2942"/>
      <c r="G328">
        <f t="shared" si="5"/>
        <v>0</v>
      </c>
    </row>
    <row r="329" spans="1:7">
      <c r="A329" s="2940">
        <v>328</v>
      </c>
      <c r="B329" s="2941" t="s">
        <v>3368</v>
      </c>
      <c r="C329" s="2941">
        <v>24</v>
      </c>
      <c r="D329" s="2941" t="s">
        <v>27</v>
      </c>
      <c r="E329" s="2942">
        <v>67.36</v>
      </c>
      <c r="F329" s="2942"/>
      <c r="G329">
        <f t="shared" si="5"/>
        <v>0</v>
      </c>
    </row>
    <row r="330" spans="1:7">
      <c r="A330" s="2940">
        <v>329</v>
      </c>
      <c r="B330" s="2941" t="s">
        <v>3369</v>
      </c>
      <c r="C330" s="2941">
        <v>24</v>
      </c>
      <c r="D330" s="2941" t="s">
        <v>27</v>
      </c>
      <c r="E330" s="2942">
        <v>67.36</v>
      </c>
      <c r="F330" s="2942"/>
      <c r="G330">
        <f t="shared" si="5"/>
        <v>0</v>
      </c>
    </row>
    <row r="331" spans="1:7">
      <c r="A331" s="2940">
        <v>330</v>
      </c>
      <c r="B331" s="2941" t="s">
        <v>3370</v>
      </c>
      <c r="C331" s="2941">
        <v>24</v>
      </c>
      <c r="D331" s="2941" t="s">
        <v>27</v>
      </c>
      <c r="E331" s="2942">
        <v>80.73</v>
      </c>
      <c r="F331" s="2942"/>
      <c r="G331">
        <f t="shared" si="5"/>
        <v>0</v>
      </c>
    </row>
    <row r="332" spans="1:7">
      <c r="A332" s="2940">
        <v>331</v>
      </c>
      <c r="B332" s="2941" t="s">
        <v>3371</v>
      </c>
      <c r="C332" s="2941">
        <v>24</v>
      </c>
      <c r="D332" s="2941" t="s">
        <v>27</v>
      </c>
      <c r="E332" s="2942">
        <v>52.17</v>
      </c>
      <c r="F332" s="2942"/>
      <c r="G332">
        <f t="shared" si="5"/>
        <v>0</v>
      </c>
    </row>
    <row r="333" spans="1:7">
      <c r="A333" s="2940">
        <v>332</v>
      </c>
      <c r="B333" s="2941" t="s">
        <v>3372</v>
      </c>
      <c r="C333" s="2941">
        <v>24</v>
      </c>
      <c r="D333" s="2941" t="s">
        <v>27</v>
      </c>
      <c r="E333" s="2942">
        <v>52.17</v>
      </c>
      <c r="F333" s="2942"/>
      <c r="G333">
        <f t="shared" si="5"/>
        <v>0</v>
      </c>
    </row>
    <row r="334" spans="1:7">
      <c r="A334" s="2940">
        <v>333</v>
      </c>
      <c r="B334" s="2941" t="s">
        <v>3373</v>
      </c>
      <c r="C334" s="2941">
        <v>24</v>
      </c>
      <c r="D334" s="2941" t="s">
        <v>27</v>
      </c>
      <c r="E334" s="2942">
        <v>52.17</v>
      </c>
      <c r="F334" s="2942"/>
      <c r="G334">
        <f t="shared" si="5"/>
        <v>0</v>
      </c>
    </row>
    <row r="335" spans="1:7">
      <c r="A335" s="2940">
        <v>334</v>
      </c>
      <c r="B335" s="2941" t="s">
        <v>3374</v>
      </c>
      <c r="C335" s="2941">
        <v>24</v>
      </c>
      <c r="D335" s="2941" t="s">
        <v>27</v>
      </c>
      <c r="E335" s="2942">
        <v>52.17</v>
      </c>
      <c r="F335" s="2942"/>
      <c r="G335">
        <f t="shared" si="5"/>
        <v>0</v>
      </c>
    </row>
    <row r="336" spans="1:7">
      <c r="A336" s="2940">
        <v>335</v>
      </c>
      <c r="B336" s="2941" t="s">
        <v>3375</v>
      </c>
      <c r="C336" s="2941">
        <v>24</v>
      </c>
      <c r="D336" s="2941" t="s">
        <v>27</v>
      </c>
      <c r="E336" s="2942">
        <v>52.17</v>
      </c>
      <c r="F336" s="2942"/>
      <c r="G336">
        <f t="shared" si="5"/>
        <v>0</v>
      </c>
    </row>
    <row r="337" spans="1:7">
      <c r="A337" s="2940">
        <v>336</v>
      </c>
      <c r="B337" s="2941" t="s">
        <v>3376</v>
      </c>
      <c r="C337" s="2941">
        <v>24</v>
      </c>
      <c r="D337" s="2941" t="s">
        <v>27</v>
      </c>
      <c r="E337" s="2942">
        <v>52.17</v>
      </c>
      <c r="F337" s="2942"/>
      <c r="G337">
        <f t="shared" si="5"/>
        <v>0</v>
      </c>
    </row>
    <row r="338" spans="1:7">
      <c r="A338" s="2940">
        <v>337</v>
      </c>
      <c r="B338" s="2941" t="s">
        <v>3377</v>
      </c>
      <c r="C338" s="2941">
        <v>24</v>
      </c>
      <c r="D338" s="2941" t="s">
        <v>27</v>
      </c>
      <c r="E338" s="2942">
        <v>52.17</v>
      </c>
      <c r="F338" s="2942"/>
      <c r="G338">
        <f t="shared" si="5"/>
        <v>0</v>
      </c>
    </row>
    <row r="339" spans="1:7">
      <c r="A339" s="2940">
        <v>338</v>
      </c>
      <c r="B339" s="2941" t="s">
        <v>3378</v>
      </c>
      <c r="C339" s="2941">
        <v>24</v>
      </c>
      <c r="D339" s="2941" t="s">
        <v>27</v>
      </c>
      <c r="E339" s="2942">
        <v>52.17</v>
      </c>
      <c r="F339" s="2942"/>
      <c r="G339">
        <f t="shared" si="5"/>
        <v>0</v>
      </c>
    </row>
    <row r="340" spans="1:7">
      <c r="A340" s="2940">
        <v>339</v>
      </c>
      <c r="B340" s="2941" t="s">
        <v>3379</v>
      </c>
      <c r="C340" s="2941">
        <v>24</v>
      </c>
      <c r="D340" s="2941" t="s">
        <v>27</v>
      </c>
      <c r="E340" s="2942">
        <v>52.17</v>
      </c>
      <c r="F340" s="2942"/>
      <c r="G340">
        <f t="shared" si="5"/>
        <v>0</v>
      </c>
    </row>
    <row r="341" spans="1:7">
      <c r="A341" s="2940">
        <v>340</v>
      </c>
      <c r="B341" s="2941" t="s">
        <v>3380</v>
      </c>
      <c r="C341" s="2941">
        <v>24</v>
      </c>
      <c r="D341" s="2941" t="s">
        <v>27</v>
      </c>
      <c r="E341" s="2942">
        <v>52.17</v>
      </c>
      <c r="F341" s="2942"/>
      <c r="G341">
        <f t="shared" si="5"/>
        <v>0</v>
      </c>
    </row>
    <row r="342" spans="1:7">
      <c r="A342" s="2940">
        <v>341</v>
      </c>
      <c r="B342" s="2941" t="s">
        <v>3381</v>
      </c>
      <c r="C342" s="2941">
        <v>24</v>
      </c>
      <c r="D342" s="2941" t="s">
        <v>27</v>
      </c>
      <c r="E342" s="2942">
        <v>80.73</v>
      </c>
      <c r="F342" s="2942"/>
      <c r="G342">
        <f t="shared" si="5"/>
        <v>0</v>
      </c>
    </row>
    <row r="343" spans="1:7">
      <c r="A343" s="2940">
        <v>342</v>
      </c>
      <c r="B343" s="2941" t="s">
        <v>3382</v>
      </c>
      <c r="C343" s="2941">
        <v>24</v>
      </c>
      <c r="D343" s="2941" t="s">
        <v>27</v>
      </c>
      <c r="E343" s="2942">
        <v>93.08</v>
      </c>
      <c r="F343" s="2942"/>
      <c r="G343">
        <f t="shared" si="5"/>
        <v>0</v>
      </c>
    </row>
    <row r="344" spans="1:7">
      <c r="A344" s="2940">
        <v>343</v>
      </c>
      <c r="B344" s="2941" t="s">
        <v>3383</v>
      </c>
      <c r="C344" s="2941">
        <v>24</v>
      </c>
      <c r="D344" s="2941" t="s">
        <v>27</v>
      </c>
      <c r="E344" s="2942">
        <v>93.08</v>
      </c>
      <c r="F344" s="2942"/>
      <c r="G344">
        <f t="shared" si="5"/>
        <v>0</v>
      </c>
    </row>
    <row r="345" spans="1:7">
      <c r="A345" s="2940">
        <v>344</v>
      </c>
      <c r="B345" s="2941" t="s">
        <v>3384</v>
      </c>
      <c r="C345" s="2941">
        <v>25</v>
      </c>
      <c r="D345" s="2941" t="s">
        <v>27</v>
      </c>
      <c r="E345" s="2942">
        <v>80.73</v>
      </c>
      <c r="F345" s="2942"/>
      <c r="G345">
        <f t="shared" si="5"/>
        <v>0</v>
      </c>
    </row>
    <row r="346" spans="1:7">
      <c r="A346" s="2940">
        <v>345</v>
      </c>
      <c r="B346" s="2941" t="s">
        <v>3385</v>
      </c>
      <c r="C346" s="2941">
        <v>25</v>
      </c>
      <c r="D346" s="2941" t="s">
        <v>27</v>
      </c>
      <c r="E346" s="2942">
        <v>52.17</v>
      </c>
      <c r="F346" s="2942"/>
      <c r="G346">
        <f t="shared" si="5"/>
        <v>0</v>
      </c>
    </row>
    <row r="347" spans="1:7">
      <c r="A347" s="2940">
        <v>346</v>
      </c>
      <c r="B347" s="2941" t="s">
        <v>3386</v>
      </c>
      <c r="C347" s="2941">
        <v>25</v>
      </c>
      <c r="D347" s="2941" t="s">
        <v>27</v>
      </c>
      <c r="E347" s="2942">
        <v>52.17</v>
      </c>
      <c r="F347" s="2942"/>
      <c r="G347">
        <f t="shared" si="5"/>
        <v>0</v>
      </c>
    </row>
    <row r="348" spans="1:7">
      <c r="A348" s="2940">
        <v>347</v>
      </c>
      <c r="B348" s="2941" t="s">
        <v>3387</v>
      </c>
      <c r="C348" s="2941">
        <v>25</v>
      </c>
      <c r="D348" s="2941" t="s">
        <v>27</v>
      </c>
      <c r="E348" s="2942">
        <v>52.17</v>
      </c>
      <c r="F348" s="2942"/>
      <c r="G348">
        <f t="shared" si="5"/>
        <v>0</v>
      </c>
    </row>
    <row r="349" spans="1:7">
      <c r="A349" s="2940">
        <v>348</v>
      </c>
      <c r="B349" s="2941" t="s">
        <v>3388</v>
      </c>
      <c r="C349" s="2941">
        <v>25</v>
      </c>
      <c r="D349" s="2941" t="s">
        <v>27</v>
      </c>
      <c r="E349" s="2942">
        <v>52.17</v>
      </c>
      <c r="F349" s="2942"/>
      <c r="G349">
        <f t="shared" si="5"/>
        <v>0</v>
      </c>
    </row>
    <row r="350" spans="1:7">
      <c r="A350" s="2940">
        <v>349</v>
      </c>
      <c r="B350" s="2941" t="s">
        <v>3389</v>
      </c>
      <c r="C350" s="2941">
        <v>25</v>
      </c>
      <c r="D350" s="2941" t="s">
        <v>27</v>
      </c>
      <c r="E350" s="2942">
        <v>52.17</v>
      </c>
      <c r="F350" s="2942"/>
      <c r="G350">
        <f t="shared" si="5"/>
        <v>0</v>
      </c>
    </row>
    <row r="351" spans="1:7">
      <c r="A351" s="2940">
        <v>350</v>
      </c>
      <c r="B351" s="2941" t="s">
        <v>3390</v>
      </c>
      <c r="C351" s="2941">
        <v>25</v>
      </c>
      <c r="D351" s="2941" t="s">
        <v>27</v>
      </c>
      <c r="E351" s="2942">
        <v>52.17</v>
      </c>
      <c r="F351" s="2942"/>
      <c r="G351">
        <f t="shared" si="5"/>
        <v>0</v>
      </c>
    </row>
    <row r="352" spans="1:7">
      <c r="A352" s="2940">
        <v>351</v>
      </c>
      <c r="B352" s="2941" t="s">
        <v>3391</v>
      </c>
      <c r="C352" s="2941">
        <v>25</v>
      </c>
      <c r="D352" s="2941" t="s">
        <v>27</v>
      </c>
      <c r="E352" s="2942">
        <v>52.17</v>
      </c>
      <c r="F352" s="2942"/>
      <c r="G352">
        <f t="shared" si="5"/>
        <v>0</v>
      </c>
    </row>
    <row r="353" spans="1:7">
      <c r="A353" s="2940">
        <v>352</v>
      </c>
      <c r="B353" s="2941" t="s">
        <v>3392</v>
      </c>
      <c r="C353" s="2941">
        <v>25</v>
      </c>
      <c r="D353" s="2941" t="s">
        <v>27</v>
      </c>
      <c r="E353" s="2942">
        <v>52.17</v>
      </c>
      <c r="F353" s="2942"/>
      <c r="G353">
        <f t="shared" si="5"/>
        <v>0</v>
      </c>
    </row>
    <row r="354" spans="1:7">
      <c r="A354" s="2940">
        <v>353</v>
      </c>
      <c r="B354" s="2941" t="s">
        <v>3393</v>
      </c>
      <c r="C354" s="2941">
        <v>25</v>
      </c>
      <c r="D354" s="2941" t="s">
        <v>27</v>
      </c>
      <c r="E354" s="2942">
        <v>52.17</v>
      </c>
      <c r="F354" s="2942"/>
      <c r="G354">
        <f t="shared" si="5"/>
        <v>0</v>
      </c>
    </row>
    <row r="355" spans="1:7">
      <c r="A355" s="2940">
        <v>354</v>
      </c>
      <c r="B355" s="2941" t="s">
        <v>3394</v>
      </c>
      <c r="C355" s="2941">
        <v>25</v>
      </c>
      <c r="D355" s="2941" t="s">
        <v>27</v>
      </c>
      <c r="E355" s="2942">
        <v>52.17</v>
      </c>
      <c r="F355" s="2942"/>
      <c r="G355">
        <f t="shared" si="5"/>
        <v>0</v>
      </c>
    </row>
    <row r="356" spans="1:7">
      <c r="A356" s="2940">
        <v>355</v>
      </c>
      <c r="B356" s="2941" t="s">
        <v>3395</v>
      </c>
      <c r="C356" s="2941">
        <v>25</v>
      </c>
      <c r="D356" s="2941" t="s">
        <v>27</v>
      </c>
      <c r="E356" s="2942">
        <v>80.73</v>
      </c>
      <c r="F356" s="2942"/>
      <c r="G356">
        <f t="shared" si="5"/>
        <v>0</v>
      </c>
    </row>
    <row r="357" spans="1:7">
      <c r="A357" s="2940">
        <v>356</v>
      </c>
      <c r="B357" s="2941" t="s">
        <v>3396</v>
      </c>
      <c r="C357" s="2941">
        <v>25</v>
      </c>
      <c r="D357" s="2941" t="s">
        <v>27</v>
      </c>
      <c r="E357" s="2942">
        <v>67.36</v>
      </c>
      <c r="F357" s="2942"/>
      <c r="G357">
        <f t="shared" si="5"/>
        <v>0</v>
      </c>
    </row>
    <row r="358" spans="1:7">
      <c r="A358" s="2940">
        <v>357</v>
      </c>
      <c r="B358" s="2941" t="s">
        <v>3397</v>
      </c>
      <c r="C358" s="2941">
        <v>25</v>
      </c>
      <c r="D358" s="2941" t="s">
        <v>27</v>
      </c>
      <c r="E358" s="2942">
        <v>67.36</v>
      </c>
      <c r="F358" s="2942"/>
      <c r="G358">
        <f t="shared" si="5"/>
        <v>0</v>
      </c>
    </row>
    <row r="359" spans="1:7">
      <c r="A359" s="2940">
        <v>358</v>
      </c>
      <c r="B359" s="2941" t="s">
        <v>3398</v>
      </c>
      <c r="C359" s="2941">
        <v>25</v>
      </c>
      <c r="D359" s="2941" t="s">
        <v>27</v>
      </c>
      <c r="E359" s="2942">
        <v>80.73</v>
      </c>
      <c r="F359" s="2942"/>
      <c r="G359">
        <f t="shared" si="5"/>
        <v>0</v>
      </c>
    </row>
    <row r="360" spans="1:7">
      <c r="A360" s="2940">
        <v>359</v>
      </c>
      <c r="B360" s="2941" t="s">
        <v>3399</v>
      </c>
      <c r="C360" s="2941">
        <v>25</v>
      </c>
      <c r="D360" s="2941" t="s">
        <v>27</v>
      </c>
      <c r="E360" s="2942">
        <v>52.17</v>
      </c>
      <c r="F360" s="2942"/>
      <c r="G360">
        <f t="shared" si="5"/>
        <v>0</v>
      </c>
    </row>
    <row r="361" spans="1:7">
      <c r="A361" s="2940">
        <v>360</v>
      </c>
      <c r="B361" s="2941" t="s">
        <v>3400</v>
      </c>
      <c r="C361" s="2941">
        <v>25</v>
      </c>
      <c r="D361" s="2941" t="s">
        <v>27</v>
      </c>
      <c r="E361" s="2942">
        <v>52.17</v>
      </c>
      <c r="F361" s="2942"/>
      <c r="G361">
        <f t="shared" si="5"/>
        <v>0</v>
      </c>
    </row>
    <row r="362" spans="1:7">
      <c r="A362" s="2940">
        <v>361</v>
      </c>
      <c r="B362" s="2941" t="s">
        <v>3401</v>
      </c>
      <c r="C362" s="2941">
        <v>25</v>
      </c>
      <c r="D362" s="2941" t="s">
        <v>27</v>
      </c>
      <c r="E362" s="2942">
        <v>52.17</v>
      </c>
      <c r="F362" s="2942"/>
      <c r="G362">
        <f t="shared" si="5"/>
        <v>0</v>
      </c>
    </row>
    <row r="363" spans="1:7">
      <c r="A363" s="2940">
        <v>362</v>
      </c>
      <c r="B363" s="2941" t="s">
        <v>3402</v>
      </c>
      <c r="C363" s="2941">
        <v>25</v>
      </c>
      <c r="D363" s="2941" t="s">
        <v>27</v>
      </c>
      <c r="E363" s="2942">
        <v>52.17</v>
      </c>
      <c r="F363" s="2942"/>
      <c r="G363">
        <f t="shared" si="5"/>
        <v>0</v>
      </c>
    </row>
    <row r="364" spans="1:7">
      <c r="A364" s="2940">
        <v>363</v>
      </c>
      <c r="B364" s="2941" t="s">
        <v>3403</v>
      </c>
      <c r="C364" s="2941">
        <v>25</v>
      </c>
      <c r="D364" s="2941" t="s">
        <v>27</v>
      </c>
      <c r="E364" s="2942">
        <v>52.17</v>
      </c>
      <c r="F364" s="2942"/>
      <c r="G364">
        <f t="shared" si="5"/>
        <v>0</v>
      </c>
    </row>
    <row r="365" spans="1:7">
      <c r="A365" s="2940">
        <v>364</v>
      </c>
      <c r="B365" s="2941" t="s">
        <v>3404</v>
      </c>
      <c r="C365" s="2941">
        <v>25</v>
      </c>
      <c r="D365" s="2941" t="s">
        <v>27</v>
      </c>
      <c r="E365" s="2942">
        <v>52.17</v>
      </c>
      <c r="F365" s="2942"/>
      <c r="G365">
        <f t="shared" si="5"/>
        <v>0</v>
      </c>
    </row>
    <row r="366" spans="1:7">
      <c r="A366" s="2940">
        <v>365</v>
      </c>
      <c r="B366" s="2941" t="s">
        <v>3405</v>
      </c>
      <c r="C366" s="2941">
        <v>25</v>
      </c>
      <c r="D366" s="2941" t="s">
        <v>27</v>
      </c>
      <c r="E366" s="2942">
        <v>52.17</v>
      </c>
      <c r="F366" s="2942"/>
      <c r="G366">
        <f t="shared" si="5"/>
        <v>0</v>
      </c>
    </row>
    <row r="367" spans="1:7">
      <c r="A367" s="2940">
        <v>366</v>
      </c>
      <c r="B367" s="2941" t="s">
        <v>3406</v>
      </c>
      <c r="C367" s="2941">
        <v>25</v>
      </c>
      <c r="D367" s="2941" t="s">
        <v>27</v>
      </c>
      <c r="E367" s="2942">
        <v>52.17</v>
      </c>
      <c r="F367" s="2942"/>
      <c r="G367">
        <f t="shared" si="5"/>
        <v>0</v>
      </c>
    </row>
    <row r="368" spans="1:7">
      <c r="A368" s="2940">
        <v>367</v>
      </c>
      <c r="B368" s="2941" t="s">
        <v>3407</v>
      </c>
      <c r="C368" s="2941">
        <v>25</v>
      </c>
      <c r="D368" s="2941" t="s">
        <v>27</v>
      </c>
      <c r="E368" s="2942">
        <v>52.17</v>
      </c>
      <c r="F368" s="2942"/>
      <c r="G368">
        <f t="shared" si="5"/>
        <v>0</v>
      </c>
    </row>
    <row r="369" spans="1:7">
      <c r="A369" s="2940">
        <v>368</v>
      </c>
      <c r="B369" s="2941" t="s">
        <v>3408</v>
      </c>
      <c r="C369" s="2941">
        <v>25</v>
      </c>
      <c r="D369" s="2941" t="s">
        <v>27</v>
      </c>
      <c r="E369" s="2942">
        <v>52.17</v>
      </c>
      <c r="F369" s="2942"/>
      <c r="G369">
        <f t="shared" si="5"/>
        <v>0</v>
      </c>
    </row>
    <row r="370" spans="1:7">
      <c r="A370" s="2940">
        <v>369</v>
      </c>
      <c r="B370" s="2941" t="s">
        <v>3409</v>
      </c>
      <c r="C370" s="2941">
        <v>25</v>
      </c>
      <c r="D370" s="2941" t="s">
        <v>27</v>
      </c>
      <c r="E370" s="2942">
        <v>80.73</v>
      </c>
      <c r="F370" s="2942"/>
      <c r="G370">
        <f t="shared" si="5"/>
        <v>0</v>
      </c>
    </row>
    <row r="371" spans="1:7">
      <c r="A371" s="2940">
        <v>370</v>
      </c>
      <c r="B371" s="2941" t="s">
        <v>3410</v>
      </c>
      <c r="C371" s="2941">
        <v>25</v>
      </c>
      <c r="D371" s="2941" t="s">
        <v>27</v>
      </c>
      <c r="E371" s="2942">
        <v>93.08</v>
      </c>
      <c r="F371" s="2942"/>
      <c r="G371">
        <f t="shared" si="5"/>
        <v>0</v>
      </c>
    </row>
    <row r="372" spans="1:7">
      <c r="A372" s="2940">
        <v>371</v>
      </c>
      <c r="B372" s="2941" t="s">
        <v>3411</v>
      </c>
      <c r="C372" s="2941">
        <v>25</v>
      </c>
      <c r="D372" s="2941" t="s">
        <v>27</v>
      </c>
      <c r="E372" s="2942">
        <v>93.08</v>
      </c>
      <c r="F372" s="2942"/>
      <c r="G372">
        <f t="shared" si="5"/>
        <v>0</v>
      </c>
    </row>
    <row r="373" spans="1:7">
      <c r="A373" s="2940">
        <v>372</v>
      </c>
      <c r="B373" s="2941" t="s">
        <v>3412</v>
      </c>
      <c r="C373" s="2941">
        <v>26</v>
      </c>
      <c r="D373" s="2941" t="s">
        <v>27</v>
      </c>
      <c r="E373" s="2942">
        <v>80.73</v>
      </c>
      <c r="F373" s="2942"/>
      <c r="G373">
        <f t="shared" si="5"/>
        <v>0</v>
      </c>
    </row>
    <row r="374" spans="1:7">
      <c r="A374" s="2940">
        <v>373</v>
      </c>
      <c r="B374" s="2941" t="s">
        <v>3413</v>
      </c>
      <c r="C374" s="2941">
        <v>26</v>
      </c>
      <c r="D374" s="2941" t="s">
        <v>27</v>
      </c>
      <c r="E374" s="2942">
        <v>52.17</v>
      </c>
      <c r="F374" s="2942"/>
      <c r="G374">
        <f t="shared" si="5"/>
        <v>0</v>
      </c>
    </row>
    <row r="375" spans="1:7">
      <c r="A375" s="2940">
        <v>374</v>
      </c>
      <c r="B375" s="2941" t="s">
        <v>3414</v>
      </c>
      <c r="C375" s="2941">
        <v>26</v>
      </c>
      <c r="D375" s="2941" t="s">
        <v>27</v>
      </c>
      <c r="E375" s="2942">
        <v>52.17</v>
      </c>
      <c r="F375" s="2942"/>
      <c r="G375">
        <f t="shared" si="5"/>
        <v>0</v>
      </c>
    </row>
    <row r="376" spans="1:7">
      <c r="A376" s="2940">
        <v>375</v>
      </c>
      <c r="B376" s="2941" t="s">
        <v>3415</v>
      </c>
      <c r="C376" s="2941">
        <v>26</v>
      </c>
      <c r="D376" s="2941" t="s">
        <v>27</v>
      </c>
      <c r="E376" s="2942">
        <v>52.17</v>
      </c>
      <c r="F376" s="2942"/>
      <c r="G376">
        <f t="shared" si="5"/>
        <v>0</v>
      </c>
    </row>
    <row r="377" spans="1:7">
      <c r="A377" s="2940">
        <v>376</v>
      </c>
      <c r="B377" s="2941" t="s">
        <v>3416</v>
      </c>
      <c r="C377" s="2941">
        <v>26</v>
      </c>
      <c r="D377" s="2941" t="s">
        <v>27</v>
      </c>
      <c r="E377" s="2942">
        <v>52.17</v>
      </c>
      <c r="F377" s="2942"/>
      <c r="G377">
        <f t="shared" si="5"/>
        <v>0</v>
      </c>
    </row>
    <row r="378" spans="1:7">
      <c r="A378" s="2940">
        <v>377</v>
      </c>
      <c r="B378" s="2941" t="s">
        <v>3417</v>
      </c>
      <c r="C378" s="2941">
        <v>26</v>
      </c>
      <c r="D378" s="2941" t="s">
        <v>27</v>
      </c>
      <c r="E378" s="2942">
        <v>52.17</v>
      </c>
      <c r="F378" s="2942"/>
      <c r="G378">
        <f t="shared" si="5"/>
        <v>0</v>
      </c>
    </row>
    <row r="379" spans="1:7">
      <c r="A379" s="2940">
        <v>378</v>
      </c>
      <c r="B379" s="2941" t="s">
        <v>3418</v>
      </c>
      <c r="C379" s="2941">
        <v>26</v>
      </c>
      <c r="D379" s="2941" t="s">
        <v>27</v>
      </c>
      <c r="E379" s="2942">
        <v>52.17</v>
      </c>
      <c r="F379" s="2942"/>
      <c r="G379">
        <f t="shared" si="5"/>
        <v>0</v>
      </c>
    </row>
    <row r="380" spans="1:7">
      <c r="A380" s="2940">
        <v>379</v>
      </c>
      <c r="B380" s="2941" t="s">
        <v>3419</v>
      </c>
      <c r="C380" s="2941">
        <v>26</v>
      </c>
      <c r="D380" s="2941" t="s">
        <v>27</v>
      </c>
      <c r="E380" s="2942">
        <v>52.17</v>
      </c>
      <c r="F380" s="2942"/>
      <c r="G380">
        <f t="shared" si="5"/>
        <v>0</v>
      </c>
    </row>
    <row r="381" spans="1:7">
      <c r="A381" s="2940">
        <v>380</v>
      </c>
      <c r="B381" s="2941" t="s">
        <v>3420</v>
      </c>
      <c r="C381" s="2941">
        <v>26</v>
      </c>
      <c r="D381" s="2941" t="s">
        <v>27</v>
      </c>
      <c r="E381" s="2942">
        <v>52.17</v>
      </c>
      <c r="F381" s="2942"/>
      <c r="G381">
        <f t="shared" si="5"/>
        <v>0</v>
      </c>
    </row>
    <row r="382" spans="1:7">
      <c r="A382" s="2940">
        <v>381</v>
      </c>
      <c r="B382" s="2941" t="s">
        <v>3421</v>
      </c>
      <c r="C382" s="2941">
        <v>26</v>
      </c>
      <c r="D382" s="2941" t="s">
        <v>27</v>
      </c>
      <c r="E382" s="2942">
        <v>52.17</v>
      </c>
      <c r="F382" s="2942"/>
      <c r="G382">
        <f t="shared" si="5"/>
        <v>0</v>
      </c>
    </row>
    <row r="383" spans="1:7">
      <c r="A383" s="2940">
        <v>382</v>
      </c>
      <c r="B383" s="2941" t="s">
        <v>3422</v>
      </c>
      <c r="C383" s="2941">
        <v>26</v>
      </c>
      <c r="D383" s="2941" t="s">
        <v>27</v>
      </c>
      <c r="E383" s="2942">
        <v>52.17</v>
      </c>
      <c r="F383" s="2942"/>
      <c r="G383">
        <f t="shared" si="5"/>
        <v>0</v>
      </c>
    </row>
    <row r="384" spans="1:7">
      <c r="A384" s="2940">
        <v>383</v>
      </c>
      <c r="B384" s="2941" t="s">
        <v>3423</v>
      </c>
      <c r="C384" s="2941">
        <v>26</v>
      </c>
      <c r="D384" s="2941" t="s">
        <v>27</v>
      </c>
      <c r="E384" s="2942">
        <v>80.73</v>
      </c>
      <c r="F384" s="2942"/>
      <c r="G384">
        <f t="shared" si="5"/>
        <v>0</v>
      </c>
    </row>
    <row r="385" spans="1:7">
      <c r="A385" s="2940">
        <v>384</v>
      </c>
      <c r="B385" s="2941" t="s">
        <v>3424</v>
      </c>
      <c r="C385" s="2941">
        <v>26</v>
      </c>
      <c r="D385" s="2941" t="s">
        <v>27</v>
      </c>
      <c r="E385" s="2942">
        <v>67.36</v>
      </c>
      <c r="F385" s="2942"/>
      <c r="G385">
        <f t="shared" si="5"/>
        <v>0</v>
      </c>
    </row>
    <row r="386" spans="1:7">
      <c r="A386" s="2940">
        <v>385</v>
      </c>
      <c r="B386" s="2941" t="s">
        <v>3425</v>
      </c>
      <c r="C386" s="2941">
        <v>26</v>
      </c>
      <c r="D386" s="2941" t="s">
        <v>27</v>
      </c>
      <c r="E386" s="2942">
        <v>67.36</v>
      </c>
      <c r="F386" s="2942"/>
      <c r="G386">
        <f t="shared" si="5"/>
        <v>0</v>
      </c>
    </row>
    <row r="387" spans="1:7">
      <c r="A387" s="2940">
        <v>386</v>
      </c>
      <c r="B387" s="2941" t="s">
        <v>3426</v>
      </c>
      <c r="C387" s="2941">
        <v>26</v>
      </c>
      <c r="D387" s="2941" t="s">
        <v>27</v>
      </c>
      <c r="E387" s="2942">
        <v>80.73</v>
      </c>
      <c r="F387" s="2942"/>
      <c r="G387">
        <f t="shared" ref="G387:G450" si="6">ROUND(F387/E387,0)</f>
        <v>0</v>
      </c>
    </row>
    <row r="388" spans="1:7">
      <c r="A388" s="2940">
        <v>387</v>
      </c>
      <c r="B388" s="2941" t="s">
        <v>3427</v>
      </c>
      <c r="C388" s="2941">
        <v>26</v>
      </c>
      <c r="D388" s="2941" t="s">
        <v>27</v>
      </c>
      <c r="E388" s="2942">
        <v>52.17</v>
      </c>
      <c r="F388" s="2942"/>
      <c r="G388">
        <f t="shared" si="6"/>
        <v>0</v>
      </c>
    </row>
    <row r="389" spans="1:7">
      <c r="A389" s="2940">
        <v>388</v>
      </c>
      <c r="B389" s="2941" t="s">
        <v>3428</v>
      </c>
      <c r="C389" s="2941">
        <v>26</v>
      </c>
      <c r="D389" s="2941" t="s">
        <v>27</v>
      </c>
      <c r="E389" s="2942">
        <v>52.17</v>
      </c>
      <c r="F389" s="2942"/>
      <c r="G389">
        <f t="shared" si="6"/>
        <v>0</v>
      </c>
    </row>
    <row r="390" spans="1:7">
      <c r="A390" s="2940">
        <v>389</v>
      </c>
      <c r="B390" s="2941" t="s">
        <v>3429</v>
      </c>
      <c r="C390" s="2941">
        <v>26</v>
      </c>
      <c r="D390" s="2941" t="s">
        <v>27</v>
      </c>
      <c r="E390" s="2942">
        <v>52.17</v>
      </c>
      <c r="F390" s="2942"/>
      <c r="G390">
        <f t="shared" si="6"/>
        <v>0</v>
      </c>
    </row>
    <row r="391" spans="1:7">
      <c r="A391" s="2940">
        <v>390</v>
      </c>
      <c r="B391" s="2941" t="s">
        <v>3430</v>
      </c>
      <c r="C391" s="2941">
        <v>26</v>
      </c>
      <c r="D391" s="2941" t="s">
        <v>27</v>
      </c>
      <c r="E391" s="2942">
        <v>52.17</v>
      </c>
      <c r="F391" s="2942"/>
      <c r="G391">
        <f t="shared" si="6"/>
        <v>0</v>
      </c>
    </row>
    <row r="392" spans="1:7">
      <c r="A392" s="2940">
        <v>391</v>
      </c>
      <c r="B392" s="2941" t="s">
        <v>3431</v>
      </c>
      <c r="C392" s="2941">
        <v>26</v>
      </c>
      <c r="D392" s="2941" t="s">
        <v>27</v>
      </c>
      <c r="E392" s="2942">
        <v>52.17</v>
      </c>
      <c r="F392" s="2942"/>
      <c r="G392">
        <f t="shared" si="6"/>
        <v>0</v>
      </c>
    </row>
    <row r="393" spans="1:7">
      <c r="A393" s="2940">
        <v>392</v>
      </c>
      <c r="B393" s="2941" t="s">
        <v>3432</v>
      </c>
      <c r="C393" s="2941">
        <v>26</v>
      </c>
      <c r="D393" s="2941" t="s">
        <v>27</v>
      </c>
      <c r="E393" s="2942">
        <v>52.17</v>
      </c>
      <c r="F393" s="2942"/>
      <c r="G393">
        <f t="shared" si="6"/>
        <v>0</v>
      </c>
    </row>
    <row r="394" spans="1:7">
      <c r="A394" s="2940">
        <v>393</v>
      </c>
      <c r="B394" s="2941" t="s">
        <v>3433</v>
      </c>
      <c r="C394" s="2941">
        <v>26</v>
      </c>
      <c r="D394" s="2941" t="s">
        <v>27</v>
      </c>
      <c r="E394" s="2942">
        <v>52.17</v>
      </c>
      <c r="F394" s="2942"/>
      <c r="G394">
        <f t="shared" si="6"/>
        <v>0</v>
      </c>
    </row>
    <row r="395" spans="1:7">
      <c r="A395" s="2940">
        <v>394</v>
      </c>
      <c r="B395" s="2941" t="s">
        <v>3434</v>
      </c>
      <c r="C395" s="2941">
        <v>26</v>
      </c>
      <c r="D395" s="2941" t="s">
        <v>27</v>
      </c>
      <c r="E395" s="2942">
        <v>52.17</v>
      </c>
      <c r="F395" s="2942"/>
      <c r="G395">
        <f t="shared" si="6"/>
        <v>0</v>
      </c>
    </row>
    <row r="396" spans="1:7">
      <c r="A396" s="2940">
        <v>395</v>
      </c>
      <c r="B396" s="2941" t="s">
        <v>3435</v>
      </c>
      <c r="C396" s="2941">
        <v>26</v>
      </c>
      <c r="D396" s="2941" t="s">
        <v>27</v>
      </c>
      <c r="E396" s="2942">
        <v>52.17</v>
      </c>
      <c r="F396" s="2942"/>
      <c r="G396">
        <f t="shared" si="6"/>
        <v>0</v>
      </c>
    </row>
    <row r="397" spans="1:7">
      <c r="A397" s="2940">
        <v>396</v>
      </c>
      <c r="B397" s="2941" t="s">
        <v>3436</v>
      </c>
      <c r="C397" s="2941">
        <v>26</v>
      </c>
      <c r="D397" s="2941" t="s">
        <v>27</v>
      </c>
      <c r="E397" s="2942">
        <v>52.17</v>
      </c>
      <c r="F397" s="2942"/>
      <c r="G397">
        <f t="shared" si="6"/>
        <v>0</v>
      </c>
    </row>
    <row r="398" spans="1:7">
      <c r="A398" s="2940">
        <v>397</v>
      </c>
      <c r="B398" s="2941" t="s">
        <v>3437</v>
      </c>
      <c r="C398" s="2941">
        <v>26</v>
      </c>
      <c r="D398" s="2941" t="s">
        <v>27</v>
      </c>
      <c r="E398" s="2942">
        <v>80.73</v>
      </c>
      <c r="F398" s="2942"/>
      <c r="G398">
        <f t="shared" si="6"/>
        <v>0</v>
      </c>
    </row>
    <row r="399" spans="1:7">
      <c r="A399" s="2940">
        <v>398</v>
      </c>
      <c r="B399" s="2941" t="s">
        <v>3438</v>
      </c>
      <c r="C399" s="2941">
        <v>26</v>
      </c>
      <c r="D399" s="2941" t="s">
        <v>27</v>
      </c>
      <c r="E399" s="2942">
        <v>93.08</v>
      </c>
      <c r="F399" s="2942"/>
      <c r="G399">
        <f t="shared" si="6"/>
        <v>0</v>
      </c>
    </row>
    <row r="400" spans="1:7">
      <c r="A400" s="2940">
        <v>399</v>
      </c>
      <c r="B400" s="2941" t="s">
        <v>3439</v>
      </c>
      <c r="C400" s="2941">
        <v>26</v>
      </c>
      <c r="D400" s="2941" t="s">
        <v>27</v>
      </c>
      <c r="E400" s="2942">
        <v>93.08</v>
      </c>
      <c r="F400" s="2942"/>
      <c r="G400">
        <f t="shared" si="6"/>
        <v>0</v>
      </c>
    </row>
    <row r="401" spans="1:7">
      <c r="A401" s="2940">
        <v>400</v>
      </c>
      <c r="B401" s="2941" t="s">
        <v>3440</v>
      </c>
      <c r="C401" s="2941">
        <v>27</v>
      </c>
      <c r="D401" s="2941" t="s">
        <v>27</v>
      </c>
      <c r="E401" s="2942">
        <v>80.73</v>
      </c>
      <c r="F401" s="2942"/>
      <c r="G401">
        <f t="shared" si="6"/>
        <v>0</v>
      </c>
    </row>
    <row r="402" spans="1:7">
      <c r="A402" s="2940">
        <v>401</v>
      </c>
      <c r="B402" s="2941" t="s">
        <v>3441</v>
      </c>
      <c r="C402" s="2941">
        <v>27</v>
      </c>
      <c r="D402" s="2941" t="s">
        <v>27</v>
      </c>
      <c r="E402" s="2942">
        <v>52.17</v>
      </c>
      <c r="F402" s="2942"/>
      <c r="G402">
        <f t="shared" si="6"/>
        <v>0</v>
      </c>
    </row>
    <row r="403" spans="1:7">
      <c r="A403" s="2940">
        <v>402</v>
      </c>
      <c r="B403" s="2941" t="s">
        <v>3442</v>
      </c>
      <c r="C403" s="2941">
        <v>27</v>
      </c>
      <c r="D403" s="2941" t="s">
        <v>27</v>
      </c>
      <c r="E403" s="2942">
        <v>52.17</v>
      </c>
      <c r="F403" s="2942"/>
      <c r="G403">
        <f t="shared" si="6"/>
        <v>0</v>
      </c>
    </row>
    <row r="404" spans="1:7">
      <c r="A404" s="2940">
        <v>403</v>
      </c>
      <c r="B404" s="2941" t="s">
        <v>3443</v>
      </c>
      <c r="C404" s="2941">
        <v>27</v>
      </c>
      <c r="D404" s="2941" t="s">
        <v>27</v>
      </c>
      <c r="E404" s="2942">
        <v>52.17</v>
      </c>
      <c r="F404" s="2942"/>
      <c r="G404">
        <f t="shared" si="6"/>
        <v>0</v>
      </c>
    </row>
    <row r="405" spans="1:7">
      <c r="A405" s="2940">
        <v>404</v>
      </c>
      <c r="B405" s="2941" t="s">
        <v>3444</v>
      </c>
      <c r="C405" s="2941">
        <v>27</v>
      </c>
      <c r="D405" s="2941" t="s">
        <v>27</v>
      </c>
      <c r="E405" s="2942">
        <v>52.17</v>
      </c>
      <c r="F405" s="2942"/>
      <c r="G405">
        <f t="shared" si="6"/>
        <v>0</v>
      </c>
    </row>
    <row r="406" spans="1:7">
      <c r="A406" s="2940">
        <v>405</v>
      </c>
      <c r="B406" s="2941" t="s">
        <v>3445</v>
      </c>
      <c r="C406" s="2941">
        <v>27</v>
      </c>
      <c r="D406" s="2941" t="s">
        <v>27</v>
      </c>
      <c r="E406" s="2942">
        <v>52.17</v>
      </c>
      <c r="F406" s="2942"/>
      <c r="G406">
        <f t="shared" si="6"/>
        <v>0</v>
      </c>
    </row>
    <row r="407" spans="1:7">
      <c r="A407" s="2940">
        <v>406</v>
      </c>
      <c r="B407" s="2941" t="s">
        <v>3446</v>
      </c>
      <c r="C407" s="2941">
        <v>27</v>
      </c>
      <c r="D407" s="2941" t="s">
        <v>27</v>
      </c>
      <c r="E407" s="2942">
        <v>52.17</v>
      </c>
      <c r="F407" s="2942"/>
      <c r="G407">
        <f t="shared" si="6"/>
        <v>0</v>
      </c>
    </row>
    <row r="408" spans="1:7">
      <c r="A408" s="2940">
        <v>407</v>
      </c>
      <c r="B408" s="2941" t="s">
        <v>3447</v>
      </c>
      <c r="C408" s="2941">
        <v>27</v>
      </c>
      <c r="D408" s="2941" t="s">
        <v>27</v>
      </c>
      <c r="E408" s="2942">
        <v>52.17</v>
      </c>
      <c r="F408" s="2942"/>
      <c r="G408">
        <f t="shared" si="6"/>
        <v>0</v>
      </c>
    </row>
    <row r="409" spans="1:7">
      <c r="A409" s="2940">
        <v>408</v>
      </c>
      <c r="B409" s="2941" t="s">
        <v>3448</v>
      </c>
      <c r="C409" s="2941">
        <v>27</v>
      </c>
      <c r="D409" s="2941" t="s">
        <v>27</v>
      </c>
      <c r="E409" s="2942">
        <v>52.17</v>
      </c>
      <c r="F409" s="2942"/>
      <c r="G409">
        <f t="shared" si="6"/>
        <v>0</v>
      </c>
    </row>
    <row r="410" spans="1:7">
      <c r="A410" s="2940">
        <v>409</v>
      </c>
      <c r="B410" s="2941" t="s">
        <v>3449</v>
      </c>
      <c r="C410" s="2941">
        <v>27</v>
      </c>
      <c r="D410" s="2941" t="s">
        <v>27</v>
      </c>
      <c r="E410" s="2942">
        <v>52.17</v>
      </c>
      <c r="F410" s="2942"/>
      <c r="G410">
        <f t="shared" si="6"/>
        <v>0</v>
      </c>
    </row>
    <row r="411" spans="1:7">
      <c r="A411" s="2940">
        <v>410</v>
      </c>
      <c r="B411" s="2941" t="s">
        <v>3450</v>
      </c>
      <c r="C411" s="2941">
        <v>27</v>
      </c>
      <c r="D411" s="2941" t="s">
        <v>27</v>
      </c>
      <c r="E411" s="2942">
        <v>52.17</v>
      </c>
      <c r="F411" s="2942"/>
      <c r="G411">
        <f t="shared" si="6"/>
        <v>0</v>
      </c>
    </row>
    <row r="412" spans="1:7">
      <c r="A412" s="2940">
        <v>411</v>
      </c>
      <c r="B412" s="2941" t="s">
        <v>3451</v>
      </c>
      <c r="C412" s="2941">
        <v>27</v>
      </c>
      <c r="D412" s="2941" t="s">
        <v>27</v>
      </c>
      <c r="E412" s="2942">
        <v>80.73</v>
      </c>
      <c r="F412" s="2942"/>
      <c r="G412">
        <f t="shared" si="6"/>
        <v>0</v>
      </c>
    </row>
    <row r="413" spans="1:7">
      <c r="A413" s="2940">
        <v>412</v>
      </c>
      <c r="B413" s="2941" t="s">
        <v>3452</v>
      </c>
      <c r="C413" s="2941">
        <v>27</v>
      </c>
      <c r="D413" s="2941" t="s">
        <v>27</v>
      </c>
      <c r="E413" s="2942">
        <v>67.36</v>
      </c>
      <c r="F413" s="2942"/>
      <c r="G413">
        <f t="shared" si="6"/>
        <v>0</v>
      </c>
    </row>
    <row r="414" spans="1:7">
      <c r="A414" s="2940">
        <v>413</v>
      </c>
      <c r="B414" s="2941" t="s">
        <v>3453</v>
      </c>
      <c r="C414" s="2941">
        <v>27</v>
      </c>
      <c r="D414" s="2941" t="s">
        <v>27</v>
      </c>
      <c r="E414" s="2942">
        <v>67.36</v>
      </c>
      <c r="F414" s="2942"/>
      <c r="G414">
        <f t="shared" si="6"/>
        <v>0</v>
      </c>
    </row>
    <row r="415" spans="1:7">
      <c r="A415" s="2940">
        <v>414</v>
      </c>
      <c r="B415" s="2941" t="s">
        <v>3454</v>
      </c>
      <c r="C415" s="2941">
        <v>27</v>
      </c>
      <c r="D415" s="2941" t="s">
        <v>27</v>
      </c>
      <c r="E415" s="2942">
        <v>80.73</v>
      </c>
      <c r="F415" s="2942"/>
      <c r="G415">
        <f t="shared" si="6"/>
        <v>0</v>
      </c>
    </row>
    <row r="416" spans="1:7">
      <c r="A416" s="2940">
        <v>415</v>
      </c>
      <c r="B416" s="2941" t="s">
        <v>3455</v>
      </c>
      <c r="C416" s="2941">
        <v>27</v>
      </c>
      <c r="D416" s="2941" t="s">
        <v>27</v>
      </c>
      <c r="E416" s="2942">
        <v>52.17</v>
      </c>
      <c r="F416" s="2942"/>
      <c r="G416">
        <f t="shared" si="6"/>
        <v>0</v>
      </c>
    </row>
    <row r="417" spans="1:7">
      <c r="A417" s="2940">
        <v>416</v>
      </c>
      <c r="B417" s="2941" t="s">
        <v>3456</v>
      </c>
      <c r="C417" s="2941">
        <v>27</v>
      </c>
      <c r="D417" s="2941" t="s">
        <v>27</v>
      </c>
      <c r="E417" s="2942">
        <v>52.17</v>
      </c>
      <c r="F417" s="2942"/>
      <c r="G417">
        <f t="shared" si="6"/>
        <v>0</v>
      </c>
    </row>
    <row r="418" spans="1:7">
      <c r="A418" s="2940">
        <v>417</v>
      </c>
      <c r="B418" s="2941" t="s">
        <v>3457</v>
      </c>
      <c r="C418" s="2941">
        <v>27</v>
      </c>
      <c r="D418" s="2941" t="s">
        <v>27</v>
      </c>
      <c r="E418" s="2942">
        <v>52.17</v>
      </c>
      <c r="F418" s="2942"/>
      <c r="G418">
        <f t="shared" si="6"/>
        <v>0</v>
      </c>
    </row>
    <row r="419" spans="1:7">
      <c r="A419" s="2940">
        <v>418</v>
      </c>
      <c r="B419" s="2941" t="s">
        <v>3458</v>
      </c>
      <c r="C419" s="2941">
        <v>27</v>
      </c>
      <c r="D419" s="2941" t="s">
        <v>27</v>
      </c>
      <c r="E419" s="2942">
        <v>52.17</v>
      </c>
      <c r="F419" s="2942"/>
      <c r="G419">
        <f t="shared" si="6"/>
        <v>0</v>
      </c>
    </row>
    <row r="420" spans="1:7">
      <c r="A420" s="2940">
        <v>419</v>
      </c>
      <c r="B420" s="2941" t="s">
        <v>3459</v>
      </c>
      <c r="C420" s="2941">
        <v>27</v>
      </c>
      <c r="D420" s="2941" t="s">
        <v>27</v>
      </c>
      <c r="E420" s="2942">
        <v>52.17</v>
      </c>
      <c r="F420" s="2942"/>
      <c r="G420">
        <f t="shared" si="6"/>
        <v>0</v>
      </c>
    </row>
    <row r="421" spans="1:7">
      <c r="A421" s="2940">
        <v>420</v>
      </c>
      <c r="B421" s="2941" t="s">
        <v>3460</v>
      </c>
      <c r="C421" s="2941">
        <v>27</v>
      </c>
      <c r="D421" s="2941" t="s">
        <v>27</v>
      </c>
      <c r="E421" s="2942">
        <v>52.17</v>
      </c>
      <c r="F421" s="2942"/>
      <c r="G421">
        <f t="shared" si="6"/>
        <v>0</v>
      </c>
    </row>
    <row r="422" spans="1:7">
      <c r="A422" s="2940">
        <v>421</v>
      </c>
      <c r="B422" s="2941" t="s">
        <v>3461</v>
      </c>
      <c r="C422" s="2941">
        <v>27</v>
      </c>
      <c r="D422" s="2941" t="s">
        <v>27</v>
      </c>
      <c r="E422" s="2942">
        <v>52.17</v>
      </c>
      <c r="F422" s="2942"/>
      <c r="G422">
        <f t="shared" si="6"/>
        <v>0</v>
      </c>
    </row>
    <row r="423" spans="1:7">
      <c r="A423" s="2940">
        <v>422</v>
      </c>
      <c r="B423" s="2941" t="s">
        <v>3462</v>
      </c>
      <c r="C423" s="2941">
        <v>27</v>
      </c>
      <c r="D423" s="2941" t="s">
        <v>27</v>
      </c>
      <c r="E423" s="2942">
        <v>52.17</v>
      </c>
      <c r="F423" s="2942"/>
      <c r="G423">
        <f t="shared" si="6"/>
        <v>0</v>
      </c>
    </row>
    <row r="424" spans="1:7">
      <c r="A424" s="2940">
        <v>423</v>
      </c>
      <c r="B424" s="2941" t="s">
        <v>3463</v>
      </c>
      <c r="C424" s="2941">
        <v>27</v>
      </c>
      <c r="D424" s="2941" t="s">
        <v>27</v>
      </c>
      <c r="E424" s="2942">
        <v>52.17</v>
      </c>
      <c r="F424" s="2942"/>
      <c r="G424">
        <f t="shared" si="6"/>
        <v>0</v>
      </c>
    </row>
    <row r="425" spans="1:7">
      <c r="A425" s="2940">
        <v>424</v>
      </c>
      <c r="B425" s="2941" t="s">
        <v>3464</v>
      </c>
      <c r="C425" s="2941">
        <v>27</v>
      </c>
      <c r="D425" s="2941" t="s">
        <v>27</v>
      </c>
      <c r="E425" s="2942">
        <v>52.17</v>
      </c>
      <c r="F425" s="2942"/>
      <c r="G425">
        <f t="shared" si="6"/>
        <v>0</v>
      </c>
    </row>
    <row r="426" spans="1:7">
      <c r="A426" s="2940">
        <v>425</v>
      </c>
      <c r="B426" s="2941" t="s">
        <v>3465</v>
      </c>
      <c r="C426" s="2941">
        <v>27</v>
      </c>
      <c r="D426" s="2941" t="s">
        <v>27</v>
      </c>
      <c r="E426" s="2942">
        <v>80.73</v>
      </c>
      <c r="F426" s="2942"/>
      <c r="G426">
        <f t="shared" si="6"/>
        <v>0</v>
      </c>
    </row>
    <row r="427" spans="1:7">
      <c r="A427" s="2940">
        <v>426</v>
      </c>
      <c r="B427" s="2941" t="s">
        <v>3466</v>
      </c>
      <c r="C427" s="2941">
        <v>27</v>
      </c>
      <c r="D427" s="2941" t="s">
        <v>27</v>
      </c>
      <c r="E427" s="2942">
        <v>93.08</v>
      </c>
      <c r="F427" s="2942"/>
      <c r="G427">
        <f t="shared" si="6"/>
        <v>0</v>
      </c>
    </row>
    <row r="428" spans="1:7">
      <c r="A428" s="2940">
        <v>427</v>
      </c>
      <c r="B428" s="2941" t="s">
        <v>3467</v>
      </c>
      <c r="C428" s="2941">
        <v>27</v>
      </c>
      <c r="D428" s="2941" t="s">
        <v>27</v>
      </c>
      <c r="E428" s="2942">
        <v>93.08</v>
      </c>
      <c r="F428" s="2942"/>
      <c r="G428">
        <f t="shared" si="6"/>
        <v>0</v>
      </c>
    </row>
    <row r="429" spans="1:7">
      <c r="A429" s="2940">
        <v>428</v>
      </c>
      <c r="B429" s="2941" t="s">
        <v>3468</v>
      </c>
      <c r="C429" s="2941">
        <v>3</v>
      </c>
      <c r="D429" s="2941" t="s">
        <v>27</v>
      </c>
      <c r="E429" s="2942">
        <v>73.3</v>
      </c>
      <c r="F429" s="2942">
        <v>596791</v>
      </c>
      <c r="G429">
        <f t="shared" si="6"/>
        <v>8142</v>
      </c>
    </row>
    <row r="430" spans="1:7">
      <c r="A430" s="2940">
        <v>429</v>
      </c>
      <c r="B430" s="2941" t="s">
        <v>3469</v>
      </c>
      <c r="C430" s="2941">
        <v>3</v>
      </c>
      <c r="D430" s="2941" t="s">
        <v>27</v>
      </c>
      <c r="E430" s="2942">
        <v>47.36</v>
      </c>
      <c r="F430" s="2942">
        <v>404682</v>
      </c>
      <c r="G430">
        <f t="shared" si="6"/>
        <v>8545</v>
      </c>
    </row>
    <row r="431" spans="1:7">
      <c r="A431" s="2940">
        <v>430</v>
      </c>
      <c r="B431" s="2941" t="s">
        <v>3470</v>
      </c>
      <c r="C431" s="2941">
        <v>3</v>
      </c>
      <c r="D431" s="2941" t="s">
        <v>27</v>
      </c>
      <c r="E431" s="2942">
        <v>94.72</v>
      </c>
      <c r="F431" s="2942">
        <v>798470</v>
      </c>
      <c r="G431">
        <f t="shared" si="6"/>
        <v>8430</v>
      </c>
    </row>
    <row r="432" spans="1:7">
      <c r="A432" s="2940">
        <v>431</v>
      </c>
      <c r="B432" s="2941" t="s">
        <v>3471</v>
      </c>
      <c r="C432" s="2941">
        <v>3</v>
      </c>
      <c r="D432" s="2941" t="s">
        <v>27</v>
      </c>
      <c r="E432" s="2942">
        <v>94.72</v>
      </c>
      <c r="F432" s="2942">
        <v>782131</v>
      </c>
      <c r="G432">
        <f t="shared" si="6"/>
        <v>8257</v>
      </c>
    </row>
    <row r="433" spans="1:7">
      <c r="A433" s="2940">
        <v>432</v>
      </c>
      <c r="B433" s="2941" t="s">
        <v>3472</v>
      </c>
      <c r="C433" s="2941">
        <v>3</v>
      </c>
      <c r="D433" s="2941" t="s">
        <v>27</v>
      </c>
      <c r="E433" s="2942">
        <v>94.72</v>
      </c>
      <c r="F433" s="2942">
        <v>782131</v>
      </c>
      <c r="G433">
        <f t="shared" si="6"/>
        <v>8257</v>
      </c>
    </row>
    <row r="434" spans="1:7">
      <c r="A434" s="2940">
        <v>433</v>
      </c>
      <c r="B434" s="2941" t="s">
        <v>3473</v>
      </c>
      <c r="C434" s="2941">
        <v>3</v>
      </c>
      <c r="D434" s="2941" t="s">
        <v>27</v>
      </c>
      <c r="E434" s="2942">
        <v>94.72</v>
      </c>
      <c r="F434" s="2942">
        <v>782131</v>
      </c>
      <c r="G434">
        <f t="shared" si="6"/>
        <v>8257</v>
      </c>
    </row>
    <row r="435" spans="1:7">
      <c r="A435" s="2940">
        <v>434</v>
      </c>
      <c r="B435" s="2941" t="s">
        <v>3474</v>
      </c>
      <c r="C435" s="2941">
        <v>3</v>
      </c>
      <c r="D435" s="2941" t="s">
        <v>27</v>
      </c>
      <c r="E435" s="2942">
        <v>198.06</v>
      </c>
      <c r="F435" s="2942">
        <v>1567034</v>
      </c>
      <c r="G435">
        <f t="shared" si="6"/>
        <v>7912</v>
      </c>
    </row>
    <row r="436" spans="1:7">
      <c r="A436" s="2940">
        <v>435</v>
      </c>
      <c r="B436" s="2941" t="s">
        <v>3475</v>
      </c>
      <c r="C436" s="2941">
        <v>3</v>
      </c>
      <c r="D436" s="2941" t="s">
        <v>27</v>
      </c>
      <c r="E436" s="2942">
        <v>198.06</v>
      </c>
      <c r="F436" s="2942">
        <v>1567034</v>
      </c>
      <c r="G436">
        <f t="shared" si="6"/>
        <v>7912</v>
      </c>
    </row>
    <row r="437" spans="1:7">
      <c r="A437" s="2940">
        <v>436</v>
      </c>
      <c r="B437" s="2941" t="s">
        <v>3476</v>
      </c>
      <c r="C437" s="2941">
        <v>3</v>
      </c>
      <c r="D437" s="2941" t="s">
        <v>27</v>
      </c>
      <c r="E437" s="2942">
        <v>198.06</v>
      </c>
      <c r="F437" s="2942">
        <v>1567034</v>
      </c>
      <c r="G437">
        <f t="shared" si="6"/>
        <v>7912</v>
      </c>
    </row>
    <row r="438" spans="1:7">
      <c r="A438" s="2940">
        <v>437</v>
      </c>
      <c r="B438" s="2941" t="s">
        <v>3477</v>
      </c>
      <c r="C438" s="2941">
        <v>3</v>
      </c>
      <c r="D438" s="2941" t="s">
        <v>27</v>
      </c>
      <c r="E438" s="2942">
        <v>226.35</v>
      </c>
      <c r="F438" s="2942">
        <v>1829941</v>
      </c>
      <c r="G438">
        <f t="shared" si="6"/>
        <v>8085</v>
      </c>
    </row>
    <row r="439" spans="1:7">
      <c r="A439" s="2940">
        <v>438</v>
      </c>
      <c r="B439" s="2941" t="s">
        <v>3478</v>
      </c>
      <c r="C439" s="2941">
        <v>3</v>
      </c>
      <c r="D439" s="2941" t="s">
        <v>27</v>
      </c>
      <c r="E439" s="2942">
        <v>47.36</v>
      </c>
      <c r="F439" s="2942">
        <v>404682</v>
      </c>
      <c r="G439">
        <f t="shared" si="6"/>
        <v>8545</v>
      </c>
    </row>
    <row r="440" spans="1:7">
      <c r="A440" s="2940">
        <v>439</v>
      </c>
      <c r="B440" s="2941" t="s">
        <v>3479</v>
      </c>
      <c r="C440" s="2941">
        <v>3</v>
      </c>
      <c r="D440" s="2941" t="s">
        <v>27</v>
      </c>
      <c r="E440" s="2942">
        <v>73.3</v>
      </c>
      <c r="F440" s="2942">
        <v>596791</v>
      </c>
      <c r="G440">
        <f t="shared" si="6"/>
        <v>8142</v>
      </c>
    </row>
    <row r="441" spans="1:7">
      <c r="A441" s="2940">
        <v>440</v>
      </c>
      <c r="B441" s="2941" t="s">
        <v>3480</v>
      </c>
      <c r="C441" s="2941">
        <v>3</v>
      </c>
      <c r="D441" s="2941" t="s">
        <v>27</v>
      </c>
      <c r="E441" s="2942">
        <v>130.02000000000001</v>
      </c>
      <c r="F441" s="2942">
        <v>1103459</v>
      </c>
      <c r="G441">
        <f t="shared" si="6"/>
        <v>8487</v>
      </c>
    </row>
    <row r="442" spans="1:7">
      <c r="A442" s="2940">
        <v>441</v>
      </c>
      <c r="B442" s="2941" t="s">
        <v>3481</v>
      </c>
      <c r="C442" s="2941">
        <v>4</v>
      </c>
      <c r="D442" s="2941" t="s">
        <v>27</v>
      </c>
      <c r="E442" s="2942">
        <v>73.3</v>
      </c>
      <c r="F442" s="2942">
        <v>598477</v>
      </c>
      <c r="G442">
        <f t="shared" si="6"/>
        <v>8165</v>
      </c>
    </row>
    <row r="443" spans="1:7">
      <c r="A443" s="2940">
        <v>442</v>
      </c>
      <c r="B443" s="2941" t="s">
        <v>3482</v>
      </c>
      <c r="C443" s="2941">
        <v>4</v>
      </c>
      <c r="D443" s="2941" t="s">
        <v>27</v>
      </c>
      <c r="E443" s="2942">
        <v>47.36</v>
      </c>
      <c r="F443" s="2942">
        <v>405771</v>
      </c>
      <c r="G443">
        <f t="shared" si="6"/>
        <v>8568</v>
      </c>
    </row>
    <row r="444" spans="1:7">
      <c r="A444" s="2940">
        <v>443</v>
      </c>
      <c r="B444" s="2941" t="s">
        <v>3483</v>
      </c>
      <c r="C444" s="2941">
        <v>4</v>
      </c>
      <c r="D444" s="2941" t="s">
        <v>27</v>
      </c>
      <c r="E444" s="2942">
        <v>94.72</v>
      </c>
      <c r="F444" s="2942">
        <v>800649</v>
      </c>
      <c r="G444">
        <f t="shared" si="6"/>
        <v>8453</v>
      </c>
    </row>
    <row r="445" spans="1:7">
      <c r="A445" s="2940">
        <v>444</v>
      </c>
      <c r="B445" s="2941" t="s">
        <v>3484</v>
      </c>
      <c r="C445" s="2941">
        <v>4</v>
      </c>
      <c r="D445" s="2941" t="s">
        <v>27</v>
      </c>
      <c r="E445" s="2942">
        <v>94.72</v>
      </c>
      <c r="F445" s="2942">
        <v>784309</v>
      </c>
      <c r="G445">
        <f t="shared" si="6"/>
        <v>8280</v>
      </c>
    </row>
    <row r="446" spans="1:7">
      <c r="A446" s="2940">
        <v>445</v>
      </c>
      <c r="B446" s="2941" t="s">
        <v>3485</v>
      </c>
      <c r="C446" s="2941">
        <v>4</v>
      </c>
      <c r="D446" s="2941" t="s">
        <v>27</v>
      </c>
      <c r="E446" s="2942">
        <v>94.72</v>
      </c>
      <c r="F446" s="2942">
        <v>784309</v>
      </c>
      <c r="G446">
        <f t="shared" si="6"/>
        <v>8280</v>
      </c>
    </row>
    <row r="447" spans="1:7">
      <c r="A447" s="2940">
        <v>446</v>
      </c>
      <c r="B447" s="2941" t="s">
        <v>3486</v>
      </c>
      <c r="C447" s="2941">
        <v>4</v>
      </c>
      <c r="D447" s="2941" t="s">
        <v>27</v>
      </c>
      <c r="E447" s="2942">
        <v>94.72</v>
      </c>
      <c r="F447" s="2942">
        <v>784309</v>
      </c>
      <c r="G447">
        <f t="shared" si="6"/>
        <v>8280</v>
      </c>
    </row>
    <row r="448" spans="1:7">
      <c r="A448" s="2940">
        <v>447</v>
      </c>
      <c r="B448" s="2941" t="s">
        <v>3487</v>
      </c>
      <c r="C448" s="2941">
        <v>4</v>
      </c>
      <c r="D448" s="2941" t="s">
        <v>27</v>
      </c>
      <c r="E448" s="2942">
        <v>198.06</v>
      </c>
      <c r="F448" s="2942">
        <v>1571589</v>
      </c>
      <c r="G448">
        <f t="shared" si="6"/>
        <v>7935</v>
      </c>
    </row>
    <row r="449" spans="1:7">
      <c r="A449" s="2940">
        <v>448</v>
      </c>
      <c r="B449" s="2941" t="s">
        <v>3488</v>
      </c>
      <c r="C449" s="2941">
        <v>4</v>
      </c>
      <c r="D449" s="2941" t="s">
        <v>27</v>
      </c>
      <c r="E449" s="2942">
        <v>198.06</v>
      </c>
      <c r="F449" s="2942">
        <v>1571589</v>
      </c>
      <c r="G449">
        <f t="shared" si="6"/>
        <v>7935</v>
      </c>
    </row>
    <row r="450" spans="1:7">
      <c r="A450" s="2940">
        <v>449</v>
      </c>
      <c r="B450" s="2941" t="s">
        <v>3489</v>
      </c>
      <c r="C450" s="2941">
        <v>4</v>
      </c>
      <c r="D450" s="2941" t="s">
        <v>27</v>
      </c>
      <c r="E450" s="2942">
        <v>198.06</v>
      </c>
      <c r="F450" s="2942">
        <v>1571589</v>
      </c>
      <c r="G450">
        <f t="shared" si="6"/>
        <v>7935</v>
      </c>
    </row>
    <row r="451" spans="1:7">
      <c r="A451" s="2940">
        <v>450</v>
      </c>
      <c r="B451" s="2941" t="s">
        <v>3490</v>
      </c>
      <c r="C451" s="2941">
        <v>4</v>
      </c>
      <c r="D451" s="2941" t="s">
        <v>27</v>
      </c>
      <c r="E451" s="2942">
        <v>226.35</v>
      </c>
      <c r="F451" s="2942">
        <v>1835148</v>
      </c>
      <c r="G451">
        <f t="shared" ref="G451:G514" si="7">ROUND(F451/E451,0)</f>
        <v>8108</v>
      </c>
    </row>
    <row r="452" spans="1:7">
      <c r="A452" s="2940">
        <v>451</v>
      </c>
      <c r="B452" s="2941" t="s">
        <v>3491</v>
      </c>
      <c r="C452" s="2941">
        <v>4</v>
      </c>
      <c r="D452" s="2941" t="s">
        <v>27</v>
      </c>
      <c r="E452" s="2942">
        <v>47.36</v>
      </c>
      <c r="F452" s="2942">
        <v>405771</v>
      </c>
      <c r="G452">
        <f t="shared" si="7"/>
        <v>8568</v>
      </c>
    </row>
    <row r="453" spans="1:7">
      <c r="A453" s="2940">
        <v>452</v>
      </c>
      <c r="B453" s="2941" t="s">
        <v>3492</v>
      </c>
      <c r="C453" s="2941">
        <v>4</v>
      </c>
      <c r="D453" s="2941" t="s">
        <v>27</v>
      </c>
      <c r="E453" s="2942">
        <v>73.3</v>
      </c>
      <c r="F453" s="2942">
        <v>598477</v>
      </c>
      <c r="G453">
        <f t="shared" si="7"/>
        <v>8165</v>
      </c>
    </row>
    <row r="454" spans="1:7">
      <c r="A454" s="2940">
        <v>453</v>
      </c>
      <c r="B454" s="2941" t="s">
        <v>3493</v>
      </c>
      <c r="C454" s="2941">
        <v>4</v>
      </c>
      <c r="D454" s="2941" t="s">
        <v>27</v>
      </c>
      <c r="E454" s="2942">
        <v>130.02000000000001</v>
      </c>
      <c r="F454" s="2942">
        <v>1106450</v>
      </c>
      <c r="G454">
        <f t="shared" si="7"/>
        <v>8510</v>
      </c>
    </row>
    <row r="455" spans="1:7">
      <c r="A455" s="2940">
        <v>454</v>
      </c>
      <c r="B455" s="2941" t="s">
        <v>3494</v>
      </c>
      <c r="C455" s="2941">
        <v>5</v>
      </c>
      <c r="D455" s="2941" t="s">
        <v>27</v>
      </c>
      <c r="E455" s="2942">
        <v>73.3</v>
      </c>
      <c r="F455" s="2942">
        <v>600162</v>
      </c>
      <c r="G455">
        <f t="shared" si="7"/>
        <v>8188</v>
      </c>
    </row>
    <row r="456" spans="1:7">
      <c r="A456" s="2940">
        <v>455</v>
      </c>
      <c r="B456" s="2941" t="s">
        <v>3495</v>
      </c>
      <c r="C456" s="2941">
        <v>5</v>
      </c>
      <c r="D456" s="2941" t="s">
        <v>27</v>
      </c>
      <c r="E456" s="2942">
        <v>47.36</v>
      </c>
      <c r="F456" s="2942">
        <v>406860</v>
      </c>
      <c r="G456">
        <f t="shared" si="7"/>
        <v>8591</v>
      </c>
    </row>
    <row r="457" spans="1:7">
      <c r="A457" s="2940">
        <v>456</v>
      </c>
      <c r="B457" s="2941" t="s">
        <v>3496</v>
      </c>
      <c r="C457" s="2941">
        <v>5</v>
      </c>
      <c r="D457" s="2941" t="s">
        <v>27</v>
      </c>
      <c r="E457" s="2942">
        <v>94.72</v>
      </c>
      <c r="F457" s="2942">
        <v>802828</v>
      </c>
      <c r="G457">
        <f t="shared" si="7"/>
        <v>8476</v>
      </c>
    </row>
    <row r="458" spans="1:7">
      <c r="A458" s="2940">
        <v>457</v>
      </c>
      <c r="B458" s="2941" t="s">
        <v>3497</v>
      </c>
      <c r="C458" s="2941">
        <v>5</v>
      </c>
      <c r="D458" s="2941" t="s">
        <v>27</v>
      </c>
      <c r="E458" s="2942">
        <v>94.72</v>
      </c>
      <c r="F458" s="2942">
        <v>786488</v>
      </c>
      <c r="G458">
        <f t="shared" si="7"/>
        <v>8303</v>
      </c>
    </row>
    <row r="459" spans="1:7">
      <c r="A459" s="2940">
        <v>458</v>
      </c>
      <c r="B459" s="2941" t="s">
        <v>3498</v>
      </c>
      <c r="C459" s="2941">
        <v>5</v>
      </c>
      <c r="D459" s="2941" t="s">
        <v>27</v>
      </c>
      <c r="E459" s="2942">
        <v>94.72</v>
      </c>
      <c r="F459" s="2942">
        <v>786488</v>
      </c>
      <c r="G459">
        <f t="shared" si="7"/>
        <v>8303</v>
      </c>
    </row>
    <row r="460" spans="1:7">
      <c r="A460" s="2940">
        <v>459</v>
      </c>
      <c r="B460" s="2941" t="s">
        <v>3499</v>
      </c>
      <c r="C460" s="2941">
        <v>5</v>
      </c>
      <c r="D460" s="2941" t="s">
        <v>27</v>
      </c>
      <c r="E460" s="2942">
        <v>94.72</v>
      </c>
      <c r="F460" s="2942">
        <v>786488</v>
      </c>
      <c r="G460">
        <f t="shared" si="7"/>
        <v>8303</v>
      </c>
    </row>
    <row r="461" spans="1:7">
      <c r="A461" s="2940">
        <v>460</v>
      </c>
      <c r="B461" s="2941" t="s">
        <v>3500</v>
      </c>
      <c r="C461" s="2941">
        <v>5</v>
      </c>
      <c r="D461" s="2941" t="s">
        <v>27</v>
      </c>
      <c r="E461" s="2942">
        <v>198.06</v>
      </c>
      <c r="F461" s="2942">
        <v>1576144</v>
      </c>
      <c r="G461">
        <f t="shared" si="7"/>
        <v>7958</v>
      </c>
    </row>
    <row r="462" spans="1:7">
      <c r="A462" s="2940">
        <v>461</v>
      </c>
      <c r="B462" s="2941" t="s">
        <v>3501</v>
      </c>
      <c r="C462" s="2941">
        <v>5</v>
      </c>
      <c r="D462" s="2941" t="s">
        <v>27</v>
      </c>
      <c r="E462" s="2942">
        <v>198.06</v>
      </c>
      <c r="F462" s="2942">
        <v>1576144</v>
      </c>
      <c r="G462">
        <f t="shared" si="7"/>
        <v>7958</v>
      </c>
    </row>
    <row r="463" spans="1:7">
      <c r="A463" s="2940">
        <v>462</v>
      </c>
      <c r="B463" s="2941" t="s">
        <v>3502</v>
      </c>
      <c r="C463" s="2941">
        <v>5</v>
      </c>
      <c r="D463" s="2941" t="s">
        <v>27</v>
      </c>
      <c r="E463" s="2942">
        <v>198.06</v>
      </c>
      <c r="F463" s="2942">
        <v>1576144</v>
      </c>
      <c r="G463">
        <f t="shared" si="7"/>
        <v>7958</v>
      </c>
    </row>
    <row r="464" spans="1:7">
      <c r="A464" s="2940">
        <v>463</v>
      </c>
      <c r="B464" s="2941" t="s">
        <v>3503</v>
      </c>
      <c r="C464" s="2941">
        <v>5</v>
      </c>
      <c r="D464" s="2941" t="s">
        <v>27</v>
      </c>
      <c r="E464" s="2942">
        <v>226.35</v>
      </c>
      <c r="F464" s="2942">
        <v>1840354</v>
      </c>
      <c r="G464">
        <f t="shared" si="7"/>
        <v>8131</v>
      </c>
    </row>
    <row r="465" spans="1:7">
      <c r="A465" s="2940">
        <v>464</v>
      </c>
      <c r="B465" s="2941" t="s">
        <v>3504</v>
      </c>
      <c r="C465" s="2941">
        <v>5</v>
      </c>
      <c r="D465" s="2941" t="s">
        <v>27</v>
      </c>
      <c r="E465" s="2942">
        <v>47.36</v>
      </c>
      <c r="F465" s="2942">
        <v>406860</v>
      </c>
      <c r="G465">
        <f t="shared" si="7"/>
        <v>8591</v>
      </c>
    </row>
    <row r="466" spans="1:7">
      <c r="A466" s="2940">
        <v>465</v>
      </c>
      <c r="B466" s="2941" t="s">
        <v>3505</v>
      </c>
      <c r="C466" s="2941">
        <v>5</v>
      </c>
      <c r="D466" s="2941" t="s">
        <v>27</v>
      </c>
      <c r="E466" s="2942">
        <v>73.3</v>
      </c>
      <c r="F466" s="2942">
        <v>600162</v>
      </c>
      <c r="G466">
        <f t="shared" si="7"/>
        <v>8188</v>
      </c>
    </row>
    <row r="467" spans="1:7">
      <c r="A467" s="2940">
        <v>466</v>
      </c>
      <c r="B467" s="2941" t="s">
        <v>3506</v>
      </c>
      <c r="C467" s="2941">
        <v>5</v>
      </c>
      <c r="D467" s="2941" t="s">
        <v>27</v>
      </c>
      <c r="E467" s="2942">
        <v>130.02000000000001</v>
      </c>
      <c r="F467" s="2942">
        <v>1109440</v>
      </c>
      <c r="G467">
        <f t="shared" si="7"/>
        <v>8533</v>
      </c>
    </row>
    <row r="468" spans="1:7">
      <c r="A468" s="2940">
        <v>467</v>
      </c>
      <c r="B468" s="2941" t="s">
        <v>3507</v>
      </c>
      <c r="C468" s="2941">
        <v>6</v>
      </c>
      <c r="D468" s="2941" t="s">
        <v>27</v>
      </c>
      <c r="E468" s="2942">
        <v>76.540000000000006</v>
      </c>
      <c r="F468" s="2942"/>
      <c r="G468">
        <f t="shared" si="7"/>
        <v>0</v>
      </c>
    </row>
    <row r="469" spans="1:7">
      <c r="A469" s="2940">
        <v>468</v>
      </c>
      <c r="B469" s="2941" t="s">
        <v>3508</v>
      </c>
      <c r="C469" s="2941">
        <v>6</v>
      </c>
      <c r="D469" s="2941" t="s">
        <v>27</v>
      </c>
      <c r="E469" s="2942">
        <v>49.45</v>
      </c>
      <c r="F469" s="2942"/>
      <c r="G469">
        <f t="shared" si="7"/>
        <v>0</v>
      </c>
    </row>
    <row r="470" spans="1:7">
      <c r="A470" s="2940">
        <v>469</v>
      </c>
      <c r="B470" s="2941" t="s">
        <v>3509</v>
      </c>
      <c r="C470" s="2941">
        <v>6</v>
      </c>
      <c r="D470" s="2941" t="s">
        <v>27</v>
      </c>
      <c r="E470" s="2942">
        <v>98.91</v>
      </c>
      <c r="F470" s="2942"/>
      <c r="G470">
        <f t="shared" si="7"/>
        <v>0</v>
      </c>
    </row>
    <row r="471" spans="1:7">
      <c r="A471" s="2940">
        <v>470</v>
      </c>
      <c r="B471" s="2941" t="s">
        <v>3510</v>
      </c>
      <c r="C471" s="2941">
        <v>6</v>
      </c>
      <c r="D471" s="2941" t="s">
        <v>27</v>
      </c>
      <c r="E471" s="2942">
        <v>98.91</v>
      </c>
      <c r="F471" s="2942"/>
      <c r="G471">
        <f t="shared" si="7"/>
        <v>0</v>
      </c>
    </row>
    <row r="472" spans="1:7">
      <c r="A472" s="2940">
        <v>471</v>
      </c>
      <c r="B472" s="2941" t="s">
        <v>3511</v>
      </c>
      <c r="C472" s="2941">
        <v>6</v>
      </c>
      <c r="D472" s="2941" t="s">
        <v>27</v>
      </c>
      <c r="E472" s="2942">
        <v>98.91</v>
      </c>
      <c r="F472" s="2942"/>
      <c r="G472">
        <f t="shared" si="7"/>
        <v>0</v>
      </c>
    </row>
    <row r="473" spans="1:7">
      <c r="A473" s="2940">
        <v>472</v>
      </c>
      <c r="B473" s="2941" t="s">
        <v>3512</v>
      </c>
      <c r="C473" s="2941">
        <v>6</v>
      </c>
      <c r="D473" s="2941" t="s">
        <v>27</v>
      </c>
      <c r="E473" s="2942">
        <v>98.91</v>
      </c>
      <c r="F473" s="2942"/>
      <c r="G473">
        <f t="shared" si="7"/>
        <v>0</v>
      </c>
    </row>
    <row r="474" spans="1:7">
      <c r="A474" s="2940">
        <v>473</v>
      </c>
      <c r="B474" s="2941" t="s">
        <v>3513</v>
      </c>
      <c r="C474" s="2941">
        <v>6</v>
      </c>
      <c r="D474" s="2941" t="s">
        <v>27</v>
      </c>
      <c r="E474" s="2942">
        <v>125.99</v>
      </c>
      <c r="F474" s="2942"/>
      <c r="G474">
        <f t="shared" si="7"/>
        <v>0</v>
      </c>
    </row>
    <row r="475" spans="1:7">
      <c r="A475" s="2940">
        <v>474</v>
      </c>
      <c r="B475" s="2941" t="s">
        <v>3514</v>
      </c>
      <c r="C475" s="2941">
        <v>6</v>
      </c>
      <c r="D475" s="2941" t="s">
        <v>27</v>
      </c>
      <c r="E475" s="2942">
        <v>135.76</v>
      </c>
      <c r="F475" s="2942"/>
      <c r="G475">
        <f t="shared" si="7"/>
        <v>0</v>
      </c>
    </row>
    <row r="476" spans="1:7">
      <c r="A476" s="2940">
        <v>475</v>
      </c>
      <c r="B476" s="2941" t="s">
        <v>3515</v>
      </c>
      <c r="C476" s="2941">
        <v>6</v>
      </c>
      <c r="D476" s="2941" t="s">
        <v>27</v>
      </c>
      <c r="E476" s="2942">
        <v>125.99</v>
      </c>
      <c r="F476" s="2942"/>
      <c r="G476">
        <f t="shared" si="7"/>
        <v>0</v>
      </c>
    </row>
    <row r="477" spans="1:7">
      <c r="A477" s="2940">
        <v>476</v>
      </c>
      <c r="B477" s="2941" t="s">
        <v>3516</v>
      </c>
      <c r="C477" s="2941">
        <v>6</v>
      </c>
      <c r="D477" s="2941" t="s">
        <v>27</v>
      </c>
      <c r="E477" s="2942">
        <v>98.91</v>
      </c>
      <c r="F477" s="2942"/>
      <c r="G477">
        <f t="shared" si="7"/>
        <v>0</v>
      </c>
    </row>
    <row r="478" spans="1:7">
      <c r="A478" s="2940">
        <v>477</v>
      </c>
      <c r="B478" s="2941" t="s">
        <v>3517</v>
      </c>
      <c r="C478" s="2941">
        <v>6</v>
      </c>
      <c r="D478" s="2941" t="s">
        <v>27</v>
      </c>
      <c r="E478" s="2942">
        <v>98.91</v>
      </c>
      <c r="F478" s="2942"/>
      <c r="G478">
        <f t="shared" si="7"/>
        <v>0</v>
      </c>
    </row>
    <row r="479" spans="1:7">
      <c r="A479" s="2940">
        <v>478</v>
      </c>
      <c r="B479" s="2941" t="s">
        <v>3518</v>
      </c>
      <c r="C479" s="2941">
        <v>6</v>
      </c>
      <c r="D479" s="2941" t="s">
        <v>27</v>
      </c>
      <c r="E479" s="2942">
        <v>98.91</v>
      </c>
      <c r="F479" s="2942"/>
      <c r="G479">
        <f t="shared" si="7"/>
        <v>0</v>
      </c>
    </row>
    <row r="480" spans="1:7">
      <c r="A480" s="2940">
        <v>479</v>
      </c>
      <c r="B480" s="2941" t="s">
        <v>3519</v>
      </c>
      <c r="C480" s="2941">
        <v>6</v>
      </c>
      <c r="D480" s="2941" t="s">
        <v>27</v>
      </c>
      <c r="E480" s="2942">
        <v>98.91</v>
      </c>
      <c r="F480" s="2942"/>
      <c r="G480">
        <f t="shared" si="7"/>
        <v>0</v>
      </c>
    </row>
    <row r="481" spans="1:7">
      <c r="A481" s="2940">
        <v>480</v>
      </c>
      <c r="B481" s="2941" t="s">
        <v>3520</v>
      </c>
      <c r="C481" s="2941">
        <v>6</v>
      </c>
      <c r="D481" s="2941" t="s">
        <v>27</v>
      </c>
      <c r="E481" s="2942">
        <v>49.45</v>
      </c>
      <c r="F481" s="2942"/>
      <c r="G481">
        <f t="shared" si="7"/>
        <v>0</v>
      </c>
    </row>
    <row r="482" spans="1:7">
      <c r="A482" s="2940">
        <v>481</v>
      </c>
      <c r="B482" s="2941" t="s">
        <v>3521</v>
      </c>
      <c r="C482" s="2941">
        <v>6</v>
      </c>
      <c r="D482" s="2941" t="s">
        <v>27</v>
      </c>
      <c r="E482" s="2942">
        <v>76.540000000000006</v>
      </c>
      <c r="F482" s="2942"/>
      <c r="G482">
        <f t="shared" si="7"/>
        <v>0</v>
      </c>
    </row>
    <row r="483" spans="1:7">
      <c r="A483" s="2940">
        <v>482</v>
      </c>
      <c r="B483" s="2941" t="s">
        <v>3522</v>
      </c>
      <c r="C483" s="2941">
        <v>6</v>
      </c>
      <c r="D483" s="2941" t="s">
        <v>27</v>
      </c>
      <c r="E483" s="2942">
        <v>135.76</v>
      </c>
      <c r="F483" s="2942"/>
      <c r="G483">
        <f t="shared" si="7"/>
        <v>0</v>
      </c>
    </row>
    <row r="484" spans="1:7">
      <c r="A484" s="2940">
        <v>483</v>
      </c>
      <c r="B484" s="2941" t="s">
        <v>3523</v>
      </c>
      <c r="C484" s="2941">
        <v>7</v>
      </c>
      <c r="D484" s="2941" t="s">
        <v>27</v>
      </c>
      <c r="E484" s="2942">
        <v>76.540000000000006</v>
      </c>
      <c r="F484" s="2942"/>
      <c r="G484">
        <f t="shared" si="7"/>
        <v>0</v>
      </c>
    </row>
    <row r="485" spans="1:7">
      <c r="A485" s="2940">
        <v>484</v>
      </c>
      <c r="B485" s="2941" t="s">
        <v>3524</v>
      </c>
      <c r="C485" s="2941">
        <v>7</v>
      </c>
      <c r="D485" s="2941" t="s">
        <v>27</v>
      </c>
      <c r="E485" s="2942">
        <v>49.45</v>
      </c>
      <c r="F485" s="2942"/>
      <c r="G485">
        <f t="shared" si="7"/>
        <v>0</v>
      </c>
    </row>
    <row r="486" spans="1:7">
      <c r="A486" s="2940">
        <v>485</v>
      </c>
      <c r="B486" s="2941" t="s">
        <v>3525</v>
      </c>
      <c r="C486" s="2941">
        <v>7</v>
      </c>
      <c r="D486" s="2941" t="s">
        <v>27</v>
      </c>
      <c r="E486" s="2942">
        <v>98.91</v>
      </c>
      <c r="F486" s="2942"/>
      <c r="G486">
        <f t="shared" si="7"/>
        <v>0</v>
      </c>
    </row>
    <row r="487" spans="1:7">
      <c r="A487" s="2940">
        <v>486</v>
      </c>
      <c r="B487" s="2941" t="s">
        <v>3526</v>
      </c>
      <c r="C487" s="2941">
        <v>7</v>
      </c>
      <c r="D487" s="2941" t="s">
        <v>27</v>
      </c>
      <c r="E487" s="2942">
        <v>98.91</v>
      </c>
      <c r="F487" s="2942"/>
      <c r="G487">
        <f t="shared" si="7"/>
        <v>0</v>
      </c>
    </row>
    <row r="488" spans="1:7">
      <c r="A488" s="2940">
        <v>487</v>
      </c>
      <c r="B488" s="2941" t="s">
        <v>3527</v>
      </c>
      <c r="C488" s="2941">
        <v>7</v>
      </c>
      <c r="D488" s="2941" t="s">
        <v>27</v>
      </c>
      <c r="E488" s="2942">
        <v>98.91</v>
      </c>
      <c r="F488" s="2942"/>
      <c r="G488">
        <f t="shared" si="7"/>
        <v>0</v>
      </c>
    </row>
    <row r="489" spans="1:7">
      <c r="A489" s="2940">
        <v>488</v>
      </c>
      <c r="B489" s="2941" t="s">
        <v>3528</v>
      </c>
      <c r="C489" s="2941">
        <v>7</v>
      </c>
      <c r="D489" s="2941" t="s">
        <v>27</v>
      </c>
      <c r="E489" s="2942">
        <v>98.91</v>
      </c>
      <c r="F489" s="2942"/>
      <c r="G489">
        <f t="shared" si="7"/>
        <v>0</v>
      </c>
    </row>
    <row r="490" spans="1:7">
      <c r="A490" s="2940">
        <v>489</v>
      </c>
      <c r="B490" s="2941" t="s">
        <v>3529</v>
      </c>
      <c r="C490" s="2941">
        <v>7</v>
      </c>
      <c r="D490" s="2941" t="s">
        <v>27</v>
      </c>
      <c r="E490" s="2942">
        <v>125.99</v>
      </c>
      <c r="F490" s="2942"/>
      <c r="G490">
        <f t="shared" si="7"/>
        <v>0</v>
      </c>
    </row>
    <row r="491" spans="1:7">
      <c r="A491" s="2940">
        <v>490</v>
      </c>
      <c r="B491" s="2941" t="s">
        <v>3530</v>
      </c>
      <c r="C491" s="2941">
        <v>7</v>
      </c>
      <c r="D491" s="2941" t="s">
        <v>27</v>
      </c>
      <c r="E491" s="2942">
        <v>135.76</v>
      </c>
      <c r="F491" s="2942"/>
      <c r="G491">
        <f t="shared" si="7"/>
        <v>0</v>
      </c>
    </row>
    <row r="492" spans="1:7">
      <c r="A492" s="2940">
        <v>491</v>
      </c>
      <c r="B492" s="2941" t="s">
        <v>3531</v>
      </c>
      <c r="C492" s="2941">
        <v>7</v>
      </c>
      <c r="D492" s="2941" t="s">
        <v>27</v>
      </c>
      <c r="E492" s="2942">
        <v>125.99</v>
      </c>
      <c r="F492" s="2942"/>
      <c r="G492">
        <f t="shared" si="7"/>
        <v>0</v>
      </c>
    </row>
    <row r="493" spans="1:7">
      <c r="A493" s="2940">
        <v>492</v>
      </c>
      <c r="B493" s="2941" t="s">
        <v>3532</v>
      </c>
      <c r="C493" s="2941">
        <v>7</v>
      </c>
      <c r="D493" s="2941" t="s">
        <v>27</v>
      </c>
      <c r="E493" s="2942">
        <v>98.91</v>
      </c>
      <c r="F493" s="2942"/>
      <c r="G493">
        <f t="shared" si="7"/>
        <v>0</v>
      </c>
    </row>
    <row r="494" spans="1:7">
      <c r="A494" s="2940">
        <v>493</v>
      </c>
      <c r="B494" s="2941" t="s">
        <v>3533</v>
      </c>
      <c r="C494" s="2941">
        <v>7</v>
      </c>
      <c r="D494" s="2941" t="s">
        <v>27</v>
      </c>
      <c r="E494" s="2942">
        <v>98.91</v>
      </c>
      <c r="F494" s="2942"/>
      <c r="G494">
        <f t="shared" si="7"/>
        <v>0</v>
      </c>
    </row>
    <row r="495" spans="1:7">
      <c r="A495" s="2940">
        <v>494</v>
      </c>
      <c r="B495" s="2941" t="s">
        <v>3534</v>
      </c>
      <c r="C495" s="2941">
        <v>7</v>
      </c>
      <c r="D495" s="2941" t="s">
        <v>27</v>
      </c>
      <c r="E495" s="2942">
        <v>98.91</v>
      </c>
      <c r="F495" s="2942"/>
      <c r="G495">
        <f t="shared" si="7"/>
        <v>0</v>
      </c>
    </row>
    <row r="496" spans="1:7">
      <c r="A496" s="2940">
        <v>495</v>
      </c>
      <c r="B496" s="2941" t="s">
        <v>3535</v>
      </c>
      <c r="C496" s="2941">
        <v>7</v>
      </c>
      <c r="D496" s="2941" t="s">
        <v>27</v>
      </c>
      <c r="E496" s="2942">
        <v>98.91</v>
      </c>
      <c r="F496" s="2942"/>
      <c r="G496">
        <f t="shared" si="7"/>
        <v>0</v>
      </c>
    </row>
    <row r="497" spans="1:7">
      <c r="A497" s="2940">
        <v>496</v>
      </c>
      <c r="B497" s="2941" t="s">
        <v>3536</v>
      </c>
      <c r="C497" s="2941">
        <v>7</v>
      </c>
      <c r="D497" s="2941" t="s">
        <v>27</v>
      </c>
      <c r="E497" s="2942">
        <v>49.45</v>
      </c>
      <c r="F497" s="2942"/>
      <c r="G497">
        <f t="shared" si="7"/>
        <v>0</v>
      </c>
    </row>
    <row r="498" spans="1:7">
      <c r="A498" s="2940">
        <v>497</v>
      </c>
      <c r="B498" s="2941" t="s">
        <v>3537</v>
      </c>
      <c r="C498" s="2941">
        <v>7</v>
      </c>
      <c r="D498" s="2941" t="s">
        <v>27</v>
      </c>
      <c r="E498" s="2942">
        <v>76.540000000000006</v>
      </c>
      <c r="F498" s="2942"/>
      <c r="G498">
        <f t="shared" si="7"/>
        <v>0</v>
      </c>
    </row>
    <row r="499" spans="1:7">
      <c r="A499" s="2940">
        <v>498</v>
      </c>
      <c r="B499" s="2941" t="s">
        <v>3538</v>
      </c>
      <c r="C499" s="2941">
        <v>7</v>
      </c>
      <c r="D499" s="2941" t="s">
        <v>27</v>
      </c>
      <c r="E499" s="2942">
        <v>135.76</v>
      </c>
      <c r="F499" s="2942"/>
      <c r="G499">
        <f t="shared" si="7"/>
        <v>0</v>
      </c>
    </row>
    <row r="500" spans="1:7">
      <c r="A500" s="2940">
        <v>499</v>
      </c>
      <c r="B500" s="2941" t="s">
        <v>3539</v>
      </c>
      <c r="C500" s="2941">
        <v>8</v>
      </c>
      <c r="D500" s="2941" t="s">
        <v>27</v>
      </c>
      <c r="E500" s="2942">
        <v>76.540000000000006</v>
      </c>
      <c r="F500" s="2942">
        <v>642232</v>
      </c>
      <c r="G500">
        <f t="shared" si="7"/>
        <v>8391</v>
      </c>
    </row>
    <row r="501" spans="1:7">
      <c r="A501" s="2940">
        <v>500</v>
      </c>
      <c r="B501" s="2941" t="s">
        <v>3540</v>
      </c>
      <c r="C501" s="2941">
        <v>8</v>
      </c>
      <c r="D501" s="2941" t="s">
        <v>27</v>
      </c>
      <c r="E501" s="2942">
        <v>49.45</v>
      </c>
      <c r="F501" s="2942">
        <v>429135</v>
      </c>
      <c r="G501">
        <f t="shared" si="7"/>
        <v>8678</v>
      </c>
    </row>
    <row r="502" spans="1:7">
      <c r="A502" s="2940">
        <v>501</v>
      </c>
      <c r="B502" s="2941" t="s">
        <v>3541</v>
      </c>
      <c r="C502" s="2941">
        <v>8</v>
      </c>
      <c r="D502" s="2941" t="s">
        <v>27</v>
      </c>
      <c r="E502" s="2942">
        <v>98.91</v>
      </c>
      <c r="F502" s="2942">
        <v>846988</v>
      </c>
      <c r="G502">
        <f t="shared" si="7"/>
        <v>8563</v>
      </c>
    </row>
    <row r="503" spans="1:7">
      <c r="A503" s="2940">
        <v>502</v>
      </c>
      <c r="B503" s="2941" t="s">
        <v>3542</v>
      </c>
      <c r="C503" s="2941">
        <v>8</v>
      </c>
      <c r="D503" s="2941" t="s">
        <v>27</v>
      </c>
      <c r="E503" s="2942">
        <v>98.91</v>
      </c>
      <c r="F503" s="2942">
        <v>829934</v>
      </c>
      <c r="G503">
        <f t="shared" si="7"/>
        <v>8391</v>
      </c>
    </row>
    <row r="504" spans="1:7">
      <c r="A504" s="2940">
        <v>503</v>
      </c>
      <c r="B504" s="2941" t="s">
        <v>3543</v>
      </c>
      <c r="C504" s="2941">
        <v>8</v>
      </c>
      <c r="D504" s="2941" t="s">
        <v>27</v>
      </c>
      <c r="E504" s="2942">
        <v>98.91</v>
      </c>
      <c r="F504" s="2942">
        <v>829934</v>
      </c>
      <c r="G504">
        <f t="shared" si="7"/>
        <v>8391</v>
      </c>
    </row>
    <row r="505" spans="1:7">
      <c r="A505" s="2940">
        <v>504</v>
      </c>
      <c r="B505" s="2941" t="s">
        <v>3544</v>
      </c>
      <c r="C505" s="2941">
        <v>8</v>
      </c>
      <c r="D505" s="2941" t="s">
        <v>27</v>
      </c>
      <c r="E505" s="2942">
        <v>98.91</v>
      </c>
      <c r="F505" s="2942">
        <v>841303</v>
      </c>
      <c r="G505">
        <f t="shared" si="7"/>
        <v>8506</v>
      </c>
    </row>
    <row r="506" spans="1:7">
      <c r="A506" s="2940">
        <v>505</v>
      </c>
      <c r="B506" s="2941" t="s">
        <v>3545</v>
      </c>
      <c r="C506" s="2941">
        <v>8</v>
      </c>
      <c r="D506" s="2941" t="s">
        <v>27</v>
      </c>
      <c r="E506" s="2942">
        <v>125.99</v>
      </c>
      <c r="F506" s="2942">
        <v>1035435</v>
      </c>
      <c r="G506">
        <f t="shared" si="7"/>
        <v>8218</v>
      </c>
    </row>
    <row r="507" spans="1:7">
      <c r="A507" s="2940">
        <v>506</v>
      </c>
      <c r="B507" s="2941" t="s">
        <v>3546</v>
      </c>
      <c r="C507" s="2941">
        <v>8</v>
      </c>
      <c r="D507" s="2941" t="s">
        <v>27</v>
      </c>
      <c r="E507" s="2942">
        <v>135.76</v>
      </c>
      <c r="F507" s="2942">
        <v>1154740</v>
      </c>
      <c r="G507">
        <f t="shared" si="7"/>
        <v>8506</v>
      </c>
    </row>
    <row r="508" spans="1:7">
      <c r="A508" s="2940">
        <v>507</v>
      </c>
      <c r="B508" s="2941" t="s">
        <v>3547</v>
      </c>
      <c r="C508" s="2941">
        <v>8</v>
      </c>
      <c r="D508" s="2941" t="s">
        <v>27</v>
      </c>
      <c r="E508" s="2942">
        <v>125.99</v>
      </c>
      <c r="F508" s="2942">
        <v>1020953</v>
      </c>
      <c r="G508">
        <f t="shared" si="7"/>
        <v>8103</v>
      </c>
    </row>
    <row r="509" spans="1:7">
      <c r="A509" s="2940">
        <v>508</v>
      </c>
      <c r="B509" s="2941" t="s">
        <v>3548</v>
      </c>
      <c r="C509" s="2941">
        <v>8</v>
      </c>
      <c r="D509" s="2941" t="s">
        <v>27</v>
      </c>
      <c r="E509" s="2942">
        <v>98.91</v>
      </c>
      <c r="F509" s="2942">
        <v>829934</v>
      </c>
      <c r="G509">
        <f t="shared" si="7"/>
        <v>8391</v>
      </c>
    </row>
    <row r="510" spans="1:7">
      <c r="A510" s="2940">
        <v>509</v>
      </c>
      <c r="B510" s="2941" t="s">
        <v>3549</v>
      </c>
      <c r="C510" s="2941">
        <v>8</v>
      </c>
      <c r="D510" s="2941" t="s">
        <v>27</v>
      </c>
      <c r="E510" s="2942">
        <v>98.91</v>
      </c>
      <c r="F510" s="2942">
        <v>818566</v>
      </c>
      <c r="G510">
        <f t="shared" si="7"/>
        <v>8276</v>
      </c>
    </row>
    <row r="511" spans="1:7">
      <c r="A511" s="2940">
        <v>510</v>
      </c>
      <c r="B511" s="2941" t="s">
        <v>3550</v>
      </c>
      <c r="C511" s="2941">
        <v>8</v>
      </c>
      <c r="D511" s="2941" t="s">
        <v>27</v>
      </c>
      <c r="E511" s="2942">
        <v>98.91</v>
      </c>
      <c r="F511" s="2942">
        <v>818566</v>
      </c>
      <c r="G511">
        <f t="shared" si="7"/>
        <v>8276</v>
      </c>
    </row>
    <row r="512" spans="1:7">
      <c r="A512" s="2940">
        <v>511</v>
      </c>
      <c r="B512" s="2941" t="s">
        <v>3551</v>
      </c>
      <c r="C512" s="2941">
        <v>8</v>
      </c>
      <c r="D512" s="2941" t="s">
        <v>27</v>
      </c>
      <c r="E512" s="2942">
        <v>98.91</v>
      </c>
      <c r="F512" s="2942">
        <v>835619</v>
      </c>
      <c r="G512">
        <f t="shared" si="7"/>
        <v>8448</v>
      </c>
    </row>
    <row r="513" spans="1:7">
      <c r="A513" s="2940">
        <v>512</v>
      </c>
      <c r="B513" s="2941" t="s">
        <v>3552</v>
      </c>
      <c r="C513" s="2941">
        <v>8</v>
      </c>
      <c r="D513" s="2941" t="s">
        <v>27</v>
      </c>
      <c r="E513" s="2942">
        <v>49.45</v>
      </c>
      <c r="F513" s="2942">
        <v>423451</v>
      </c>
      <c r="G513">
        <f t="shared" si="7"/>
        <v>8563</v>
      </c>
    </row>
    <row r="514" spans="1:7">
      <c r="A514" s="2940">
        <v>513</v>
      </c>
      <c r="B514" s="2941" t="s">
        <v>3553</v>
      </c>
      <c r="C514" s="2941">
        <v>8</v>
      </c>
      <c r="D514" s="2941" t="s">
        <v>27</v>
      </c>
      <c r="E514" s="2942">
        <v>76.540000000000006</v>
      </c>
      <c r="F514" s="2942">
        <v>633434</v>
      </c>
      <c r="G514">
        <f t="shared" si="7"/>
        <v>8276</v>
      </c>
    </row>
    <row r="515" spans="1:7">
      <c r="A515" s="2940">
        <v>514</v>
      </c>
      <c r="B515" s="2941" t="s">
        <v>3554</v>
      </c>
      <c r="C515" s="2941">
        <v>8</v>
      </c>
      <c r="D515" s="2941" t="s">
        <v>27</v>
      </c>
      <c r="E515" s="2942">
        <v>135.76</v>
      </c>
      <c r="F515" s="2942">
        <v>1170345</v>
      </c>
      <c r="G515">
        <f t="shared" ref="G515:G578" si="8">ROUND(F515/E515,0)</f>
        <v>8621</v>
      </c>
    </row>
    <row r="516" spans="1:7">
      <c r="A516" s="2940">
        <v>515</v>
      </c>
      <c r="B516" s="2941" t="s">
        <v>3555</v>
      </c>
      <c r="C516" s="2941">
        <v>9</v>
      </c>
      <c r="D516" s="2941" t="s">
        <v>27</v>
      </c>
      <c r="E516" s="2942">
        <v>76.540000000000006</v>
      </c>
      <c r="F516" s="2942">
        <v>648391</v>
      </c>
      <c r="G516">
        <f t="shared" si="8"/>
        <v>8471</v>
      </c>
    </row>
    <row r="517" spans="1:7">
      <c r="A517" s="2940">
        <v>516</v>
      </c>
      <c r="B517" s="2941" t="s">
        <v>3556</v>
      </c>
      <c r="C517" s="2941">
        <v>9</v>
      </c>
      <c r="D517" s="2941" t="s">
        <v>27</v>
      </c>
      <c r="E517" s="2942">
        <v>49.45</v>
      </c>
      <c r="F517" s="2942">
        <v>433114</v>
      </c>
      <c r="G517">
        <f t="shared" si="8"/>
        <v>8759</v>
      </c>
    </row>
    <row r="518" spans="1:7">
      <c r="A518" s="2940">
        <v>517</v>
      </c>
      <c r="B518" s="2941" t="s">
        <v>3557</v>
      </c>
      <c r="C518" s="2941">
        <v>9</v>
      </c>
      <c r="D518" s="2941" t="s">
        <v>27</v>
      </c>
      <c r="E518" s="2942">
        <v>98.91</v>
      </c>
      <c r="F518" s="2942">
        <v>854946</v>
      </c>
      <c r="G518">
        <f t="shared" si="8"/>
        <v>8644</v>
      </c>
    </row>
    <row r="519" spans="1:7">
      <c r="A519" s="2940">
        <v>518</v>
      </c>
      <c r="B519" s="2941" t="s">
        <v>3558</v>
      </c>
      <c r="C519" s="2941">
        <v>9</v>
      </c>
      <c r="D519" s="2941" t="s">
        <v>27</v>
      </c>
      <c r="E519" s="2942">
        <v>98.91</v>
      </c>
      <c r="F519" s="2942">
        <v>837893</v>
      </c>
      <c r="G519">
        <f t="shared" si="8"/>
        <v>8471</v>
      </c>
    </row>
    <row r="520" spans="1:7">
      <c r="A520" s="2940">
        <v>519</v>
      </c>
      <c r="B520" s="2941" t="s">
        <v>3559</v>
      </c>
      <c r="C520" s="2941">
        <v>9</v>
      </c>
      <c r="D520" s="2941" t="s">
        <v>27</v>
      </c>
      <c r="E520" s="2942">
        <v>98.91</v>
      </c>
      <c r="F520" s="2942">
        <v>837893</v>
      </c>
      <c r="G520">
        <f t="shared" si="8"/>
        <v>8471</v>
      </c>
    </row>
    <row r="521" spans="1:7">
      <c r="A521" s="2940">
        <v>520</v>
      </c>
      <c r="B521" s="2941" t="s">
        <v>3560</v>
      </c>
      <c r="C521" s="2941">
        <v>9</v>
      </c>
      <c r="D521" s="2941" t="s">
        <v>27</v>
      </c>
      <c r="E521" s="2942">
        <v>98.91</v>
      </c>
      <c r="F521" s="2942">
        <v>849262</v>
      </c>
      <c r="G521">
        <f t="shared" si="8"/>
        <v>8586</v>
      </c>
    </row>
    <row r="522" spans="1:7">
      <c r="A522" s="2940">
        <v>521</v>
      </c>
      <c r="B522" s="2941" t="s">
        <v>3561</v>
      </c>
      <c r="C522" s="2941">
        <v>9</v>
      </c>
      <c r="D522" s="2941" t="s">
        <v>27</v>
      </c>
      <c r="E522" s="2942">
        <v>125.99</v>
      </c>
      <c r="F522" s="2942">
        <v>1045572</v>
      </c>
      <c r="G522">
        <f t="shared" si="8"/>
        <v>8299</v>
      </c>
    </row>
    <row r="523" spans="1:7">
      <c r="A523" s="2940">
        <v>522</v>
      </c>
      <c r="B523" s="2941" t="s">
        <v>3562</v>
      </c>
      <c r="C523" s="2941">
        <v>9</v>
      </c>
      <c r="D523" s="2941" t="s">
        <v>27</v>
      </c>
      <c r="E523" s="2942">
        <v>135.76</v>
      </c>
      <c r="F523" s="2942">
        <v>1165663</v>
      </c>
      <c r="G523">
        <f t="shared" si="8"/>
        <v>8586</v>
      </c>
    </row>
    <row r="524" spans="1:7">
      <c r="A524" s="2940">
        <v>523</v>
      </c>
      <c r="B524" s="2941" t="s">
        <v>3563</v>
      </c>
      <c r="C524" s="2941">
        <v>9</v>
      </c>
      <c r="D524" s="2941" t="s">
        <v>27</v>
      </c>
      <c r="E524" s="2942">
        <v>125.99</v>
      </c>
      <c r="F524" s="2942">
        <v>1031091</v>
      </c>
      <c r="G524">
        <f t="shared" si="8"/>
        <v>8184</v>
      </c>
    </row>
    <row r="525" spans="1:7">
      <c r="A525" s="2940">
        <v>524</v>
      </c>
      <c r="B525" s="2941" t="s">
        <v>3564</v>
      </c>
      <c r="C525" s="2941">
        <v>9</v>
      </c>
      <c r="D525" s="2941" t="s">
        <v>27</v>
      </c>
      <c r="E525" s="2942">
        <v>98.91</v>
      </c>
      <c r="F525" s="2942">
        <v>837893</v>
      </c>
      <c r="G525">
        <f t="shared" si="8"/>
        <v>8471</v>
      </c>
    </row>
    <row r="526" spans="1:7">
      <c r="A526" s="2940">
        <v>525</v>
      </c>
      <c r="B526" s="2941" t="s">
        <v>3565</v>
      </c>
      <c r="C526" s="2941">
        <v>9</v>
      </c>
      <c r="D526" s="2941" t="s">
        <v>27</v>
      </c>
      <c r="E526" s="2942">
        <v>98.91</v>
      </c>
      <c r="F526" s="2942">
        <v>826524</v>
      </c>
      <c r="G526">
        <f t="shared" si="8"/>
        <v>8356</v>
      </c>
    </row>
    <row r="527" spans="1:7">
      <c r="A527" s="2940">
        <v>526</v>
      </c>
      <c r="B527" s="2941" t="s">
        <v>3566</v>
      </c>
      <c r="C527" s="2941">
        <v>9</v>
      </c>
      <c r="D527" s="2941" t="s">
        <v>27</v>
      </c>
      <c r="E527" s="2942">
        <v>98.91</v>
      </c>
      <c r="F527" s="2942">
        <v>826524</v>
      </c>
      <c r="G527">
        <f t="shared" si="8"/>
        <v>8356</v>
      </c>
    </row>
    <row r="528" spans="1:7">
      <c r="A528" s="2940">
        <v>527</v>
      </c>
      <c r="B528" s="2941" t="s">
        <v>3567</v>
      </c>
      <c r="C528" s="2941">
        <v>9</v>
      </c>
      <c r="D528" s="2941" t="s">
        <v>27</v>
      </c>
      <c r="E528" s="2942">
        <v>98.91</v>
      </c>
      <c r="F528" s="2942">
        <v>843577</v>
      </c>
      <c r="G528">
        <f t="shared" si="8"/>
        <v>8529</v>
      </c>
    </row>
    <row r="529" spans="1:7">
      <c r="A529" s="2940">
        <v>528</v>
      </c>
      <c r="B529" s="2941" t="s">
        <v>3568</v>
      </c>
      <c r="C529" s="2941">
        <v>9</v>
      </c>
      <c r="D529" s="2941" t="s">
        <v>27</v>
      </c>
      <c r="E529" s="2942">
        <v>49.45</v>
      </c>
      <c r="F529" s="2942">
        <v>427430</v>
      </c>
      <c r="G529">
        <f t="shared" si="8"/>
        <v>8644</v>
      </c>
    </row>
    <row r="530" spans="1:7">
      <c r="A530" s="2940">
        <v>529</v>
      </c>
      <c r="B530" s="2941" t="s">
        <v>3569</v>
      </c>
      <c r="C530" s="2941">
        <v>9</v>
      </c>
      <c r="D530" s="2941" t="s">
        <v>27</v>
      </c>
      <c r="E530" s="2942">
        <v>76.540000000000006</v>
      </c>
      <c r="F530" s="2942">
        <v>639593</v>
      </c>
      <c r="G530">
        <f t="shared" si="8"/>
        <v>8356</v>
      </c>
    </row>
    <row r="531" spans="1:7">
      <c r="A531" s="2940">
        <v>530</v>
      </c>
      <c r="B531" s="2941" t="s">
        <v>3570</v>
      </c>
      <c r="C531" s="2941">
        <v>9</v>
      </c>
      <c r="D531" s="2941" t="s">
        <v>27</v>
      </c>
      <c r="E531" s="2942">
        <v>135.76</v>
      </c>
      <c r="F531" s="2942">
        <v>1181268</v>
      </c>
      <c r="G531">
        <f t="shared" si="8"/>
        <v>8701</v>
      </c>
    </row>
    <row r="532" spans="1:7">
      <c r="A532" s="2943">
        <v>531</v>
      </c>
      <c r="B532" s="2944" t="s">
        <v>3571</v>
      </c>
      <c r="C532" s="2944"/>
      <c r="D532" s="2944" t="s">
        <v>1378</v>
      </c>
      <c r="E532" s="2945">
        <v>488.71</v>
      </c>
      <c r="F532" s="2945">
        <v>14720181</v>
      </c>
      <c r="G532">
        <f t="shared" si="8"/>
        <v>30120</v>
      </c>
    </row>
    <row r="533" spans="1:7">
      <c r="A533" s="2943">
        <v>532</v>
      </c>
      <c r="B533" s="2944" t="s">
        <v>3572</v>
      </c>
      <c r="C533" s="2944"/>
      <c r="D533" s="2944" t="s">
        <v>1378</v>
      </c>
      <c r="E533" s="2945">
        <v>267.62</v>
      </c>
      <c r="F533" s="2945">
        <v>8383277</v>
      </c>
      <c r="G533">
        <f t="shared" si="8"/>
        <v>31325</v>
      </c>
    </row>
    <row r="534" spans="1:7">
      <c r="A534" s="2943">
        <v>533</v>
      </c>
      <c r="B534" s="2944" t="s">
        <v>3573</v>
      </c>
      <c r="C534" s="2944"/>
      <c r="D534" s="2944" t="s">
        <v>1378</v>
      </c>
      <c r="E534" s="2945">
        <v>632</v>
      </c>
      <c r="F534" s="2945">
        <v>7614458</v>
      </c>
      <c r="G534">
        <f t="shared" si="8"/>
        <v>12048</v>
      </c>
    </row>
    <row r="535" spans="1:7">
      <c r="A535" s="2943">
        <v>534</v>
      </c>
      <c r="B535" s="2944" t="s">
        <v>3574</v>
      </c>
      <c r="C535" s="2944"/>
      <c r="D535" s="2944" t="s">
        <v>1378</v>
      </c>
      <c r="E535" s="2945">
        <v>266.27999999999997</v>
      </c>
      <c r="F535" s="2945">
        <v>3849831</v>
      </c>
      <c r="G535">
        <f t="shared" si="8"/>
        <v>14458</v>
      </c>
    </row>
    <row r="536" spans="1:7">
      <c r="A536" s="2943">
        <v>535</v>
      </c>
      <c r="B536" s="2944" t="s">
        <v>3575</v>
      </c>
      <c r="C536" s="2944"/>
      <c r="D536" s="2944" t="s">
        <v>1378</v>
      </c>
      <c r="E536" s="2945">
        <v>632</v>
      </c>
      <c r="F536" s="2945">
        <v>6853012</v>
      </c>
      <c r="G536">
        <f t="shared" si="8"/>
        <v>10843</v>
      </c>
    </row>
    <row r="537" spans="1:7">
      <c r="A537" s="2943">
        <v>536</v>
      </c>
      <c r="B537" s="2944" t="s">
        <v>3576</v>
      </c>
      <c r="C537" s="2944"/>
      <c r="D537" s="2944" t="s">
        <v>1378</v>
      </c>
      <c r="E537" s="2945">
        <v>266.58</v>
      </c>
      <c r="F537" s="2945">
        <v>3532988</v>
      </c>
      <c r="G537">
        <f t="shared" si="8"/>
        <v>13253</v>
      </c>
    </row>
    <row r="538" spans="1:7">
      <c r="A538" s="2943">
        <v>537</v>
      </c>
      <c r="B538" s="2944" t="s">
        <v>3577</v>
      </c>
      <c r="C538" s="2944"/>
      <c r="D538" s="2944" t="s">
        <v>1378</v>
      </c>
      <c r="E538" s="2945">
        <v>632</v>
      </c>
      <c r="F538" s="2945">
        <v>6358072</v>
      </c>
      <c r="G538">
        <f t="shared" si="8"/>
        <v>10060</v>
      </c>
    </row>
    <row r="539" spans="1:7">
      <c r="A539" s="2943">
        <v>538</v>
      </c>
      <c r="B539" s="2944" t="s">
        <v>3578</v>
      </c>
      <c r="C539" s="2944"/>
      <c r="D539" s="2944" t="s">
        <v>1378</v>
      </c>
      <c r="E539" s="2945">
        <v>266.58</v>
      </c>
      <c r="F539" s="2945">
        <v>3324220</v>
      </c>
      <c r="G539">
        <f t="shared" si="8"/>
        <v>12470</v>
      </c>
    </row>
    <row r="540" spans="1:7">
      <c r="A540" s="2943">
        <v>539</v>
      </c>
      <c r="B540" s="2944" t="s">
        <v>3579</v>
      </c>
      <c r="C540" s="2944"/>
      <c r="D540" s="2944" t="s">
        <v>1378</v>
      </c>
      <c r="E540" s="2945">
        <v>632</v>
      </c>
      <c r="F540" s="2945">
        <v>5330120</v>
      </c>
      <c r="G540">
        <f t="shared" si="8"/>
        <v>8434</v>
      </c>
    </row>
    <row r="541" spans="1:7">
      <c r="A541" s="2943">
        <v>540</v>
      </c>
      <c r="B541" s="2944" t="s">
        <v>3580</v>
      </c>
      <c r="C541" s="2944"/>
      <c r="D541" s="2944" t="s">
        <v>1378</v>
      </c>
      <c r="E541" s="2945">
        <v>266.58</v>
      </c>
      <c r="F541" s="2945">
        <v>2890627</v>
      </c>
      <c r="G541">
        <f t="shared" si="8"/>
        <v>10843</v>
      </c>
    </row>
    <row r="542" spans="1:7">
      <c r="A542" s="2943">
        <v>541</v>
      </c>
      <c r="B542" s="2944" t="s">
        <v>3581</v>
      </c>
      <c r="C542" s="2944"/>
      <c r="D542" s="2944" t="s">
        <v>1378</v>
      </c>
      <c r="E542" s="2945">
        <v>485</v>
      </c>
      <c r="F542" s="2945">
        <v>7888554</v>
      </c>
      <c r="G542">
        <f t="shared" si="8"/>
        <v>16265</v>
      </c>
    </row>
    <row r="543" spans="1:7">
      <c r="A543" s="2943">
        <v>542</v>
      </c>
      <c r="B543" s="2944" t="s">
        <v>3582</v>
      </c>
      <c r="C543" s="2944"/>
      <c r="D543" s="2944" t="s">
        <v>1378</v>
      </c>
      <c r="E543" s="2945">
        <v>485</v>
      </c>
      <c r="F543" s="2945">
        <v>7888554</v>
      </c>
      <c r="G543">
        <f t="shared" si="8"/>
        <v>16265</v>
      </c>
    </row>
    <row r="544" spans="1:7">
      <c r="A544" s="2943">
        <v>543</v>
      </c>
      <c r="B544" s="2944" t="s">
        <v>3583</v>
      </c>
      <c r="C544" s="2944"/>
      <c r="D544" s="2944" t="s">
        <v>1378</v>
      </c>
      <c r="E544" s="2945">
        <v>485</v>
      </c>
      <c r="F544" s="2945">
        <v>7888554</v>
      </c>
      <c r="G544">
        <f t="shared" si="8"/>
        <v>16265</v>
      </c>
    </row>
    <row r="545" spans="1:7">
      <c r="A545" s="2943">
        <v>544</v>
      </c>
      <c r="B545" s="2944" t="s">
        <v>3584</v>
      </c>
      <c r="C545" s="2944"/>
      <c r="D545" s="2944" t="s">
        <v>1378</v>
      </c>
      <c r="E545" s="2945">
        <v>485</v>
      </c>
      <c r="F545" s="2945">
        <v>7888554</v>
      </c>
      <c r="G545">
        <f t="shared" si="8"/>
        <v>16265</v>
      </c>
    </row>
    <row r="546" spans="1:7">
      <c r="A546" s="2943">
        <v>545</v>
      </c>
      <c r="B546" s="2944" t="s">
        <v>3585</v>
      </c>
      <c r="C546" s="2944"/>
      <c r="D546" s="2944" t="s">
        <v>1378</v>
      </c>
      <c r="E546" s="2945">
        <v>567.22</v>
      </c>
      <c r="F546" s="2945">
        <v>7175675</v>
      </c>
      <c r="G546">
        <f t="shared" si="8"/>
        <v>12651</v>
      </c>
    </row>
    <row r="547" spans="1:7">
      <c r="A547" s="2943">
        <v>546</v>
      </c>
      <c r="B547" s="2944" t="s">
        <v>3586</v>
      </c>
      <c r="C547" s="2944"/>
      <c r="D547" s="2944" t="s">
        <v>1378</v>
      </c>
      <c r="E547" s="2945">
        <v>567.22</v>
      </c>
      <c r="F547" s="2945">
        <v>7175675</v>
      </c>
      <c r="G547">
        <f t="shared" si="8"/>
        <v>12651</v>
      </c>
    </row>
    <row r="548" spans="1:7">
      <c r="A548" s="2943">
        <v>547</v>
      </c>
      <c r="B548" s="2944" t="s">
        <v>3587</v>
      </c>
      <c r="C548" s="2944"/>
      <c r="D548" s="2944" t="s">
        <v>1378</v>
      </c>
      <c r="E548" s="2945">
        <v>659.71</v>
      </c>
      <c r="F548" s="2945">
        <v>8584178</v>
      </c>
      <c r="G548">
        <f t="shared" si="8"/>
        <v>13012</v>
      </c>
    </row>
    <row r="549" spans="1:7">
      <c r="A549" s="2943">
        <v>548</v>
      </c>
      <c r="B549" s="2944" t="s">
        <v>3588</v>
      </c>
      <c r="C549" s="2944"/>
      <c r="D549" s="2944" t="s">
        <v>1378</v>
      </c>
      <c r="E549" s="2945">
        <v>486.02</v>
      </c>
      <c r="F549" s="2945">
        <v>8490711</v>
      </c>
      <c r="G549">
        <f t="shared" si="8"/>
        <v>17470</v>
      </c>
    </row>
    <row r="550" spans="1:7">
      <c r="A550" s="2943">
        <v>549</v>
      </c>
      <c r="B550" s="2944" t="s">
        <v>3589</v>
      </c>
      <c r="C550" s="2944"/>
      <c r="D550" s="2944" t="s">
        <v>1378</v>
      </c>
      <c r="E550" s="2945">
        <v>486.02</v>
      </c>
      <c r="F550" s="2945">
        <v>7319578</v>
      </c>
      <c r="G550">
        <f t="shared" si="8"/>
        <v>15060</v>
      </c>
    </row>
    <row r="551" spans="1:7">
      <c r="A551" s="2943">
        <v>550</v>
      </c>
      <c r="B551" s="2944" t="s">
        <v>3590</v>
      </c>
      <c r="C551" s="2944"/>
      <c r="D551" s="2944" t="s">
        <v>1378</v>
      </c>
      <c r="E551" s="2945">
        <v>473</v>
      </c>
      <c r="F551" s="2945">
        <v>7123494</v>
      </c>
      <c r="G551">
        <f t="shared" si="8"/>
        <v>15060</v>
      </c>
    </row>
    <row r="552" spans="1:7">
      <c r="A552" s="2943">
        <v>551</v>
      </c>
      <c r="B552" s="2944" t="s">
        <v>3591</v>
      </c>
      <c r="C552" s="2944"/>
      <c r="D552" s="2944" t="s">
        <v>1378</v>
      </c>
      <c r="E552" s="2945">
        <v>483.61</v>
      </c>
      <c r="F552" s="2945">
        <v>7749413</v>
      </c>
      <c r="G552">
        <f t="shared" si="8"/>
        <v>16024</v>
      </c>
    </row>
    <row r="553" spans="1:7">
      <c r="A553" s="2943">
        <v>552</v>
      </c>
      <c r="B553" s="2944" t="s">
        <v>3592</v>
      </c>
      <c r="C553" s="2944"/>
      <c r="D553" s="2944" t="s">
        <v>1378</v>
      </c>
      <c r="E553" s="2945">
        <v>661.09</v>
      </c>
      <c r="F553" s="2945">
        <v>8761434</v>
      </c>
      <c r="G553">
        <f t="shared" si="8"/>
        <v>13253</v>
      </c>
    </row>
    <row r="554" spans="1:7">
      <c r="A554" s="2943">
        <v>553</v>
      </c>
      <c r="B554" s="2944" t="s">
        <v>3593</v>
      </c>
      <c r="C554" s="2944"/>
      <c r="D554" s="2944" t="s">
        <v>1378</v>
      </c>
      <c r="E554" s="2945">
        <v>568.4</v>
      </c>
      <c r="F554" s="2945">
        <v>7190602</v>
      </c>
      <c r="G554">
        <f t="shared" si="8"/>
        <v>12651</v>
      </c>
    </row>
    <row r="555" spans="1:7">
      <c r="A555" s="2943">
        <v>554</v>
      </c>
      <c r="B555" s="2944" t="s">
        <v>3594</v>
      </c>
      <c r="C555" s="2944"/>
      <c r="D555" s="2944" t="s">
        <v>1378</v>
      </c>
      <c r="E555" s="2945">
        <v>572.55999999999995</v>
      </c>
      <c r="F555" s="2945">
        <v>7243229</v>
      </c>
      <c r="G555">
        <f t="shared" si="8"/>
        <v>12651</v>
      </c>
    </row>
    <row r="556" spans="1:7">
      <c r="A556" s="2943">
        <v>555</v>
      </c>
      <c r="B556" s="2944" t="s">
        <v>3595</v>
      </c>
      <c r="C556" s="2944"/>
      <c r="D556" s="2944" t="s">
        <v>1378</v>
      </c>
      <c r="E556" s="2945">
        <v>572.55999999999995</v>
      </c>
      <c r="F556" s="2945">
        <v>7588145</v>
      </c>
      <c r="G556">
        <f t="shared" si="8"/>
        <v>13253</v>
      </c>
    </row>
    <row r="557" spans="1:7">
      <c r="A557" s="2943">
        <v>556</v>
      </c>
      <c r="B557" s="2944" t="s">
        <v>3596</v>
      </c>
      <c r="C557" s="2944"/>
      <c r="D557" s="2944" t="s">
        <v>1378</v>
      </c>
      <c r="E557" s="2945">
        <v>563.25</v>
      </c>
      <c r="F557" s="2945">
        <v>7464759</v>
      </c>
      <c r="G557">
        <f t="shared" si="8"/>
        <v>13253</v>
      </c>
    </row>
    <row r="558" spans="1:7">
      <c r="A558" s="2943">
        <v>557</v>
      </c>
      <c r="B558" s="2944" t="s">
        <v>3597</v>
      </c>
      <c r="C558" s="2944"/>
      <c r="D558" s="2944" t="s">
        <v>1378</v>
      </c>
      <c r="E558" s="2945">
        <v>661.09</v>
      </c>
      <c r="F558" s="2945">
        <v>9796876</v>
      </c>
      <c r="G558">
        <f t="shared" si="8"/>
        <v>14819</v>
      </c>
    </row>
    <row r="559" spans="1:7">
      <c r="A559" s="2943">
        <v>558</v>
      </c>
      <c r="B559" s="2944" t="s">
        <v>3598</v>
      </c>
      <c r="C559" s="2944"/>
      <c r="D559" s="2944" t="s">
        <v>1378</v>
      </c>
      <c r="E559" s="2945">
        <v>131.32</v>
      </c>
      <c r="F559" s="2945"/>
      <c r="G559">
        <f t="shared" si="8"/>
        <v>0</v>
      </c>
    </row>
    <row r="560" spans="1:7">
      <c r="A560" s="2943">
        <v>559</v>
      </c>
      <c r="B560" s="2944" t="s">
        <v>3599</v>
      </c>
      <c r="C560" s="2944"/>
      <c r="D560" s="2944" t="s">
        <v>1378</v>
      </c>
      <c r="E560" s="2945">
        <v>72.22</v>
      </c>
      <c r="F560" s="2945"/>
      <c r="G560">
        <f t="shared" si="8"/>
        <v>0</v>
      </c>
    </row>
    <row r="561" spans="1:7">
      <c r="A561" s="2943">
        <v>560</v>
      </c>
      <c r="B561" s="2944" t="s">
        <v>3600</v>
      </c>
      <c r="C561" s="2944"/>
      <c r="D561" s="2944" t="s">
        <v>1378</v>
      </c>
      <c r="E561" s="2945">
        <v>21.99</v>
      </c>
      <c r="F561" s="2945"/>
      <c r="G561">
        <f t="shared" si="8"/>
        <v>0</v>
      </c>
    </row>
    <row r="562" spans="1:7">
      <c r="A562" s="2943">
        <v>561</v>
      </c>
      <c r="B562" s="2944" t="s">
        <v>3601</v>
      </c>
      <c r="C562" s="2944"/>
      <c r="D562" s="2944" t="s">
        <v>1378</v>
      </c>
      <c r="E562" s="2945">
        <v>69.03</v>
      </c>
      <c r="F562" s="2945"/>
      <c r="G562">
        <f t="shared" si="8"/>
        <v>0</v>
      </c>
    </row>
    <row r="563" spans="1:7">
      <c r="A563" s="2943">
        <v>562</v>
      </c>
      <c r="B563" s="2944" t="s">
        <v>3602</v>
      </c>
      <c r="C563" s="2944"/>
      <c r="D563" s="2944" t="s">
        <v>1378</v>
      </c>
      <c r="E563" s="2945">
        <v>161.74</v>
      </c>
      <c r="F563" s="2945"/>
      <c r="G563">
        <f t="shared" si="8"/>
        <v>0</v>
      </c>
    </row>
    <row r="564" spans="1:7">
      <c r="A564" s="2943">
        <v>563</v>
      </c>
      <c r="B564" s="2944" t="s">
        <v>3603</v>
      </c>
      <c r="C564" s="2944"/>
      <c r="D564" s="2944" t="s">
        <v>1378</v>
      </c>
      <c r="E564" s="2945">
        <v>92.35</v>
      </c>
      <c r="F564" s="2945"/>
      <c r="G564">
        <f t="shared" si="8"/>
        <v>0</v>
      </c>
    </row>
    <row r="565" spans="1:7">
      <c r="A565" s="2943">
        <v>564</v>
      </c>
      <c r="B565" s="2944" t="s">
        <v>3604</v>
      </c>
      <c r="C565" s="2944"/>
      <c r="D565" s="2944" t="s">
        <v>1378</v>
      </c>
      <c r="E565" s="2945">
        <v>59.67</v>
      </c>
      <c r="F565" s="2945"/>
      <c r="G565">
        <f t="shared" si="8"/>
        <v>0</v>
      </c>
    </row>
    <row r="566" spans="1:7">
      <c r="A566" s="2943">
        <v>565</v>
      </c>
      <c r="B566" s="2944" t="s">
        <v>3605</v>
      </c>
      <c r="C566" s="2944"/>
      <c r="D566" s="2944" t="s">
        <v>1378</v>
      </c>
      <c r="E566" s="2945">
        <v>113.33</v>
      </c>
      <c r="F566" s="2945"/>
      <c r="G566">
        <f t="shared" si="8"/>
        <v>0</v>
      </c>
    </row>
    <row r="567" spans="1:7">
      <c r="A567" s="2943">
        <v>566</v>
      </c>
      <c r="B567" s="2944" t="s">
        <v>3606</v>
      </c>
      <c r="C567" s="2944"/>
      <c r="D567" s="2944" t="s">
        <v>1378</v>
      </c>
      <c r="E567" s="2945">
        <v>80.62</v>
      </c>
      <c r="F567" s="2945"/>
      <c r="G567">
        <f t="shared" si="8"/>
        <v>0</v>
      </c>
    </row>
    <row r="568" spans="1:7">
      <c r="A568" s="2943">
        <v>567</v>
      </c>
      <c r="B568" s="2944" t="s">
        <v>3607</v>
      </c>
      <c r="C568" s="2944"/>
      <c r="D568" s="2944" t="s">
        <v>1378</v>
      </c>
      <c r="E568" s="2945">
        <v>80.62</v>
      </c>
      <c r="F568" s="2945"/>
      <c r="G568">
        <f t="shared" si="8"/>
        <v>0</v>
      </c>
    </row>
    <row r="569" spans="1:7">
      <c r="A569" s="2943">
        <v>568</v>
      </c>
      <c r="B569" s="2944" t="s">
        <v>3608</v>
      </c>
      <c r="C569" s="2944"/>
      <c r="D569" s="2944" t="s">
        <v>1378</v>
      </c>
      <c r="E569" s="2945">
        <v>80.62</v>
      </c>
      <c r="F569" s="2945"/>
      <c r="G569">
        <f t="shared" si="8"/>
        <v>0</v>
      </c>
    </row>
    <row r="570" spans="1:7">
      <c r="A570" s="2943">
        <v>569</v>
      </c>
      <c r="B570" s="2944" t="s">
        <v>3609</v>
      </c>
      <c r="C570" s="2944"/>
      <c r="D570" s="2944" t="s">
        <v>1378</v>
      </c>
      <c r="E570" s="2945">
        <v>71.3</v>
      </c>
      <c r="F570" s="2945">
        <v>1147356</v>
      </c>
      <c r="G570">
        <f t="shared" si="8"/>
        <v>16092</v>
      </c>
    </row>
    <row r="571" spans="1:7">
      <c r="A571" s="2943">
        <v>570</v>
      </c>
      <c r="B571" s="2944" t="s">
        <v>3610</v>
      </c>
      <c r="C571" s="2944"/>
      <c r="D571" s="2944" t="s">
        <v>1378</v>
      </c>
      <c r="E571" s="2945">
        <v>161.13</v>
      </c>
      <c r="F571" s="2945">
        <v>2000234</v>
      </c>
      <c r="G571">
        <f t="shared" si="8"/>
        <v>12414</v>
      </c>
    </row>
    <row r="572" spans="1:7">
      <c r="A572" s="2943">
        <v>571</v>
      </c>
      <c r="B572" s="2944" t="s">
        <v>3611</v>
      </c>
      <c r="C572" s="2944"/>
      <c r="D572" s="2944" t="s">
        <v>1378</v>
      </c>
      <c r="E572" s="2945">
        <v>228.77</v>
      </c>
      <c r="F572" s="2945"/>
      <c r="G572">
        <f t="shared" si="8"/>
        <v>0</v>
      </c>
    </row>
    <row r="573" spans="1:7">
      <c r="A573" s="2943">
        <v>572</v>
      </c>
      <c r="B573" s="2944" t="s">
        <v>3612</v>
      </c>
      <c r="C573" s="2944"/>
      <c r="D573" s="2944" t="s">
        <v>1378</v>
      </c>
      <c r="E573" s="2945">
        <v>47.82</v>
      </c>
      <c r="F573" s="2945"/>
      <c r="G573">
        <f t="shared" si="8"/>
        <v>0</v>
      </c>
    </row>
    <row r="574" spans="1:7">
      <c r="A574" s="2943">
        <v>573</v>
      </c>
      <c r="B574" s="2944" t="s">
        <v>3613</v>
      </c>
      <c r="C574" s="2944"/>
      <c r="D574" s="2944" t="s">
        <v>1378</v>
      </c>
      <c r="E574" s="2945">
        <v>86.79</v>
      </c>
      <c r="F574" s="2945"/>
      <c r="G574">
        <f t="shared" si="8"/>
        <v>0</v>
      </c>
    </row>
    <row r="575" spans="1:7">
      <c r="A575" s="2943">
        <v>574</v>
      </c>
      <c r="B575" s="2944" t="s">
        <v>3614</v>
      </c>
      <c r="C575" s="2944"/>
      <c r="D575" s="2944" t="s">
        <v>1378</v>
      </c>
      <c r="E575" s="2945">
        <v>91.14</v>
      </c>
      <c r="F575" s="2945"/>
      <c r="G575">
        <f t="shared" si="8"/>
        <v>0</v>
      </c>
    </row>
    <row r="576" spans="1:7">
      <c r="A576" s="2943">
        <v>575</v>
      </c>
      <c r="B576" s="2944" t="s">
        <v>3615</v>
      </c>
      <c r="C576" s="2944"/>
      <c r="D576" s="2944" t="s">
        <v>1378</v>
      </c>
      <c r="E576" s="2945">
        <v>23.28</v>
      </c>
      <c r="F576" s="2945"/>
      <c r="G576">
        <f t="shared" si="8"/>
        <v>0</v>
      </c>
    </row>
    <row r="577" spans="1:7">
      <c r="A577" s="2943">
        <v>576</v>
      </c>
      <c r="B577" s="2944" t="s">
        <v>3616</v>
      </c>
      <c r="C577" s="2944"/>
      <c r="D577" s="2944" t="s">
        <v>1378</v>
      </c>
      <c r="E577" s="2945">
        <v>73.91</v>
      </c>
      <c r="F577" s="2945"/>
      <c r="G577">
        <f t="shared" si="8"/>
        <v>0</v>
      </c>
    </row>
    <row r="578" spans="1:7">
      <c r="A578" s="2943">
        <v>577</v>
      </c>
      <c r="B578" s="2944" t="s">
        <v>3617</v>
      </c>
      <c r="C578" s="2944"/>
      <c r="D578" s="2944" t="s">
        <v>1378</v>
      </c>
      <c r="E578" s="2945">
        <v>167.73</v>
      </c>
      <c r="F578" s="2945"/>
      <c r="G578">
        <f t="shared" si="8"/>
        <v>0</v>
      </c>
    </row>
    <row r="579" spans="1:7">
      <c r="A579" s="2943">
        <v>578</v>
      </c>
      <c r="B579" s="2944" t="s">
        <v>3618</v>
      </c>
      <c r="C579" s="2944"/>
      <c r="D579" s="2944" t="s">
        <v>1378</v>
      </c>
      <c r="E579" s="2945">
        <v>40.200000000000003</v>
      </c>
      <c r="F579" s="2945"/>
      <c r="G579">
        <f t="shared" ref="G579:G616" si="9">ROUND(F579/E579,0)</f>
        <v>0</v>
      </c>
    </row>
    <row r="580" spans="1:7">
      <c r="A580" s="2943">
        <v>579</v>
      </c>
      <c r="B580" s="2944" t="s">
        <v>3619</v>
      </c>
      <c r="C580" s="2944"/>
      <c r="D580" s="2944" t="s">
        <v>1378</v>
      </c>
      <c r="E580" s="2945">
        <v>92.35</v>
      </c>
      <c r="F580" s="2945"/>
      <c r="G580">
        <f t="shared" si="9"/>
        <v>0</v>
      </c>
    </row>
    <row r="581" spans="1:7">
      <c r="A581" s="2943">
        <v>580</v>
      </c>
      <c r="B581" s="2944" t="s">
        <v>3620</v>
      </c>
      <c r="C581" s="2944"/>
      <c r="D581" s="2944" t="s">
        <v>1378</v>
      </c>
      <c r="E581" s="2945">
        <v>59.67</v>
      </c>
      <c r="F581" s="2945"/>
      <c r="G581">
        <f t="shared" si="9"/>
        <v>0</v>
      </c>
    </row>
    <row r="582" spans="1:7">
      <c r="A582" s="2943">
        <v>581</v>
      </c>
      <c r="B582" s="2944" t="s">
        <v>3621</v>
      </c>
      <c r="C582" s="2944"/>
      <c r="D582" s="2944" t="s">
        <v>1378</v>
      </c>
      <c r="E582" s="2945">
        <v>101.3</v>
      </c>
      <c r="F582" s="2945"/>
      <c r="G582">
        <f t="shared" si="9"/>
        <v>0</v>
      </c>
    </row>
    <row r="583" spans="1:7">
      <c r="A583" s="2943">
        <v>582</v>
      </c>
      <c r="B583" s="2944" t="s">
        <v>3622</v>
      </c>
      <c r="C583" s="2944"/>
      <c r="D583" s="2944" t="s">
        <v>1378</v>
      </c>
      <c r="E583" s="2945">
        <v>97.26</v>
      </c>
      <c r="F583" s="2945"/>
      <c r="G583">
        <f t="shared" si="9"/>
        <v>0</v>
      </c>
    </row>
    <row r="584" spans="1:7">
      <c r="A584" s="2943">
        <v>583</v>
      </c>
      <c r="B584" s="2944" t="s">
        <v>3623</v>
      </c>
      <c r="C584" s="2944"/>
      <c r="D584" s="2944" t="s">
        <v>1378</v>
      </c>
      <c r="E584" s="2945">
        <v>47.82</v>
      </c>
      <c r="F584" s="2945"/>
      <c r="G584">
        <f t="shared" si="9"/>
        <v>0</v>
      </c>
    </row>
    <row r="585" spans="1:7">
      <c r="A585" s="2943">
        <v>584</v>
      </c>
      <c r="B585" s="2944" t="s">
        <v>3624</v>
      </c>
      <c r="C585" s="2944"/>
      <c r="D585" s="2944" t="s">
        <v>1378</v>
      </c>
      <c r="E585" s="2945">
        <v>144.65</v>
      </c>
      <c r="F585" s="2945"/>
      <c r="G585">
        <f t="shared" si="9"/>
        <v>0</v>
      </c>
    </row>
    <row r="586" spans="1:7">
      <c r="A586" s="2943">
        <v>585</v>
      </c>
      <c r="B586" s="2944" t="s">
        <v>3625</v>
      </c>
      <c r="C586" s="2944"/>
      <c r="D586" s="2944" t="s">
        <v>1378</v>
      </c>
      <c r="E586" s="2945">
        <v>91.14</v>
      </c>
      <c r="F586" s="2945"/>
      <c r="G586">
        <f t="shared" si="9"/>
        <v>0</v>
      </c>
    </row>
    <row r="587" spans="1:7">
      <c r="A587" s="2943">
        <v>586</v>
      </c>
      <c r="B587" s="2944" t="s">
        <v>3626</v>
      </c>
      <c r="C587" s="2944"/>
      <c r="D587" s="2944" t="s">
        <v>1378</v>
      </c>
      <c r="E587" s="2945">
        <v>23.28</v>
      </c>
      <c r="F587" s="2945"/>
      <c r="G587">
        <f t="shared" si="9"/>
        <v>0</v>
      </c>
    </row>
    <row r="588" spans="1:7">
      <c r="A588" s="2943">
        <v>587</v>
      </c>
      <c r="B588" s="2944" t="s">
        <v>3627</v>
      </c>
      <c r="C588" s="2944"/>
      <c r="D588" s="2944" t="s">
        <v>1378</v>
      </c>
      <c r="E588" s="2945">
        <v>73.91</v>
      </c>
      <c r="F588" s="2945"/>
      <c r="G588">
        <f t="shared" si="9"/>
        <v>0</v>
      </c>
    </row>
    <row r="589" spans="1:7">
      <c r="A589" s="2943">
        <v>588</v>
      </c>
      <c r="B589" s="2944" t="s">
        <v>3628</v>
      </c>
      <c r="C589" s="2944"/>
      <c r="D589" s="2944" t="s">
        <v>1378</v>
      </c>
      <c r="E589" s="2945">
        <v>167.91</v>
      </c>
      <c r="F589" s="2945"/>
      <c r="G589">
        <f t="shared" si="9"/>
        <v>0</v>
      </c>
    </row>
    <row r="590" spans="1:7">
      <c r="A590" s="2943">
        <v>589</v>
      </c>
      <c r="B590" s="2944" t="s">
        <v>3629</v>
      </c>
      <c r="C590" s="2944"/>
      <c r="D590" s="2944" t="s">
        <v>1378</v>
      </c>
      <c r="E590" s="2945">
        <v>39.78</v>
      </c>
      <c r="F590" s="2945"/>
      <c r="G590">
        <f t="shared" si="9"/>
        <v>0</v>
      </c>
    </row>
    <row r="591" spans="1:7">
      <c r="A591" s="2943">
        <v>590</v>
      </c>
      <c r="B591" s="2944" t="s">
        <v>3630</v>
      </c>
      <c r="C591" s="2944"/>
      <c r="D591" s="2944" t="s">
        <v>1378</v>
      </c>
      <c r="E591" s="2945">
        <v>92.35</v>
      </c>
      <c r="F591" s="2945"/>
      <c r="G591">
        <f t="shared" si="9"/>
        <v>0</v>
      </c>
    </row>
    <row r="592" spans="1:7">
      <c r="A592" s="2943">
        <v>591</v>
      </c>
      <c r="B592" s="2944" t="s">
        <v>3631</v>
      </c>
      <c r="C592" s="2944"/>
      <c r="D592" s="2944" t="s">
        <v>1378</v>
      </c>
      <c r="E592" s="2945">
        <v>59.67</v>
      </c>
      <c r="F592" s="2945"/>
      <c r="G592">
        <f t="shared" si="9"/>
        <v>0</v>
      </c>
    </row>
    <row r="593" spans="1:7">
      <c r="A593" s="2943">
        <v>592</v>
      </c>
      <c r="B593" s="2944" t="s">
        <v>3632</v>
      </c>
      <c r="C593" s="2944"/>
      <c r="D593" s="2944" t="s">
        <v>1378</v>
      </c>
      <c r="E593" s="2945">
        <v>101.3</v>
      </c>
      <c r="F593" s="2945"/>
      <c r="G593">
        <f t="shared" si="9"/>
        <v>0</v>
      </c>
    </row>
    <row r="594" spans="1:7">
      <c r="A594" s="2943">
        <v>593</v>
      </c>
      <c r="B594" s="2944" t="s">
        <v>3633</v>
      </c>
      <c r="C594" s="2944"/>
      <c r="D594" s="2944" t="s">
        <v>1378</v>
      </c>
      <c r="E594" s="2945">
        <v>76.040000000000006</v>
      </c>
      <c r="F594" s="2945"/>
      <c r="G594">
        <f t="shared" si="9"/>
        <v>0</v>
      </c>
    </row>
    <row r="595" spans="1:7">
      <c r="A595" s="2943">
        <v>594</v>
      </c>
      <c r="B595" s="2944" t="s">
        <v>3634</v>
      </c>
      <c r="C595" s="2944"/>
      <c r="D595" s="2944" t="s">
        <v>1378</v>
      </c>
      <c r="E595" s="2945">
        <v>47.82</v>
      </c>
      <c r="F595" s="2945"/>
      <c r="G595">
        <f t="shared" si="9"/>
        <v>0</v>
      </c>
    </row>
    <row r="596" spans="1:7">
      <c r="A596" s="2943">
        <v>595</v>
      </c>
      <c r="B596" s="2944" t="s">
        <v>3635</v>
      </c>
      <c r="C596" s="2944"/>
      <c r="D596" s="2944" t="s">
        <v>1378</v>
      </c>
      <c r="E596" s="2945">
        <v>144.65</v>
      </c>
      <c r="F596" s="2945"/>
      <c r="G596">
        <f t="shared" si="9"/>
        <v>0</v>
      </c>
    </row>
    <row r="597" spans="1:7">
      <c r="A597" s="2943">
        <v>596</v>
      </c>
      <c r="B597" s="2944" t="s">
        <v>3636</v>
      </c>
      <c r="C597" s="2944"/>
      <c r="D597" s="2944" t="s">
        <v>1378</v>
      </c>
      <c r="E597" s="2945">
        <v>91.14</v>
      </c>
      <c r="F597" s="2945"/>
      <c r="G597">
        <f t="shared" si="9"/>
        <v>0</v>
      </c>
    </row>
    <row r="598" spans="1:7">
      <c r="A598" s="2943">
        <v>597</v>
      </c>
      <c r="B598" s="2944" t="s">
        <v>3637</v>
      </c>
      <c r="C598" s="2944"/>
      <c r="D598" s="2944" t="s">
        <v>1378</v>
      </c>
      <c r="E598" s="2945">
        <v>23.28</v>
      </c>
      <c r="F598" s="2945"/>
      <c r="G598">
        <f t="shared" si="9"/>
        <v>0</v>
      </c>
    </row>
    <row r="599" spans="1:7">
      <c r="A599" s="2943">
        <v>598</v>
      </c>
      <c r="B599" s="2944" t="s">
        <v>3638</v>
      </c>
      <c r="C599" s="2944"/>
      <c r="D599" s="2944" t="s">
        <v>1378</v>
      </c>
      <c r="E599" s="2945">
        <v>73.91</v>
      </c>
      <c r="F599" s="2945"/>
      <c r="G599">
        <f t="shared" si="9"/>
        <v>0</v>
      </c>
    </row>
    <row r="600" spans="1:7">
      <c r="A600" s="2943">
        <v>599</v>
      </c>
      <c r="B600" s="2944" t="s">
        <v>3639</v>
      </c>
      <c r="C600" s="2944"/>
      <c r="D600" s="2944" t="s">
        <v>1378</v>
      </c>
      <c r="E600" s="2945">
        <v>167.91</v>
      </c>
      <c r="F600" s="2945"/>
      <c r="G600">
        <f t="shared" si="9"/>
        <v>0</v>
      </c>
    </row>
    <row r="601" spans="1:7">
      <c r="A601" s="2943">
        <v>600</v>
      </c>
      <c r="B601" s="2944" t="s">
        <v>3640</v>
      </c>
      <c r="C601" s="2944"/>
      <c r="D601" s="2944" t="s">
        <v>1378</v>
      </c>
      <c r="E601" s="2945">
        <v>39.78</v>
      </c>
      <c r="F601" s="2945"/>
      <c r="G601">
        <f t="shared" si="9"/>
        <v>0</v>
      </c>
    </row>
    <row r="602" spans="1:7">
      <c r="A602" s="2943">
        <v>601</v>
      </c>
      <c r="B602" s="2944" t="s">
        <v>3641</v>
      </c>
      <c r="C602" s="2944"/>
      <c r="D602" s="2944" t="s">
        <v>1378</v>
      </c>
      <c r="E602" s="2945">
        <v>92.35</v>
      </c>
      <c r="F602" s="2945"/>
      <c r="G602">
        <f t="shared" si="9"/>
        <v>0</v>
      </c>
    </row>
    <row r="603" spans="1:7">
      <c r="A603" s="2943">
        <v>602</v>
      </c>
      <c r="B603" s="2944" t="s">
        <v>3642</v>
      </c>
      <c r="C603" s="2944"/>
      <c r="D603" s="2944" t="s">
        <v>1378</v>
      </c>
      <c r="E603" s="2945">
        <v>59.67</v>
      </c>
      <c r="F603" s="2945"/>
      <c r="G603">
        <f t="shared" si="9"/>
        <v>0</v>
      </c>
    </row>
    <row r="604" spans="1:7">
      <c r="A604" s="2943">
        <v>603</v>
      </c>
      <c r="B604" s="2944" t="s">
        <v>3643</v>
      </c>
      <c r="C604" s="2944"/>
      <c r="D604" s="2944" t="s">
        <v>1378</v>
      </c>
      <c r="E604" s="2945">
        <v>101.3</v>
      </c>
      <c r="F604" s="2945"/>
      <c r="G604">
        <f t="shared" si="9"/>
        <v>0</v>
      </c>
    </row>
    <row r="605" spans="1:7">
      <c r="A605" s="2943">
        <v>604</v>
      </c>
      <c r="B605" s="2944" t="s">
        <v>3644</v>
      </c>
      <c r="C605" s="2944"/>
      <c r="D605" s="2944" t="s">
        <v>1378</v>
      </c>
      <c r="E605" s="2945">
        <v>76.040000000000006</v>
      </c>
      <c r="F605" s="2945"/>
      <c r="G605">
        <f t="shared" si="9"/>
        <v>0</v>
      </c>
    </row>
    <row r="606" spans="1:7">
      <c r="A606" s="2943">
        <v>605</v>
      </c>
      <c r="B606" s="2944" t="s">
        <v>3645</v>
      </c>
      <c r="C606" s="2944"/>
      <c r="D606" s="2944" t="s">
        <v>1378</v>
      </c>
      <c r="E606" s="2945">
        <v>47.82</v>
      </c>
      <c r="F606" s="2945"/>
      <c r="G606">
        <f t="shared" si="9"/>
        <v>0</v>
      </c>
    </row>
    <row r="607" spans="1:7">
      <c r="A607" s="2943">
        <v>606</v>
      </c>
      <c r="B607" s="2944" t="s">
        <v>3646</v>
      </c>
      <c r="C607" s="2944"/>
      <c r="D607" s="2944" t="s">
        <v>1378</v>
      </c>
      <c r="E607" s="2945">
        <v>144.65</v>
      </c>
      <c r="F607" s="2945"/>
      <c r="G607">
        <f t="shared" si="9"/>
        <v>0</v>
      </c>
    </row>
    <row r="608" spans="1:7">
      <c r="A608" s="2943">
        <v>607</v>
      </c>
      <c r="B608" s="2944" t="s">
        <v>3647</v>
      </c>
      <c r="C608" s="2944"/>
      <c r="D608" s="2944" t="s">
        <v>1378</v>
      </c>
      <c r="E608" s="2945">
        <v>91.14</v>
      </c>
      <c r="F608" s="2945"/>
      <c r="G608">
        <f t="shared" si="9"/>
        <v>0</v>
      </c>
    </row>
    <row r="609" spans="1:7">
      <c r="A609" s="2943">
        <v>608</v>
      </c>
      <c r="B609" s="2944" t="s">
        <v>3648</v>
      </c>
      <c r="C609" s="2944"/>
      <c r="D609" s="2944" t="s">
        <v>1378</v>
      </c>
      <c r="E609" s="2945">
        <v>23.28</v>
      </c>
      <c r="F609" s="2945"/>
      <c r="G609">
        <f t="shared" si="9"/>
        <v>0</v>
      </c>
    </row>
    <row r="610" spans="1:7">
      <c r="A610" s="2943">
        <v>609</v>
      </c>
      <c r="B610" s="2944" t="s">
        <v>3649</v>
      </c>
      <c r="C610" s="2944"/>
      <c r="D610" s="2944" t="s">
        <v>1378</v>
      </c>
      <c r="E610" s="2945">
        <v>73.91</v>
      </c>
      <c r="F610" s="2945"/>
      <c r="G610">
        <f t="shared" si="9"/>
        <v>0</v>
      </c>
    </row>
    <row r="611" spans="1:7">
      <c r="A611" s="2943">
        <v>610</v>
      </c>
      <c r="B611" s="2944" t="s">
        <v>3650</v>
      </c>
      <c r="C611" s="2944"/>
      <c r="D611" s="2944" t="s">
        <v>1378</v>
      </c>
      <c r="E611" s="2945">
        <v>167.91</v>
      </c>
      <c r="F611" s="2945"/>
      <c r="G611">
        <f t="shared" si="9"/>
        <v>0</v>
      </c>
    </row>
    <row r="612" spans="1:7">
      <c r="A612" s="2943">
        <v>611</v>
      </c>
      <c r="B612" s="2944" t="s">
        <v>3651</v>
      </c>
      <c r="C612" s="2944"/>
      <c r="D612" s="2944" t="s">
        <v>1378</v>
      </c>
      <c r="E612" s="2945">
        <v>39.78</v>
      </c>
      <c r="F612" s="2945"/>
      <c r="G612">
        <f t="shared" si="9"/>
        <v>0</v>
      </c>
    </row>
    <row r="613" spans="1:7">
      <c r="A613" s="2943">
        <v>612</v>
      </c>
      <c r="B613" s="2944" t="s">
        <v>3652</v>
      </c>
      <c r="C613" s="2944"/>
      <c r="D613" s="2944" t="s">
        <v>1378</v>
      </c>
      <c r="E613" s="2945">
        <v>92.35</v>
      </c>
      <c r="F613" s="2945"/>
      <c r="G613">
        <f t="shared" si="9"/>
        <v>0</v>
      </c>
    </row>
    <row r="614" spans="1:7">
      <c r="A614" s="2943">
        <v>613</v>
      </c>
      <c r="B614" s="2944" t="s">
        <v>3653</v>
      </c>
      <c r="C614" s="2944"/>
      <c r="D614" s="2944" t="s">
        <v>1378</v>
      </c>
      <c r="E614" s="2945">
        <v>59.67</v>
      </c>
      <c r="F614" s="2945"/>
      <c r="G614">
        <f t="shared" si="9"/>
        <v>0</v>
      </c>
    </row>
    <row r="615" spans="1:7">
      <c r="A615" s="2943">
        <v>614</v>
      </c>
      <c r="B615" s="2944" t="s">
        <v>3654</v>
      </c>
      <c r="C615" s="2944"/>
      <c r="D615" s="2944" t="s">
        <v>1378</v>
      </c>
      <c r="E615" s="2945">
        <v>101.3</v>
      </c>
      <c r="F615" s="2945"/>
      <c r="G615">
        <f t="shared" si="9"/>
        <v>0</v>
      </c>
    </row>
    <row r="616" spans="1:7">
      <c r="A616" s="2943">
        <v>615</v>
      </c>
      <c r="B616" s="2944" t="s">
        <v>3655</v>
      </c>
      <c r="C616" s="2944"/>
      <c r="D616" s="2944" t="s">
        <v>1378</v>
      </c>
      <c r="E616" s="2945">
        <v>76.040000000000006</v>
      </c>
      <c r="F616" s="2945"/>
      <c r="G616">
        <f t="shared" si="9"/>
        <v>0</v>
      </c>
    </row>
    <row r="617" spans="1:7" ht="14.25" thickBot="1">
      <c r="A617" s="2937"/>
      <c r="B617" s="2938"/>
      <c r="C617" s="2938"/>
      <c r="D617" s="2938"/>
      <c r="E617" s="2939">
        <v>70681.77999999965</v>
      </c>
      <c r="F617" s="2939">
        <v>309841477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1643</v>
      </c>
      <c r="B2" s="2993" t="s">
        <v>1644</v>
      </c>
      <c r="C2" s="2993" t="s">
        <v>1645</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94"/>
      <c r="B3" s="2994"/>
      <c r="C3" s="2994"/>
      <c r="D3" s="1047" t="s">
        <v>1640</v>
      </c>
      <c r="E3" s="1047" t="s">
        <v>1646</v>
      </c>
      <c r="F3" s="1047" t="s">
        <v>1640</v>
      </c>
      <c r="G3" s="1047" t="s">
        <v>1641</v>
      </c>
      <c r="H3" s="1047" t="s">
        <v>1640</v>
      </c>
      <c r="I3" s="1047" t="s">
        <v>1641</v>
      </c>
    </row>
    <row r="4" spans="1:9" ht="15">
      <c r="A4" s="1976" t="str">
        <f>项目基本情况!S2</f>
        <v>房地产</v>
      </c>
      <c r="B4" s="1047">
        <f>项目基本情况!C17</f>
        <v>38306.649999999907</v>
      </c>
      <c r="C4" s="1047">
        <f>项目基本情况!C18</f>
        <v>13150.41</v>
      </c>
      <c r="D4" s="1047" t="e">
        <f ca="1">结果表!D118</f>
        <v>#REF!</v>
      </c>
      <c r="E4" s="1047" t="e">
        <f ca="1">结果表!E118</f>
        <v>#REF!</v>
      </c>
      <c r="F4" s="1047" t="e">
        <f ca="1">结果表!F118</f>
        <v>#REF!</v>
      </c>
      <c r="G4" s="1047" t="e">
        <f ca="1">结果表!G118</f>
        <v>#REF!</v>
      </c>
      <c r="H4" s="1047">
        <f ca="1">结果表!H118</f>
        <v>78</v>
      </c>
      <c r="I4" s="1047">
        <f ca="1">结果表!I118</f>
        <v>7886</v>
      </c>
    </row>
    <row r="5" spans="1:9" ht="30" customHeight="1">
      <c r="A5" s="2994" t="s">
        <v>1642</v>
      </c>
      <c r="B5" s="2994"/>
      <c r="C5" s="2994"/>
      <c r="D5" s="2995" t="e">
        <f ca="1">结果表!D119</f>
        <v>#REF!</v>
      </c>
      <c r="E5" s="2995"/>
      <c r="F5" s="2995" t="e">
        <f ca="1">结果表!F119</f>
        <v>#REF!</v>
      </c>
      <c r="G5" s="2995"/>
      <c r="H5" s="2995" t="str">
        <f ca="1">结果表!H119</f>
        <v>柒拾捌万元整</v>
      </c>
      <c r="I5" s="2995"/>
    </row>
    <row r="6" spans="1:9" ht="15.75">
      <c r="A6" s="2996" t="str">
        <f>结果表!A120</f>
        <v>估价师知悉的法定优先受偿款</v>
      </c>
      <c r="B6" s="2996"/>
      <c r="C6" s="2996"/>
      <c r="D6" s="2996">
        <f>结果表!D120</f>
        <v>0</v>
      </c>
      <c r="E6" s="2996"/>
      <c r="F6" s="2996"/>
      <c r="G6" s="2996"/>
      <c r="H6" s="2996"/>
      <c r="I6" s="2996"/>
    </row>
    <row r="7" spans="1:9" ht="15">
      <c r="A7" s="2994" t="s">
        <v>1642</v>
      </c>
      <c r="B7" s="2994"/>
      <c r="C7" s="2994"/>
      <c r="D7" s="2997" t="str">
        <f>结果表!D121</f>
        <v>零元整</v>
      </c>
      <c r="E7" s="2998"/>
      <c r="F7" s="2998"/>
      <c r="G7" s="2998"/>
      <c r="H7" s="2998"/>
      <c r="I7" s="2999"/>
    </row>
    <row r="8" spans="1:9" ht="15.75">
      <c r="A8" s="2996" t="str">
        <f>结果表!A122</f>
        <v>房地产抵押价值</v>
      </c>
      <c r="B8" s="2996"/>
      <c r="C8" s="2996"/>
      <c r="D8" s="2996">
        <f ca="1">结果表!D122</f>
        <v>78</v>
      </c>
      <c r="E8" s="2996"/>
      <c r="F8" s="2996"/>
      <c r="G8" s="2996"/>
      <c r="H8" s="2996"/>
      <c r="I8" s="2996"/>
    </row>
    <row r="9" spans="1:9" ht="15">
      <c r="A9" s="2994" t="s">
        <v>1642</v>
      </c>
      <c r="B9" s="2994"/>
      <c r="C9" s="2994"/>
      <c r="D9" s="2995" t="str">
        <f ca="1">结果表!D123</f>
        <v>柒拾捌万元整</v>
      </c>
      <c r="E9" s="2995"/>
      <c r="F9" s="2995"/>
      <c r="G9" s="2995"/>
      <c r="H9" s="2995"/>
      <c r="I9" s="2995"/>
    </row>
    <row r="10" spans="1:9" ht="15.75">
      <c r="A10" s="2996" t="str">
        <f>结果表!A124</f>
        <v/>
      </c>
      <c r="B10" s="2996"/>
      <c r="C10" s="2996"/>
      <c r="D10" s="2996" t="str">
        <f>结果表!D124</f>
        <v>——</v>
      </c>
      <c r="E10" s="2996"/>
      <c r="F10" s="2996"/>
      <c r="G10" s="2996"/>
      <c r="H10" s="2996"/>
      <c r="I10" s="2996"/>
    </row>
    <row r="11" spans="1:9" ht="15">
      <c r="A11" s="2994" t="s">
        <v>1642</v>
      </c>
      <c r="B11" s="2994"/>
      <c r="C11" s="2994"/>
      <c r="D11" s="2995" t="e">
        <f>结果表!D125</f>
        <v>#VALUE!</v>
      </c>
      <c r="E11" s="2995"/>
      <c r="F11" s="2995"/>
      <c r="G11" s="2995"/>
      <c r="H11" s="2995"/>
      <c r="I11" s="2995"/>
    </row>
    <row r="12" spans="1:9" ht="15.75">
      <c r="A12" s="2996" t="str">
        <f>结果表!A126</f>
        <v/>
      </c>
      <c r="B12" s="2996"/>
      <c r="C12" s="2996"/>
      <c r="D12" s="2996" t="str">
        <f>结果表!D126</f>
        <v>——</v>
      </c>
      <c r="E12" s="2996"/>
      <c r="F12" s="2996"/>
      <c r="G12" s="2996"/>
      <c r="H12" s="2996"/>
      <c r="I12" s="2996"/>
    </row>
    <row r="13" spans="1:9" ht="15.75" thickBot="1">
      <c r="A13" s="3000" t="s">
        <v>1642</v>
      </c>
      <c r="B13" s="3000"/>
      <c r="C13" s="3000"/>
      <c r="D13" s="3001" t="e">
        <f>结果表!D127</f>
        <v>#VALUE!</v>
      </c>
      <c r="E13" s="3001"/>
      <c r="F13" s="3001"/>
      <c r="G13" s="3001"/>
      <c r="H13" s="3001"/>
      <c r="I13" s="3001"/>
    </row>
    <row r="14" spans="1:9" ht="15" thickTop="1">
      <c r="A14" s="3002" t="s">
        <v>1647</v>
      </c>
      <c r="B14" s="3002"/>
      <c r="C14" s="3002"/>
      <c r="D14" s="3002"/>
      <c r="E14" s="3002"/>
      <c r="F14" s="3002"/>
      <c r="G14" s="3002"/>
      <c r="H14" s="3002"/>
      <c r="I14" s="3002"/>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3" t="s">
        <v>1664</v>
      </c>
      <c r="B1" s="3003"/>
      <c r="C1" s="3003"/>
      <c r="D1" s="3003"/>
    </row>
    <row r="2" spans="1:4" ht="18">
      <c r="A2" s="3004" t="s">
        <v>1648</v>
      </c>
      <c r="B2" s="3004"/>
      <c r="C2" s="3004"/>
      <c r="D2" s="3004"/>
    </row>
    <row r="3" spans="1:4" ht="18.75">
      <c r="A3" s="1980" t="s">
        <v>1649</v>
      </c>
      <c r="B3" s="1980" t="s">
        <v>1650</v>
      </c>
      <c r="C3" s="1980" t="s">
        <v>1651</v>
      </c>
      <c r="D3" s="1980" t="s">
        <v>1652</v>
      </c>
    </row>
    <row r="4" spans="1:4" ht="56.25" customHeight="1">
      <c r="A4" s="1981">
        <f>项目基本情况!B4</f>
        <v>0</v>
      </c>
      <c r="B4" s="1982">
        <f>项目基本情况!C4</f>
        <v>0</v>
      </c>
      <c r="C4" s="1983"/>
      <c r="D4" s="1984" t="s">
        <v>1653</v>
      </c>
    </row>
    <row r="5" spans="1:4" ht="56.25" customHeight="1">
      <c r="A5" s="1981">
        <f>项目基本情况!D4</f>
        <v>0</v>
      </c>
      <c r="B5" s="1982">
        <f>项目基本情况!E4</f>
        <v>0</v>
      </c>
      <c r="C5" s="1985"/>
      <c r="D5" s="1984" t="s">
        <v>1653</v>
      </c>
    </row>
    <row r="6" spans="1:4" ht="18">
      <c r="A6" s="3004" t="s">
        <v>1654</v>
      </c>
      <c r="B6" s="3004"/>
      <c r="C6" s="3004"/>
      <c r="D6" s="3004"/>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3005" t="s">
        <v>1657</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7"/>
      <c r="C12" s="3007"/>
      <c r="D12" s="3007"/>
    </row>
    <row r="13" spans="1:4" ht="30" customHeight="1">
      <c r="A13" s="3006" t="str">
        <f>IF(项目基本情况!B8="抵押","3.抵押双方在办理抵押登记手续时，应使用本公司出具的正式《房地产评估报告》，特提醒报告使用者注意。","——")</f>
        <v>——</v>
      </c>
      <c r="B13" s="3007"/>
      <c r="C13" s="3007"/>
      <c r="D13" s="3007"/>
    </row>
    <row r="14" spans="1:4" ht="15.75" customHeight="1">
      <c r="A14" s="3006" t="str">
        <f>IF(项目基本情况!B8="抵押","4.本次评估估价师所知悉的法定优先受偿款情况说明如下：","——")</f>
        <v>——</v>
      </c>
      <c r="B14" s="3007"/>
      <c r="C14" s="3007"/>
      <c r="D14" s="3007"/>
    </row>
    <row r="15" spans="1:4" ht="42" customHeight="1">
      <c r="A15" s="3006" t="str">
        <f>IF(项目基本情况!B8="抵押","（1）"&amp;CONCATENATE(项目基本情况!L20,项目基本情况!L21,项目基本情况!L22),"——")</f>
        <v>——</v>
      </c>
      <c r="B15" s="3006"/>
      <c r="C15" s="3006"/>
      <c r="D15" s="3006"/>
    </row>
    <row r="16" spans="1:4" ht="30" customHeight="1">
      <c r="A16" s="3009" t="s">
        <v>1658</v>
      </c>
      <c r="B16" s="3009"/>
      <c r="C16" s="3009"/>
      <c r="D16" s="3009"/>
    </row>
    <row r="17" spans="1:4" ht="144" customHeight="1">
      <c r="A17" s="3009" t="s">
        <v>1659</v>
      </c>
      <c r="B17" s="3009"/>
      <c r="C17" s="3009"/>
      <c r="D17" s="3009"/>
    </row>
    <row r="18" spans="1:4" ht="15.75" customHeight="1">
      <c r="A18" s="3006" t="str">
        <f>IF(项目基本情况!B8="抵押",结果表!K120,"——")</f>
        <v>——</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1660</v>
      </c>
      <c r="B22" s="3011"/>
      <c r="C22" s="3011"/>
      <c r="D22" s="3011"/>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17" t="s">
        <v>1671</v>
      </c>
      <c r="B15" s="3012" t="s">
        <v>136</v>
      </c>
      <c r="C15" s="3013"/>
    </row>
    <row r="16" spans="1:7" ht="13.5">
      <c r="A16" s="3018"/>
      <c r="B16" s="3012" t="s">
        <v>69</v>
      </c>
      <c r="C16" s="3013"/>
    </row>
    <row r="17" spans="1:3" ht="13.5">
      <c r="A17" s="3018"/>
      <c r="B17" s="3015" t="s">
        <v>1672</v>
      </c>
      <c r="C17" s="2003" t="s">
        <v>1671</v>
      </c>
    </row>
    <row r="18" spans="1:3" ht="13.5">
      <c r="A18" s="3018"/>
      <c r="B18" s="3015"/>
      <c r="C18" s="2003" t="s">
        <v>1673</v>
      </c>
    </row>
    <row r="19" spans="1:3" ht="13.5">
      <c r="A19" s="3018"/>
      <c r="B19" s="3015"/>
      <c r="C19" s="2003" t="s">
        <v>1674</v>
      </c>
    </row>
    <row r="20" spans="1:3" ht="13.5">
      <c r="A20" s="3019"/>
      <c r="B20" s="3014" t="s">
        <v>1675</v>
      </c>
      <c r="C20" s="3013"/>
    </row>
    <row r="21" spans="1:3" ht="13.5">
      <c r="A21" s="2004" t="s">
        <v>1676</v>
      </c>
      <c r="B21" s="2005"/>
      <c r="C21" s="2006"/>
    </row>
    <row r="22" spans="1:3" ht="13.5">
      <c r="A22" s="3016" t="s">
        <v>1677</v>
      </c>
      <c r="B22" s="3014" t="s">
        <v>1678</v>
      </c>
      <c r="C22" s="3013"/>
    </row>
    <row r="23" spans="1:3" ht="13.5">
      <c r="A23" s="3016"/>
      <c r="B23" s="3014" t="s">
        <v>1679</v>
      </c>
      <c r="C23" s="3013"/>
    </row>
    <row r="24" spans="1:3" ht="13.5">
      <c r="A24" s="3016"/>
      <c r="B24" s="3014" t="s">
        <v>1680</v>
      </c>
      <c r="C24" s="3013"/>
    </row>
    <row r="25" spans="1:3" ht="13.5">
      <c r="A25" s="3016"/>
      <c r="B25" s="3015" t="s">
        <v>1681</v>
      </c>
      <c r="C25" s="2003" t="s">
        <v>1682</v>
      </c>
    </row>
    <row r="26" spans="1:3" ht="13.5">
      <c r="A26" s="3016"/>
      <c r="B26" s="3015"/>
      <c r="C26" s="2003" t="s">
        <v>1683</v>
      </c>
    </row>
    <row r="27" spans="1:3" ht="13.5">
      <c r="A27" s="3016"/>
      <c r="B27" s="3015"/>
      <c r="C27" s="2003" t="s">
        <v>1684</v>
      </c>
    </row>
    <row r="28" spans="1:3" ht="13.5">
      <c r="A28" s="3016"/>
      <c r="B28" s="3015"/>
      <c r="C28" s="2003" t="s">
        <v>1685</v>
      </c>
    </row>
    <row r="29" spans="1:3" ht="13.5">
      <c r="A29" s="3016"/>
      <c r="B29" s="3015"/>
      <c r="C29" s="2003" t="s">
        <v>1686</v>
      </c>
    </row>
    <row r="30" spans="1:3" ht="13.5">
      <c r="A30" s="3016"/>
      <c r="B30" s="3015"/>
      <c r="C30" s="2003" t="s">
        <v>1687</v>
      </c>
    </row>
    <row r="31" spans="1:3" ht="13.5">
      <c r="A31" s="3016"/>
      <c r="B31" s="3015"/>
      <c r="C31" s="2003" t="s">
        <v>1688</v>
      </c>
    </row>
    <row r="32" spans="1:3" ht="13.5">
      <c r="A32" s="3016"/>
      <c r="B32" s="3015"/>
      <c r="C32" s="2003" t="s">
        <v>1689</v>
      </c>
    </row>
    <row r="33" spans="1:3" ht="13.5">
      <c r="A33" s="3016"/>
      <c r="B33" s="3015"/>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43047</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352"/>
      <c r="D12" s="2355"/>
      <c r="E12" s="1025"/>
      <c r="F12" s="1025"/>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1334</v>
      </c>
      <c r="B24" s="1706" t="s">
        <v>1334</v>
      </c>
      <c r="C24" s="2353" t="s">
        <v>1334</v>
      </c>
      <c r="D24" s="2356" t="s">
        <v>1334</v>
      </c>
      <c r="E24" s="1706" t="s">
        <v>1334</v>
      </c>
      <c r="F24" s="1706" t="s">
        <v>1334</v>
      </c>
    </row>
    <row r="25" spans="1:7" ht="24" customHeight="1">
      <c r="A25" s="3020" t="s">
        <v>846</v>
      </c>
      <c r="B25" s="3020"/>
      <c r="C25" s="3020"/>
      <c r="D25" s="3020"/>
      <c r="E25" s="3020"/>
      <c r="F25" s="3020"/>
      <c r="G25" s="3020"/>
    </row>
    <row r="26" spans="1:7" s="1028" customFormat="1" ht="24" customHeight="1">
      <c r="A26" s="3021" t="s">
        <v>847</v>
      </c>
      <c r="B26" s="3021"/>
      <c r="C26" s="3022"/>
      <c r="D26" s="3023" t="s">
        <v>848</v>
      </c>
      <c r="E26" s="3021"/>
      <c r="F26" s="3021"/>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2017-11-08T02:08:20Z</cp:lastPrinted>
  <dcterms:created xsi:type="dcterms:W3CDTF">2015-07-13T07:17:23Z</dcterms:created>
  <dcterms:modified xsi:type="dcterms:W3CDTF">2017-11-08T06:25:30Z</dcterms:modified>
</cp:coreProperties>
</file>