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9040" windowHeight="158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杰伟科技租赁情况" sheetId="85"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6"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4" hidden="1">杰伟科技租赁情况!$A$2:$N$37</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4">杰伟科技租赁情况!$A$1:$O$54</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40" i="85" l="1"/>
  <c r="F41" i="85"/>
  <c r="F42" i="85"/>
  <c r="E40" i="85"/>
  <c r="E42" i="85"/>
  <c r="F35" i="6" l="1"/>
  <c r="M13" i="3"/>
  <c r="K13" i="3"/>
  <c r="I13" i="3"/>
  <c r="A3" i="3"/>
  <c r="G31" i="80"/>
  <c r="G30" i="80"/>
  <c r="G29" i="80"/>
  <c r="G28" i="80"/>
  <c r="G27" i="80"/>
  <c r="G26" i="80"/>
  <c r="G25" i="80"/>
  <c r="C46" i="85"/>
  <c r="E41" i="85"/>
  <c r="O30" i="85"/>
  <c r="O26" i="85"/>
  <c r="O27" i="85"/>
  <c r="O28" i="85"/>
  <c r="O29" i="85"/>
  <c r="O25" i="85"/>
  <c r="O37" i="85"/>
  <c r="O36" i="85"/>
  <c r="O31" i="85"/>
  <c r="O13" i="85"/>
  <c r="M37" i="85"/>
  <c r="N37" i="85"/>
  <c r="L37" i="85"/>
  <c r="M36" i="85"/>
  <c r="N36" i="85"/>
  <c r="L36" i="85"/>
  <c r="M31" i="85"/>
  <c r="N31" i="85"/>
  <c r="L31" i="85"/>
  <c r="M13" i="85"/>
  <c r="N13" i="85"/>
  <c r="L13" i="85"/>
  <c r="Y8" i="1"/>
  <c r="Q72" i="86"/>
  <c r="Q59" i="86"/>
  <c r="K59" i="86"/>
  <c r="P74" i="86" s="1"/>
  <c r="F59" i="86"/>
  <c r="Q58" i="86"/>
  <c r="J52" i="86"/>
  <c r="Q51" i="86"/>
  <c r="J51" i="86"/>
  <c r="J50" i="86"/>
  <c r="J49" i="86"/>
  <c r="M47" i="86"/>
  <c r="D46" i="86"/>
  <c r="F34" i="86"/>
  <c r="F62" i="86" s="1"/>
  <c r="F33" i="86"/>
  <c r="F61" i="86" s="1"/>
  <c r="F32" i="86"/>
  <c r="F60" i="86" s="1"/>
  <c r="F31" i="86"/>
  <c r="F28" i="86"/>
  <c r="C28" i="86" s="1"/>
  <c r="F23" i="86"/>
  <c r="D23" i="86" s="1"/>
  <c r="F21" i="86"/>
  <c r="M20" i="86"/>
  <c r="F20" i="86"/>
  <c r="M19" i="86"/>
  <c r="M18" i="86"/>
  <c r="F18" i="86"/>
  <c r="M17" i="86"/>
  <c r="F17" i="86"/>
  <c r="F15" i="86"/>
  <c r="G1" i="86"/>
  <c r="N8" i="1"/>
  <c r="G21" i="6"/>
  <c r="C44" i="85"/>
  <c r="C43" i="85"/>
  <c r="C42" i="85"/>
  <c r="C41" i="85"/>
  <c r="C40" i="85"/>
  <c r="F31" i="85"/>
  <c r="F13" i="85"/>
  <c r="E13" i="80"/>
  <c r="G11" i="80"/>
  <c r="G10" i="80"/>
  <c r="C76" i="86"/>
  <c r="Q71" i="86" l="1"/>
  <c r="P61" i="86"/>
  <c r="D24" i="86"/>
  <c r="D22" i="86"/>
  <c r="G18" i="80"/>
  <c r="G19" i="80"/>
  <c r="F36" i="85"/>
  <c r="G15" i="80"/>
  <c r="F16" i="86"/>
  <c r="M26" i="86"/>
  <c r="J15" i="86"/>
  <c r="M6" i="86"/>
  <c r="F36" i="86"/>
  <c r="F9" i="86"/>
  <c r="F38" i="86"/>
  <c r="F42" i="86"/>
  <c r="M28" i="86"/>
  <c r="F37" i="86"/>
  <c r="M9" i="86"/>
  <c r="F26" i="86"/>
  <c r="F13" i="86"/>
  <c r="M27" i="86"/>
  <c r="M24" i="86"/>
  <c r="F40" i="86"/>
  <c r="M23" i="86"/>
  <c r="F8" i="86"/>
  <c r="F6" i="86"/>
  <c r="M22" i="86"/>
  <c r="M8" i="86"/>
  <c r="C27" i="86" l="1"/>
  <c r="F64" i="86"/>
  <c r="F68" i="86"/>
  <c r="F65" i="86"/>
  <c r="F51" i="86"/>
  <c r="F66" i="86"/>
  <c r="AL49" i="84" l="1"/>
  <c r="D128" i="34"/>
  <c r="E128" i="34" s="1"/>
  <c r="F128" i="34" s="1"/>
  <c r="G128" i="34" s="1"/>
  <c r="I7" i="34"/>
  <c r="G7" i="34"/>
  <c r="E7" i="34"/>
  <c r="C62" i="84"/>
  <c r="J21" i="84"/>
  <c r="Q14" i="84"/>
  <c r="R13" i="84"/>
  <c r="S13" i="84" s="1"/>
  <c r="L7" i="80" l="1"/>
  <c r="K7" i="80"/>
  <c r="L4" i="80"/>
  <c r="K4" i="80"/>
  <c r="K8" i="80" s="1"/>
  <c r="Q72" i="82"/>
  <c r="Q59" i="82"/>
  <c r="K59" i="82"/>
  <c r="P74" i="82" s="1"/>
  <c r="F59" i="82"/>
  <c r="Q58" i="82"/>
  <c r="J52" i="82"/>
  <c r="Q51" i="82"/>
  <c r="J50" i="82"/>
  <c r="J49" i="82"/>
  <c r="M47" i="82"/>
  <c r="D46" i="82"/>
  <c r="F33" i="82"/>
  <c r="F61" i="82" s="1"/>
  <c r="F31" i="82"/>
  <c r="F23" i="82"/>
  <c r="D23" i="82" s="1"/>
  <c r="F21" i="82"/>
  <c r="F20" i="82"/>
  <c r="M19" i="82"/>
  <c r="F18" i="82"/>
  <c r="M17" i="82"/>
  <c r="F17" i="82"/>
  <c r="F15" i="82"/>
  <c r="J52" i="15"/>
  <c r="J49" i="15"/>
  <c r="Y6" i="1"/>
  <c r="G20" i="6"/>
  <c r="L7" i="1"/>
  <c r="K13" i="80"/>
  <c r="N7" i="1"/>
  <c r="Y7" i="1" s="1"/>
  <c r="N19" i="1"/>
  <c r="N21" i="1" s="1"/>
  <c r="K12" i="80"/>
  <c r="L11" i="80" s="1"/>
  <c r="K11" i="80"/>
  <c r="G13" i="4"/>
  <c r="F13" i="4"/>
  <c r="I12" i="79"/>
  <c r="G20" i="80" l="1"/>
  <c r="G21" i="80" s="1"/>
  <c r="L8" i="80"/>
  <c r="G13" i="80"/>
  <c r="F19" i="6"/>
  <c r="D24" i="82"/>
  <c r="P61" i="82"/>
  <c r="D22" i="82"/>
  <c r="L16" i="80"/>
  <c r="L17"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6"/>
  <c r="M59" i="86" l="1"/>
  <c r="N59" i="86"/>
  <c r="L59" i="86"/>
  <c r="I2" i="43"/>
  <c r="M1" i="43" s="1"/>
  <c r="Q74" i="86" l="1"/>
  <c r="Q61" i="86"/>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T22" i="79"/>
  <c r="S20" i="79"/>
  <c r="AG20" i="79" s="1"/>
  <c r="N31" i="79"/>
  <c r="W22" i="79"/>
  <c r="AK22" i="79" s="1"/>
  <c r="AH22" i="79"/>
  <c r="AD38" i="79"/>
  <c r="AD36" i="79"/>
  <c r="AD37"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AH34" i="79"/>
  <c r="W34" i="79"/>
  <c r="AK34" i="79" s="1"/>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V68" i="71"/>
  <c r="E68" i="7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C47" i="71" s="1"/>
  <c r="D47" i="71" s="1"/>
  <c r="N45" i="71"/>
  <c r="B46" i="71" s="1"/>
  <c r="D45" i="71"/>
  <c r="Q44" i="71"/>
  <c r="P44" i="71"/>
  <c r="O44" i="71"/>
  <c r="N44" i="71"/>
  <c r="Q43" i="71"/>
  <c r="P43" i="71"/>
  <c r="O43" i="71"/>
  <c r="N43" i="71"/>
  <c r="Q42" i="71"/>
  <c r="P42" i="71"/>
  <c r="O42" i="71"/>
  <c r="C43" i="71" s="1"/>
  <c r="N42" i="71"/>
  <c r="Q41" i="71"/>
  <c r="F42" i="71" s="1"/>
  <c r="P41" i="71"/>
  <c r="E42"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N38" i="71"/>
  <c r="X36" i="71" s="1"/>
  <c r="F38" i="71"/>
  <c r="Q37" i="71"/>
  <c r="P37" i="71"/>
  <c r="O37" i="71"/>
  <c r="C38" i="71" s="1"/>
  <c r="D38" i="71" s="1"/>
  <c r="N37" i="71"/>
  <c r="B38" i="71" s="1"/>
  <c r="D37" i="71"/>
  <c r="Q36" i="71"/>
  <c r="P36" i="71"/>
  <c r="AA35" i="71" s="1"/>
  <c r="O36" i="71"/>
  <c r="N36" i="71"/>
  <c r="Q35" i="71"/>
  <c r="AB35" i="71" s="1"/>
  <c r="P35" i="71"/>
  <c r="O35" i="71"/>
  <c r="N35" i="71"/>
  <c r="Q34" i="71"/>
  <c r="AB34" i="71" s="1"/>
  <c r="P34" i="71"/>
  <c r="O34" i="71"/>
  <c r="N34" i="71"/>
  <c r="X34" i="71" s="1"/>
  <c r="Q33" i="71"/>
  <c r="F34" i="71" s="1"/>
  <c r="P33" i="71"/>
  <c r="E34" i="71" s="1"/>
  <c r="O33" i="71"/>
  <c r="N33" i="71"/>
  <c r="X25" i="71" s="1"/>
  <c r="D33" i="71"/>
  <c r="Q32" i="71"/>
  <c r="P32" i="71"/>
  <c r="O32" i="71"/>
  <c r="N32" i="71"/>
  <c r="Q31" i="71"/>
  <c r="P31" i="71"/>
  <c r="O31" i="71"/>
  <c r="N31" i="71"/>
  <c r="X31" i="71" s="1"/>
  <c r="Q30" i="71"/>
  <c r="P30" i="71"/>
  <c r="O30" i="71"/>
  <c r="N30" i="71"/>
  <c r="Q29" i="71"/>
  <c r="F30" i="71" s="1"/>
  <c r="F31" i="71" s="1"/>
  <c r="F32" i="71" s="1"/>
  <c r="V32" i="71" s="1"/>
  <c r="P29" i="71"/>
  <c r="E30" i="71" s="1"/>
  <c r="E31" i="71" s="1"/>
  <c r="E32" i="71" s="1"/>
  <c r="U32" i="71" s="1"/>
  <c r="O29" i="71"/>
  <c r="C30" i="71" s="1"/>
  <c r="D30" i="71" s="1"/>
  <c r="N29" i="71"/>
  <c r="B30" i="71" s="1"/>
  <c r="B31" i="71" s="1"/>
  <c r="B32" i="71" s="1"/>
  <c r="S32" i="71" s="1"/>
  <c r="D29" i="71"/>
  <c r="O28" i="71"/>
  <c r="N28" i="71"/>
  <c r="B39" i="71"/>
  <c r="B40" i="71" s="1"/>
  <c r="S40" i="71" s="1"/>
  <c r="C34" i="71"/>
  <c r="D34" i="71" s="1"/>
  <c r="Y27" i="71"/>
  <c r="Z27" i="71" s="1"/>
  <c r="B28" i="71"/>
  <c r="B27" i="71" s="1"/>
  <c r="B26" i="71" s="1"/>
  <c r="P28" i="71"/>
  <c r="E28" i="71" s="1"/>
  <c r="Q28" i="71"/>
  <c r="C59" i="71"/>
  <c r="C60" i="71" s="1"/>
  <c r="T68" i="71"/>
  <c r="O68" i="71"/>
  <c r="D68" i="71"/>
  <c r="E71" i="71"/>
  <c r="E70" i="71" s="1"/>
  <c r="D72" i="71"/>
  <c r="C75" i="71"/>
  <c r="D75" i="71" s="1"/>
  <c r="D76" i="71"/>
  <c r="D80" i="71"/>
  <c r="C87" i="71"/>
  <c r="C86" i="71" s="1"/>
  <c r="D86" i="71" s="1"/>
  <c r="F28" i="71"/>
  <c r="F27" i="71" s="1"/>
  <c r="F26" i="71"/>
  <c r="AA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W29" i="39"/>
  <c r="W18" i="36"/>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N5" i="3" s="1"/>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S5" i="3" s="1"/>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P5" i="3" s="1"/>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F5" i="3" s="1"/>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D5"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T5" i="3" s="1"/>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J5" i="3" s="1"/>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A250" i="3" s="1"/>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A220" i="3" s="1"/>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A391" i="3" s="1"/>
  <c r="BC391" i="3"/>
  <c r="BB391" i="3"/>
  <c r="AX391" i="3"/>
  <c r="AW391" i="3"/>
  <c r="AV391" i="3"/>
  <c r="AC391" i="3"/>
  <c r="H391" i="3"/>
  <c r="BT390" i="3"/>
  <c r="BS390" i="3"/>
  <c r="BR390" i="3"/>
  <c r="BQ390" i="3"/>
  <c r="BP390" i="3"/>
  <c r="BO390" i="3"/>
  <c r="BN390" i="3"/>
  <c r="BM390" i="3"/>
  <c r="BL390" i="3" s="1"/>
  <c r="BK390" i="3"/>
  <c r="BA390" i="3" s="1"/>
  <c r="BJ390" i="3"/>
  <c r="BI390" i="3"/>
  <c r="BH390" i="3"/>
  <c r="BG390" i="3"/>
  <c r="BF390" i="3"/>
  <c r="BE390" i="3"/>
  <c r="BD390" i="3"/>
  <c r="BC390" i="3"/>
  <c r="BB390" i="3"/>
  <c r="AX390" i="3"/>
  <c r="AW390" i="3"/>
  <c r="AV390" i="3"/>
  <c r="AC390" i="3"/>
  <c r="H390" i="3"/>
  <c r="BT389" i="3"/>
  <c r="BS389" i="3"/>
  <c r="BL389" i="3" s="1"/>
  <c r="BR389" i="3"/>
  <c r="BQ389" i="3"/>
  <c r="BP389" i="3"/>
  <c r="BO389" i="3"/>
  <c r="BN389" i="3"/>
  <c r="BM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L387" i="3" s="1"/>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S40" i="31" s="1"/>
  <c r="R41" i="31"/>
  <c r="S41" i="31" s="1"/>
  <c r="R42" i="31"/>
  <c r="R43" i="31"/>
  <c r="R44" i="31"/>
  <c r="R45" i="31"/>
  <c r="R46" i="31"/>
  <c r="R47" i="31"/>
  <c r="R48" i="31"/>
  <c r="R49" i="31"/>
  <c r="R50" i="31"/>
  <c r="R51" i="31"/>
  <c r="R52" i="31"/>
  <c r="R53" i="31"/>
  <c r="R54" i="31"/>
  <c r="R55" i="31"/>
  <c r="R56" i="31"/>
  <c r="S56" i="31" s="1"/>
  <c r="R57" i="31"/>
  <c r="S57" i="31" s="1"/>
  <c r="R58" i="31"/>
  <c r="R59" i="31"/>
  <c r="R60" i="31"/>
  <c r="R61" i="31"/>
  <c r="R62" i="31"/>
  <c r="R63" i="31"/>
  <c r="R64" i="31"/>
  <c r="R65" i="31"/>
  <c r="R66" i="31"/>
  <c r="R67" i="31"/>
  <c r="R68" i="31"/>
  <c r="R69" i="31"/>
  <c r="R70" i="31"/>
  <c r="R71" i="31"/>
  <c r="R72" i="31"/>
  <c r="S72" i="31" s="1"/>
  <c r="R73" i="31"/>
  <c r="S73" i="31" s="1"/>
  <c r="R74" i="31"/>
  <c r="R75" i="31"/>
  <c r="R76" i="31"/>
  <c r="R77" i="31"/>
  <c r="R78" i="31"/>
  <c r="R79" i="31"/>
  <c r="R80" i="31"/>
  <c r="R81" i="31"/>
  <c r="R82" i="31"/>
  <c r="R83" i="31"/>
  <c r="R84" i="31"/>
  <c r="R85" i="31"/>
  <c r="R86" i="31"/>
  <c r="R87" i="31"/>
  <c r="R88" i="31"/>
  <c r="S88" i="31" s="1"/>
  <c r="R89" i="31"/>
  <c r="S89" i="31" s="1"/>
  <c r="R90" i="31"/>
  <c r="R91" i="31"/>
  <c r="R92" i="31"/>
  <c r="R93" i="31"/>
  <c r="R94" i="31"/>
  <c r="R95" i="31"/>
  <c r="R96" i="31"/>
  <c r="R97" i="31"/>
  <c r="R98" i="31"/>
  <c r="R99" i="31"/>
  <c r="R100" i="31"/>
  <c r="R101" i="31"/>
  <c r="R102" i="31"/>
  <c r="R103" i="31"/>
  <c r="R104" i="31"/>
  <c r="S104" i="31" s="1"/>
  <c r="R105" i="31"/>
  <c r="S105" i="31" s="1"/>
  <c r="R106" i="31"/>
  <c r="R107" i="31"/>
  <c r="R108" i="31"/>
  <c r="R109" i="31"/>
  <c r="R110" i="31"/>
  <c r="R111" i="31"/>
  <c r="R112" i="31"/>
  <c r="R113" i="31"/>
  <c r="R114" i="31"/>
  <c r="R115" i="31"/>
  <c r="R116" i="31"/>
  <c r="R117" i="31"/>
  <c r="R118" i="31"/>
  <c r="R119" i="31"/>
  <c r="R120" i="31"/>
  <c r="S120" i="31" s="1"/>
  <c r="R121" i="31"/>
  <c r="S121" i="31" s="1"/>
  <c r="R122" i="31"/>
  <c r="R123" i="31"/>
  <c r="R124" i="31"/>
  <c r="R125" i="31"/>
  <c r="R126" i="31"/>
  <c r="R127" i="31"/>
  <c r="R128" i="31"/>
  <c r="R129" i="31"/>
  <c r="R130" i="31"/>
  <c r="R131" i="31"/>
  <c r="R132" i="31"/>
  <c r="R133" i="31"/>
  <c r="R134" i="31"/>
  <c r="R135" i="31"/>
  <c r="R136" i="31"/>
  <c r="S136" i="31" s="1"/>
  <c r="R137" i="31"/>
  <c r="S137" i="31" s="1"/>
  <c r="R138" i="31"/>
  <c r="R139" i="31"/>
  <c r="R140" i="31"/>
  <c r="R141" i="31"/>
  <c r="R142" i="31"/>
  <c r="R143" i="31"/>
  <c r="R144" i="31"/>
  <c r="R145" i="31"/>
  <c r="R146" i="31"/>
  <c r="R147" i="31"/>
  <c r="R148" i="31"/>
  <c r="R149" i="31"/>
  <c r="R150" i="31"/>
  <c r="R151" i="31"/>
  <c r="R152" i="31"/>
  <c r="S152" i="31" s="1"/>
  <c r="R153" i="31"/>
  <c r="S153" i="31" s="1"/>
  <c r="R154" i="31"/>
  <c r="R155" i="31"/>
  <c r="R156" i="31"/>
  <c r="R157" i="31"/>
  <c r="R158" i="31"/>
  <c r="R159" i="31"/>
  <c r="R160" i="31"/>
  <c r="R161" i="31"/>
  <c r="R162" i="31"/>
  <c r="R163" i="31"/>
  <c r="R164" i="31"/>
  <c r="R165" i="31"/>
  <c r="R166" i="31"/>
  <c r="R167" i="31"/>
  <c r="R168" i="31"/>
  <c r="R169" i="31"/>
  <c r="S169" i="31" s="1"/>
  <c r="R170" i="31"/>
  <c r="R171" i="31"/>
  <c r="R172" i="31"/>
  <c r="R173" i="31"/>
  <c r="R174" i="31"/>
  <c r="R175" i="31"/>
  <c r="R176" i="31"/>
  <c r="R177" i="31"/>
  <c r="R178" i="31"/>
  <c r="R179" i="31"/>
  <c r="R180" i="31"/>
  <c r="R181" i="31"/>
  <c r="R182" i="31"/>
  <c r="R183" i="31"/>
  <c r="R184" i="31"/>
  <c r="R185" i="31"/>
  <c r="S185" i="31" s="1"/>
  <c r="R186" i="31"/>
  <c r="R187" i="31"/>
  <c r="R188" i="31"/>
  <c r="R189" i="3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R214" i="31"/>
  <c r="R215" i="31"/>
  <c r="R216" i="31"/>
  <c r="R217" i="31"/>
  <c r="S217" i="31" s="1"/>
  <c r="R218" i="31"/>
  <c r="R219" i="31"/>
  <c r="R220" i="31"/>
  <c r="R221" i="31"/>
  <c r="R222" i="31"/>
  <c r="R223" i="31"/>
  <c r="R224" i="31"/>
  <c r="R225" i="31"/>
  <c r="R226" i="31"/>
  <c r="R227" i="31"/>
  <c r="R228" i="31"/>
  <c r="R229" i="31"/>
  <c r="R230" i="31"/>
  <c r="R231" i="31"/>
  <c r="R232" i="31"/>
  <c r="S232" i="31" s="1"/>
  <c r="R233" i="31"/>
  <c r="S233" i="31" s="1"/>
  <c r="R234" i="31"/>
  <c r="R235" i="31"/>
  <c r="R236" i="31"/>
  <c r="R237" i="31"/>
  <c r="R238" i="31"/>
  <c r="R239" i="31"/>
  <c r="R240" i="31"/>
  <c r="R241" i="31"/>
  <c r="R242" i="31"/>
  <c r="R243" i="31"/>
  <c r="R244" i="31"/>
  <c r="R245" i="31"/>
  <c r="R246" i="31"/>
  <c r="R247" i="31"/>
  <c r="R248" i="31"/>
  <c r="S248" i="31" s="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S424" i="31" s="1"/>
  <c r="R425" i="31"/>
  <c r="S425" i="31" s="1"/>
  <c r="R426" i="31"/>
  <c r="R427" i="31"/>
  <c r="R428" i="31"/>
  <c r="R429" i="31"/>
  <c r="R430" i="31"/>
  <c r="R431" i="31"/>
  <c r="R432" i="31"/>
  <c r="R433" i="31"/>
  <c r="R434" i="31"/>
  <c r="R435" i="31"/>
  <c r="R436" i="31"/>
  <c r="R437" i="31"/>
  <c r="R438" i="31"/>
  <c r="R439" i="31"/>
  <c r="R440" i="31"/>
  <c r="S440" i="31" s="1"/>
  <c r="R441" i="31"/>
  <c r="S441" i="31" s="1"/>
  <c r="R442" i="31"/>
  <c r="R443" i="31"/>
  <c r="R444" i="31"/>
  <c r="R445" i="31"/>
  <c r="R446" i="31"/>
  <c r="R447" i="31"/>
  <c r="R448" i="31"/>
  <c r="R449" i="31"/>
  <c r="R450" i="31"/>
  <c r="R451" i="31"/>
  <c r="R452" i="31"/>
  <c r="R453" i="31"/>
  <c r="R454" i="31"/>
  <c r="R455" i="31"/>
  <c r="R456" i="31"/>
  <c r="S456" i="31" s="1"/>
  <c r="R457" i="31"/>
  <c r="S457" i="31" s="1"/>
  <c r="R458" i="31"/>
  <c r="R459" i="31"/>
  <c r="R460" i="31"/>
  <c r="R461" i="31"/>
  <c r="R462" i="31"/>
  <c r="R463" i="31"/>
  <c r="R464" i="31"/>
  <c r="R465" i="31"/>
  <c r="R466" i="31"/>
  <c r="R467" i="31"/>
  <c r="R468" i="31"/>
  <c r="R469" i="31"/>
  <c r="R470" i="31"/>
  <c r="R471" i="31"/>
  <c r="R472" i="31"/>
  <c r="S472" i="31" s="1"/>
  <c r="R473" i="31"/>
  <c r="S473" i="31" s="1"/>
  <c r="R474" i="31"/>
  <c r="R475" i="31"/>
  <c r="R476" i="31"/>
  <c r="R477" i="31"/>
  <c r="R478" i="31"/>
  <c r="R479" i="31"/>
  <c r="R480" i="31"/>
  <c r="R481" i="31"/>
  <c r="R482" i="31"/>
  <c r="R483" i="31"/>
  <c r="R484" i="31"/>
  <c r="R485" i="31"/>
  <c r="R486" i="31"/>
  <c r="R487" i="31"/>
  <c r="R488" i="31"/>
  <c r="S488" i="31" s="1"/>
  <c r="R489" i="31"/>
  <c r="S489" i="31" s="1"/>
  <c r="R490" i="31"/>
  <c r="R491" i="31"/>
  <c r="R492" i="31"/>
  <c r="R493" i="31"/>
  <c r="R494" i="31"/>
  <c r="R495" i="31"/>
  <c r="R496" i="31"/>
  <c r="R497" i="31"/>
  <c r="R498" i="31"/>
  <c r="R499" i="31"/>
  <c r="R500" i="31"/>
  <c r="R501" i="31"/>
  <c r="R502" i="31"/>
  <c r="R503" i="31"/>
  <c r="R504" i="31"/>
  <c r="S504" i="31" s="1"/>
  <c r="R505" i="31"/>
  <c r="S505" i="31" s="1"/>
  <c r="R506" i="31"/>
  <c r="R507" i="31"/>
  <c r="R508" i="31"/>
  <c r="R509" i="31"/>
  <c r="R510" i="31"/>
  <c r="R511" i="31"/>
  <c r="R512" i="31"/>
  <c r="R513" i="31"/>
  <c r="R514" i="31"/>
  <c r="R515" i="31"/>
  <c r="R516" i="31"/>
  <c r="R517" i="31"/>
  <c r="R518" i="31"/>
  <c r="R519" i="31"/>
  <c r="R520" i="31"/>
  <c r="S520" i="31" s="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6" i="31"/>
  <c r="S404" i="31"/>
  <c r="S402" i="31"/>
  <c r="S400" i="31"/>
  <c r="S398" i="31"/>
  <c r="S396" i="31"/>
  <c r="S394" i="31"/>
  <c r="S390" i="31"/>
  <c r="S388" i="31"/>
  <c r="S386" i="31"/>
  <c r="S384" i="31"/>
  <c r="S382" i="31"/>
  <c r="S380" i="31"/>
  <c r="S378" i="31"/>
  <c r="S374" i="31"/>
  <c r="S372" i="31"/>
  <c r="S370" i="31"/>
  <c r="S368" i="31"/>
  <c r="S366" i="31"/>
  <c r="S364" i="31"/>
  <c r="S362" i="31"/>
  <c r="S358" i="31"/>
  <c r="S356" i="31"/>
  <c r="S354" i="31"/>
  <c r="S352" i="31"/>
  <c r="S350" i="31"/>
  <c r="S348" i="31"/>
  <c r="S346" i="31"/>
  <c r="S342" i="31"/>
  <c r="S340" i="31"/>
  <c r="S338" i="31"/>
  <c r="S336" i="31"/>
  <c r="S334" i="31"/>
  <c r="S332" i="31"/>
  <c r="S330" i="31"/>
  <c r="S326" i="31"/>
  <c r="S324" i="31"/>
  <c r="S322" i="31"/>
  <c r="S320" i="31"/>
  <c r="S318" i="31"/>
  <c r="S316" i="31"/>
  <c r="S314" i="31"/>
  <c r="S310" i="31"/>
  <c r="S308" i="31"/>
  <c r="S306" i="31"/>
  <c r="S304" i="31"/>
  <c r="S302" i="31"/>
  <c r="S300" i="31"/>
  <c r="S298" i="31"/>
  <c r="S294" i="31"/>
  <c r="S292" i="31"/>
  <c r="S290" i="31"/>
  <c r="S288" i="31"/>
  <c r="S286" i="31"/>
  <c r="S284" i="31"/>
  <c r="S282" i="31"/>
  <c r="S278" i="31"/>
  <c r="S276" i="31"/>
  <c r="S274" i="31"/>
  <c r="S272" i="31"/>
  <c r="S270" i="31"/>
  <c r="S268" i="31"/>
  <c r="S266" i="31"/>
  <c r="S262" i="31"/>
  <c r="S260" i="31"/>
  <c r="S258" i="31"/>
  <c r="S256" i="31"/>
  <c r="S254" i="31"/>
  <c r="S253" i="31"/>
  <c r="S252" i="31"/>
  <c r="S251" i="31"/>
  <c r="S250" i="31"/>
  <c r="S247" i="31"/>
  <c r="S246" i="31"/>
  <c r="S245" i="31"/>
  <c r="S244" i="31"/>
  <c r="S243" i="31"/>
  <c r="S242" i="31"/>
  <c r="S241" i="31"/>
  <c r="S240" i="31"/>
  <c r="S239" i="31"/>
  <c r="S238" i="31"/>
  <c r="S237" i="31"/>
  <c r="S236" i="31"/>
  <c r="S235" i="31"/>
  <c r="S234" i="31"/>
  <c r="S231" i="31"/>
  <c r="S230" i="31"/>
  <c r="S229" i="31"/>
  <c r="S228" i="31"/>
  <c r="S227" i="31"/>
  <c r="S226" i="31"/>
  <c r="S225" i="31"/>
  <c r="S224" i="31"/>
  <c r="S223" i="31"/>
  <c r="S429" i="31"/>
  <c r="S428" i="31"/>
  <c r="S427" i="31"/>
  <c r="S426" i="31"/>
  <c r="S222" i="31"/>
  <c r="S221" i="31"/>
  <c r="S220" i="31"/>
  <c r="S219" i="31"/>
  <c r="S218" i="31"/>
  <c r="S216" i="31"/>
  <c r="S215" i="31"/>
  <c r="S214" i="31"/>
  <c r="S213" i="31"/>
  <c r="S212" i="31"/>
  <c r="S211" i="31"/>
  <c r="S210" i="31"/>
  <c r="S209" i="31"/>
  <c r="S208" i="31"/>
  <c r="S207" i="31"/>
  <c r="S206" i="31"/>
  <c r="S205" i="31"/>
  <c r="S204" i="31"/>
  <c r="S203" i="31"/>
  <c r="S202" i="31"/>
  <c r="S200" i="31"/>
  <c r="S199" i="31"/>
  <c r="S198" i="31"/>
  <c r="S197" i="31"/>
  <c r="S196" i="31"/>
  <c r="S195" i="31"/>
  <c r="S194" i="31"/>
  <c r="S193" i="31"/>
  <c r="S192" i="31"/>
  <c r="S191" i="31"/>
  <c r="S190" i="31"/>
  <c r="S189" i="31"/>
  <c r="S188" i="31"/>
  <c r="S187" i="31"/>
  <c r="S186" i="31"/>
  <c r="S184" i="31"/>
  <c r="S183" i="31"/>
  <c r="S182" i="31"/>
  <c r="S181" i="31"/>
  <c r="S180" i="31"/>
  <c r="S179" i="31"/>
  <c r="S178" i="31"/>
  <c r="S177" i="31"/>
  <c r="S176" i="31"/>
  <c r="S175" i="31"/>
  <c r="S174" i="31"/>
  <c r="S173" i="31"/>
  <c r="S172" i="31"/>
  <c r="S171" i="31"/>
  <c r="S170" i="31"/>
  <c r="S168" i="31"/>
  <c r="S167" i="31"/>
  <c r="S166" i="31"/>
  <c r="S165" i="31"/>
  <c r="S164" i="31"/>
  <c r="S163" i="31"/>
  <c r="S162" i="31"/>
  <c r="S161" i="31"/>
  <c r="S160" i="31"/>
  <c r="S159" i="31"/>
  <c r="S158" i="31"/>
  <c r="S157" i="31"/>
  <c r="S156" i="31"/>
  <c r="S155" i="31"/>
  <c r="S154" i="31"/>
  <c r="S151" i="31"/>
  <c r="S150" i="31"/>
  <c r="S149" i="31"/>
  <c r="S148" i="31"/>
  <c r="S147" i="31"/>
  <c r="S146" i="31"/>
  <c r="S145" i="31"/>
  <c r="S144" i="31"/>
  <c r="S143" i="31"/>
  <c r="S142" i="31"/>
  <c r="S141" i="31"/>
  <c r="S140" i="31"/>
  <c r="S139" i="31"/>
  <c r="S138" i="31"/>
  <c r="S135" i="31"/>
  <c r="S134" i="31"/>
  <c r="S133" i="31"/>
  <c r="S132" i="31"/>
  <c r="S131" i="31"/>
  <c r="S130" i="31"/>
  <c r="S129" i="31"/>
  <c r="S128" i="31"/>
  <c r="S127" i="31"/>
  <c r="S126" i="31"/>
  <c r="S125" i="31"/>
  <c r="S124" i="31"/>
  <c r="S123" i="31"/>
  <c r="S497" i="31"/>
  <c r="S496" i="31"/>
  <c r="S495" i="31"/>
  <c r="S494" i="31"/>
  <c r="S493" i="31"/>
  <c r="S492" i="31"/>
  <c r="S491" i="31"/>
  <c r="S490" i="31"/>
  <c r="S487" i="31"/>
  <c r="S486" i="31"/>
  <c r="S485" i="31"/>
  <c r="S484" i="31"/>
  <c r="S483" i="31"/>
  <c r="S482" i="31"/>
  <c r="S481" i="31"/>
  <c r="S480" i="31"/>
  <c r="S479" i="31"/>
  <c r="S478" i="31"/>
  <c r="S477" i="31"/>
  <c r="S476" i="31"/>
  <c r="S475" i="31"/>
  <c r="S474" i="31"/>
  <c r="S471" i="31"/>
  <c r="S470" i="31"/>
  <c r="S469" i="31"/>
  <c r="S468" i="31"/>
  <c r="S444" i="31"/>
  <c r="S443" i="31"/>
  <c r="S442" i="31"/>
  <c r="S439" i="31"/>
  <c r="S438" i="31"/>
  <c r="S437" i="31"/>
  <c r="S436" i="31"/>
  <c r="S435" i="31"/>
  <c r="S434" i="31"/>
  <c r="S433" i="31"/>
  <c r="S432" i="31"/>
  <c r="S431" i="31"/>
  <c r="S430" i="31"/>
  <c r="S122" i="31"/>
  <c r="S119" i="31"/>
  <c r="S118" i="31"/>
  <c r="S117" i="31"/>
  <c r="S116" i="31"/>
  <c r="S115" i="31"/>
  <c r="S114" i="31"/>
  <c r="S113" i="31"/>
  <c r="S112" i="31"/>
  <c r="S506" i="31"/>
  <c r="S502" i="31"/>
  <c r="S500" i="31"/>
  <c r="S498" i="31"/>
  <c r="S467" i="31"/>
  <c r="S466" i="31"/>
  <c r="S465" i="31"/>
  <c r="S464" i="31"/>
  <c r="S463" i="31"/>
  <c r="S462" i="31"/>
  <c r="S461" i="31"/>
  <c r="S460" i="31"/>
  <c r="S459" i="31"/>
  <c r="S458" i="31"/>
  <c r="S455" i="31"/>
  <c r="S454" i="31"/>
  <c r="S453" i="31"/>
  <c r="S452" i="31"/>
  <c r="S451" i="31"/>
  <c r="S450" i="31"/>
  <c r="S54" i="31"/>
  <c r="S53" i="31"/>
  <c r="S52" i="31"/>
  <c r="S51" i="31"/>
  <c r="S50" i="31"/>
  <c r="S49" i="31"/>
  <c r="S48" i="31"/>
  <c r="S47" i="31"/>
  <c r="S46" i="31"/>
  <c r="S45" i="31"/>
  <c r="S44" i="31"/>
  <c r="S43" i="31"/>
  <c r="S42" i="31"/>
  <c r="S39" i="31"/>
  <c r="S38" i="31"/>
  <c r="S37" i="31"/>
  <c r="S36" i="31"/>
  <c r="S35" i="31"/>
  <c r="S34" i="31"/>
  <c r="S33" i="31"/>
  <c r="S32" i="31"/>
  <c r="S77" i="31"/>
  <c r="S76" i="31"/>
  <c r="S75" i="31"/>
  <c r="S74" i="31"/>
  <c r="S71" i="31"/>
  <c r="S70" i="31"/>
  <c r="S69" i="31"/>
  <c r="S68" i="31"/>
  <c r="S67" i="31"/>
  <c r="S66" i="31"/>
  <c r="S65" i="31"/>
  <c r="S64" i="31"/>
  <c r="S63" i="31"/>
  <c r="S62" i="31"/>
  <c r="S61" i="31"/>
  <c r="S60" i="31"/>
  <c r="S59" i="31"/>
  <c r="S58" i="31"/>
  <c r="S55" i="31"/>
  <c r="S24" i="31"/>
  <c r="S97" i="31"/>
  <c r="S96" i="31"/>
  <c r="S95" i="31"/>
  <c r="S94" i="31"/>
  <c r="S93" i="31"/>
  <c r="S92" i="31"/>
  <c r="S91" i="31"/>
  <c r="S90" i="31"/>
  <c r="S87" i="31"/>
  <c r="S86" i="31"/>
  <c r="S85" i="31"/>
  <c r="S84" i="31"/>
  <c r="S83" i="31"/>
  <c r="S82" i="31"/>
  <c r="S81" i="31"/>
  <c r="S80" i="31"/>
  <c r="S79" i="31"/>
  <c r="S78" i="31"/>
  <c r="S31" i="31"/>
  <c r="S30" i="31"/>
  <c r="S29" i="31"/>
  <c r="S98" i="31"/>
  <c r="S99" i="31"/>
  <c r="S100" i="31"/>
  <c r="S101" i="31"/>
  <c r="S102" i="31"/>
  <c r="S103"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A512" i="3" s="1"/>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BL533" i="3" s="1"/>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A536" i="3" s="1"/>
  <c r="AZ536" i="3" s="1"/>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BL542" i="3" s="1"/>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A564" i="3" s="1"/>
  <c r="AZ564" i="3" s="1"/>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A567" i="3" s="1"/>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S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c r="G68" i="36" s="1"/>
  <c r="D64" i="36"/>
  <c r="E64" i="36" s="1"/>
  <c r="F64" i="36" s="1"/>
  <c r="G64" i="36" s="1"/>
  <c r="J16" i="36"/>
  <c r="W16" i="36" s="1"/>
  <c r="D62" i="36"/>
  <c r="E62" i="36" s="1"/>
  <c r="F62" i="36" s="1"/>
  <c r="G62" i="36" s="1"/>
  <c r="B59" i="36"/>
  <c r="F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B77" i="35"/>
  <c r="H25" i="35" s="1"/>
  <c r="B75" i="35"/>
  <c r="J24" i="35" s="1"/>
  <c r="AC24" i="35"/>
  <c r="B73" i="35"/>
  <c r="B57" i="35"/>
  <c r="B61" i="35"/>
  <c r="H13" i="35" s="1"/>
  <c r="U13" i="35" s="1"/>
  <c r="B59" i="35"/>
  <c r="F12" i="35" s="1"/>
  <c r="B131" i="34"/>
  <c r="H47" i="34" s="1"/>
  <c r="B129" i="34"/>
  <c r="B127" i="34"/>
  <c r="H45" i="34" s="1"/>
  <c r="U45" i="34" s="1"/>
  <c r="B99" i="34"/>
  <c r="H32" i="34" s="1"/>
  <c r="B97" i="34"/>
  <c r="J31" i="34" s="1"/>
  <c r="AC31" i="34" s="1"/>
  <c r="B95" i="34"/>
  <c r="B93" i="34"/>
  <c r="F29" i="34" s="1"/>
  <c r="B75" i="34"/>
  <c r="B73" i="34"/>
  <c r="J13" i="34" s="1"/>
  <c r="B71" i="34"/>
  <c r="J12" i="34" s="1"/>
  <c r="W12" i="34" s="1"/>
  <c r="B130" i="33"/>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U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B126" i="21"/>
  <c r="B98" i="21"/>
  <c r="B96" i="21"/>
  <c r="F30" i="21" s="1"/>
  <c r="S30" i="21" s="1"/>
  <c r="B94" i="21"/>
  <c r="J29" i="21"/>
  <c r="AC29" i="21" s="1"/>
  <c r="B92" i="21"/>
  <c r="B90" i="21"/>
  <c r="J27" i="21"/>
  <c r="W27" i="21" s="1"/>
  <c r="B74" i="21"/>
  <c r="H14" i="21" s="1"/>
  <c r="B72" i="21"/>
  <c r="H13" i="21"/>
  <c r="B70" i="21"/>
  <c r="F12" i="21" s="1"/>
  <c r="C19" i="21"/>
  <c r="C17" i="21"/>
  <c r="C23" i="21"/>
  <c r="Q9" i="21"/>
  <c r="Z9" i="21" s="1"/>
  <c r="Q10" i="21"/>
  <c r="Z10" i="21" s="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c r="Q29" i="21"/>
  <c r="Z29" i="21"/>
  <c r="Q30" i="21"/>
  <c r="Z30" i="21"/>
  <c r="Q31" i="21"/>
  <c r="Z31" i="21" s="1"/>
  <c r="Q32" i="21"/>
  <c r="Z32" i="21" s="1"/>
  <c r="Q33" i="21"/>
  <c r="Z33" i="21"/>
  <c r="Q34" i="21"/>
  <c r="Z34" i="21" s="1"/>
  <c r="J35" i="21"/>
  <c r="W35" i="21" s="1"/>
  <c r="Q35" i="21"/>
  <c r="Z35" i="21"/>
  <c r="Q36" i="21"/>
  <c r="Z36" i="21"/>
  <c r="Q37" i="21"/>
  <c r="Z37" i="21"/>
  <c r="J38" i="21"/>
  <c r="W38" i="21" s="1"/>
  <c r="Q38" i="21"/>
  <c r="Z38" i="21" s="1"/>
  <c r="J39" i="21"/>
  <c r="AC39" i="21"/>
  <c r="Q39" i="21"/>
  <c r="Z39" i="21" s="1"/>
  <c r="H40" i="21"/>
  <c r="AB40" i="21" s="1"/>
  <c r="Q40" i="21"/>
  <c r="Z40" i="21"/>
  <c r="Q41" i="21"/>
  <c r="Z41" i="21"/>
  <c r="Q42" i="21"/>
  <c r="Z42" i="2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J45" i="39"/>
  <c r="W45" i="39" s="1"/>
  <c r="W40" i="39"/>
  <c r="W25" i="37"/>
  <c r="U30" i="37"/>
  <c r="W31" i="37"/>
  <c r="F39" i="37"/>
  <c r="S39" i="37" s="1"/>
  <c r="F29" i="36"/>
  <c r="AA29" i="36" s="1"/>
  <c r="F16" i="36"/>
  <c r="AA16" i="36" s="1"/>
  <c r="U31" i="36"/>
  <c r="J33" i="36"/>
  <c r="AC33" i="36" s="1"/>
  <c r="H22" i="35"/>
  <c r="AB22" i="35" s="1"/>
  <c r="AC27" i="35"/>
  <c r="W28" i="35"/>
  <c r="F36" i="34"/>
  <c r="AA36" i="34" s="1"/>
  <c r="J35" i="34"/>
  <c r="AC35" i="34" s="1"/>
  <c r="H39" i="33"/>
  <c r="AB39" i="33" s="1"/>
  <c r="F26" i="33"/>
  <c r="AA26" i="33" s="1"/>
  <c r="U33" i="33"/>
  <c r="F11" i="40"/>
  <c r="AA11" i="40" s="1"/>
  <c r="H11" i="40"/>
  <c r="AB11" i="40" s="1"/>
  <c r="W8" i="40"/>
  <c r="AA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s="1"/>
  <c r="J21" i="40"/>
  <c r="W21" i="40"/>
  <c r="H42" i="39"/>
  <c r="J34" i="39"/>
  <c r="AC34" i="39" s="1"/>
  <c r="J31" i="39"/>
  <c r="H27" i="39"/>
  <c r="U27" i="39" s="1"/>
  <c r="J19" i="39"/>
  <c r="AC19" i="39" s="1"/>
  <c r="J17" i="39"/>
  <c r="J27" i="39"/>
  <c r="AC27" i="39"/>
  <c r="F27" i="39"/>
  <c r="F11" i="21"/>
  <c r="S11" i="21" s="1"/>
  <c r="S40" i="21"/>
  <c r="C25" i="39"/>
  <c r="H11" i="39"/>
  <c r="H32" i="33"/>
  <c r="U32" i="33" s="1"/>
  <c r="AB32" i="33"/>
  <c r="H11" i="21"/>
  <c r="U11" i="21" s="1"/>
  <c r="J11" i="21"/>
  <c r="W11" i="21" s="1"/>
  <c r="H37" i="40"/>
  <c r="U37" i="40"/>
  <c r="H36" i="40"/>
  <c r="AB36" i="40" s="1"/>
  <c r="F35" i="40"/>
  <c r="AA35" i="40" s="1"/>
  <c r="H23" i="40"/>
  <c r="AB23" i="40" s="1"/>
  <c r="H17" i="40"/>
  <c r="U17" i="40" s="1"/>
  <c r="J15" i="40"/>
  <c r="W15" i="40" s="1"/>
  <c r="J11" i="40"/>
  <c r="W11" i="40" s="1"/>
  <c r="AB8" i="39"/>
  <c r="AC12" i="34"/>
  <c r="AB12" i="35"/>
  <c r="W32" i="40"/>
  <c r="F37" i="39"/>
  <c r="AA37" i="39" s="1"/>
  <c r="U30" i="36"/>
  <c r="J30" i="35"/>
  <c r="W30" i="35" s="1"/>
  <c r="H30" i="35"/>
  <c r="AB30" i="35" s="1"/>
  <c r="F22" i="35"/>
  <c r="AA22" i="35"/>
  <c r="H10" i="35"/>
  <c r="U10" i="35" s="1"/>
  <c r="W30" i="36"/>
  <c r="H16" i="36"/>
  <c r="AB16" i="36"/>
  <c r="F85" i="36"/>
  <c r="G85" i="36" s="1"/>
  <c r="H85" i="36" s="1"/>
  <c r="I85" i="36" s="1"/>
  <c r="J85" i="36" s="1"/>
  <c r="K85" i="36" s="1"/>
  <c r="L85" i="36" s="1"/>
  <c r="M85"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S35" i="34"/>
  <c r="H23" i="34"/>
  <c r="AB23" i="34" s="1"/>
  <c r="J23" i="34"/>
  <c r="W23" i="34" s="1"/>
  <c r="F19" i="34"/>
  <c r="H17" i="34"/>
  <c r="U17" i="34" s="1"/>
  <c r="F15" i="34"/>
  <c r="AA15" i="34" s="1"/>
  <c r="J15" i="34"/>
  <c r="W15" i="34" s="1"/>
  <c r="H15" i="34"/>
  <c r="AB15" i="34" s="1"/>
  <c r="F41" i="33"/>
  <c r="S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F23" i="34"/>
  <c r="S23" i="34" s="1"/>
  <c r="J19" i="34"/>
  <c r="AC19" i="34" s="1"/>
  <c r="F17" i="34"/>
  <c r="S17" i="34" s="1"/>
  <c r="J17" i="34"/>
  <c r="W17" i="34" s="1"/>
  <c r="H37" i="33"/>
  <c r="AB37" i="33" s="1"/>
  <c r="H15" i="33"/>
  <c r="AB15" i="33" s="1"/>
  <c r="H11" i="33"/>
  <c r="AB11" i="33" s="1"/>
  <c r="F28" i="40"/>
  <c r="AA28" i="40" s="1"/>
  <c r="AC38" i="34"/>
  <c r="AA38" i="34"/>
  <c r="J11" i="33"/>
  <c r="W11" i="33" s="1"/>
  <c r="J42" i="21"/>
  <c r="AC42" i="21" s="1"/>
  <c r="H42" i="21"/>
  <c r="U42" i="21" s="1"/>
  <c r="J44" i="34"/>
  <c r="AC44" i="34" s="1"/>
  <c r="F44" i="34"/>
  <c r="S44" i="34" s="1"/>
  <c r="J10" i="35"/>
  <c r="AC10" i="35" s="1"/>
  <c r="J14" i="21"/>
  <c r="W14" i="21" s="1"/>
  <c r="F14" i="21"/>
  <c r="S14" i="21" s="1"/>
  <c r="U14" i="21"/>
  <c r="J28" i="21"/>
  <c r="W28" i="21" s="1"/>
  <c r="H30" i="21"/>
  <c r="J44" i="21"/>
  <c r="AC44" i="21" s="1"/>
  <c r="H44" i="21"/>
  <c r="U44" i="21" s="1"/>
  <c r="F44" i="21"/>
  <c r="AA44" i="21" s="1"/>
  <c r="H26" i="33"/>
  <c r="U26" i="33" s="1"/>
  <c r="F28" i="33"/>
  <c r="AA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27" i="33"/>
  <c r="AA27" i="33" s="1"/>
  <c r="J13" i="33"/>
  <c r="H13" i="33"/>
  <c r="U13" i="33" s="1"/>
  <c r="F13" i="33"/>
  <c r="S13" i="33"/>
  <c r="J29" i="33"/>
  <c r="H29" i="33"/>
  <c r="U29" i="33" s="1"/>
  <c r="F29" i="33"/>
  <c r="S29" i="33" s="1"/>
  <c r="J31" i="33"/>
  <c r="W31" i="33"/>
  <c r="H31" i="33"/>
  <c r="F31" i="33"/>
  <c r="J14" i="34"/>
  <c r="W14" i="34" s="1"/>
  <c r="F14" i="34"/>
  <c r="H14" i="34"/>
  <c r="H30" i="34"/>
  <c r="F30" i="34"/>
  <c r="S30" i="34" s="1"/>
  <c r="J30" i="34"/>
  <c r="F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H13" i="36"/>
  <c r="AB13" i="36" s="1"/>
  <c r="J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s="1"/>
  <c r="F40" i="37"/>
  <c r="AA40" i="37" s="1"/>
  <c r="H14" i="33"/>
  <c r="U14" i="33" s="1"/>
  <c r="F14" i="33"/>
  <c r="J14" i="33"/>
  <c r="H30" i="33"/>
  <c r="AB30" i="33"/>
  <c r="J30" i="33"/>
  <c r="H44" i="33"/>
  <c r="J44" i="33"/>
  <c r="AC44" i="33" s="1"/>
  <c r="F44" i="33"/>
  <c r="S44" i="33" s="1"/>
  <c r="H46" i="33"/>
  <c r="H13" i="34"/>
  <c r="U13" i="34" s="1"/>
  <c r="W13" i="34"/>
  <c r="F13" i="34"/>
  <c r="AA13" i="34" s="1"/>
  <c r="J29" i="34"/>
  <c r="S29" i="34"/>
  <c r="H29" i="34"/>
  <c r="AB29" i="34" s="1"/>
  <c r="F31" i="34"/>
  <c r="S31" i="34" s="1"/>
  <c r="J45" i="34"/>
  <c r="W45" i="34" s="1"/>
  <c r="F45" i="34"/>
  <c r="S45" i="34" s="1"/>
  <c r="U47" i="34"/>
  <c r="F47" i="34"/>
  <c r="S47" i="34" s="1"/>
  <c r="J47" i="34"/>
  <c r="F13" i="35"/>
  <c r="J13" i="35"/>
  <c r="AC13" i="35" s="1"/>
  <c r="J25" i="35"/>
  <c r="W25" i="35" s="1"/>
  <c r="F25" i="35"/>
  <c r="S25" i="35" s="1"/>
  <c r="AB25" i="35"/>
  <c r="J35" i="35"/>
  <c r="AC35" i="35" s="1"/>
  <c r="F35" i="35"/>
  <c r="AA35" i="35" s="1"/>
  <c r="H35" i="35"/>
  <c r="J25" i="36"/>
  <c r="W25" i="36" s="1"/>
  <c r="F25" i="36"/>
  <c r="S25" i="36" s="1"/>
  <c r="H25" i="36"/>
  <c r="AB25" i="36" s="1"/>
  <c r="F13" i="37"/>
  <c r="F28" i="37"/>
  <c r="AA28" i="37" s="1"/>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H33" i="40"/>
  <c r="U33" i="40" s="1"/>
  <c r="J35" i="40"/>
  <c r="AC35" i="40"/>
  <c r="J37" i="40"/>
  <c r="AC37" i="40" s="1"/>
  <c r="J13" i="40"/>
  <c r="F14" i="37"/>
  <c r="S14" i="37"/>
  <c r="F27" i="37"/>
  <c r="AA27" i="37" s="1"/>
  <c r="J13" i="39"/>
  <c r="W13" i="39" s="1"/>
  <c r="H13" i="39"/>
  <c r="H14" i="40"/>
  <c r="AB14" i="40" s="1"/>
  <c r="J14" i="40"/>
  <c r="W14" i="40" s="1"/>
  <c r="F14" i="40"/>
  <c r="AA14" i="40" s="1"/>
  <c r="J14" i="37"/>
  <c r="J27" i="37"/>
  <c r="AC27" i="37" s="1"/>
  <c r="J36" i="37"/>
  <c r="AC36" i="37" s="1"/>
  <c r="J10" i="36"/>
  <c r="AC10" i="36" s="1"/>
  <c r="AA14" i="37"/>
  <c r="AB46" i="34"/>
  <c r="AC28" i="21"/>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76" i="3"/>
  <c r="BL572" i="3"/>
  <c r="BL568" i="3"/>
  <c r="BL564" i="3"/>
  <c r="BL560" i="3"/>
  <c r="BL554" i="3"/>
  <c r="BL546" i="3"/>
  <c r="BL526" i="3"/>
  <c r="BL522" i="3"/>
  <c r="BL512" i="3"/>
  <c r="AZ512" i="3" s="1"/>
  <c r="BL502" i="3"/>
  <c r="BL494" i="3"/>
  <c r="BL582" i="3"/>
  <c r="BL578" i="3"/>
  <c r="BL574" i="3"/>
  <c r="BL544" i="3"/>
  <c r="BL540" i="3"/>
  <c r="BL536" i="3"/>
  <c r="G533" i="3"/>
  <c r="BL532" i="3"/>
  <c r="G529" i="3"/>
  <c r="BL528" i="3"/>
  <c r="G525" i="3"/>
  <c r="BL518" i="3"/>
  <c r="BL514" i="3"/>
  <c r="BL504" i="3"/>
  <c r="BL500" i="3"/>
  <c r="G493" i="3"/>
  <c r="BA584" i="3"/>
  <c r="BA582" i="3"/>
  <c r="BA580" i="3"/>
  <c r="BA578" i="3"/>
  <c r="BA576" i="3"/>
  <c r="BA574" i="3"/>
  <c r="BA566" i="3"/>
  <c r="BA562" i="3"/>
  <c r="BA554" i="3"/>
  <c r="AZ554" i="3" s="1"/>
  <c r="BA552" i="3"/>
  <c r="BA548" i="3"/>
  <c r="BA544" i="3"/>
  <c r="BA538" i="3"/>
  <c r="BA534" i="3"/>
  <c r="BA530" i="3"/>
  <c r="BA528" i="3"/>
  <c r="BA526" i="3"/>
  <c r="AZ526" i="3" s="1"/>
  <c r="BA522" i="3"/>
  <c r="AZ522" i="3" s="1"/>
  <c r="BA520" i="3"/>
  <c r="BA518" i="3"/>
  <c r="BA516" i="3"/>
  <c r="BA510" i="3"/>
  <c r="BA508" i="3"/>
  <c r="BA506" i="3"/>
  <c r="BA502" i="3"/>
  <c r="BA496" i="3"/>
  <c r="BA494" i="3"/>
  <c r="AZ494" i="3" s="1"/>
  <c r="BA583" i="3"/>
  <c r="BA575" i="3"/>
  <c r="BA571" i="3"/>
  <c r="BA569" i="3"/>
  <c r="BA561" i="3"/>
  <c r="BA555" i="3"/>
  <c r="BA553" i="3"/>
  <c r="BA547" i="3"/>
  <c r="BA543" i="3"/>
  <c r="BA539" i="3"/>
  <c r="BA535" i="3"/>
  <c r="BA533" i="3"/>
  <c r="BA529" i="3"/>
  <c r="BA525" i="3"/>
  <c r="BA519" i="3"/>
  <c r="BA517" i="3"/>
  <c r="BA515" i="3"/>
  <c r="BA513" i="3"/>
  <c r="BA511" i="3"/>
  <c r="BA507" i="3"/>
  <c r="BA501" i="3"/>
  <c r="BA499" i="3"/>
  <c r="BA497" i="3"/>
  <c r="AZ497" i="3" s="1"/>
  <c r="BA493" i="3"/>
  <c r="G583" i="3"/>
  <c r="G581" i="3"/>
  <c r="G579" i="3"/>
  <c r="G577" i="3"/>
  <c r="G573" i="3"/>
  <c r="G571" i="3"/>
  <c r="G569" i="3"/>
  <c r="G567" i="3"/>
  <c r="G565" i="3"/>
  <c r="G563" i="3"/>
  <c r="G561" i="3"/>
  <c r="BL558" i="3"/>
  <c r="BA557" i="3"/>
  <c r="AC557" i="3"/>
  <c r="G557" i="3" s="1"/>
  <c r="BQ557" i="3"/>
  <c r="BQ583" i="3"/>
  <c r="BL583" i="3" s="1"/>
  <c r="BQ581" i="3"/>
  <c r="BL581" i="3"/>
  <c r="BQ579" i="3"/>
  <c r="BL579" i="3" s="1"/>
  <c r="BQ577" i="3"/>
  <c r="BL577" i="3" s="1"/>
  <c r="BQ575" i="3"/>
  <c r="BQ573" i="3"/>
  <c r="BL573" i="3" s="1"/>
  <c r="BQ571" i="3"/>
  <c r="BQ569" i="3"/>
  <c r="BL569" i="3" s="1"/>
  <c r="BQ567" i="3"/>
  <c r="BQ565" i="3"/>
  <c r="BL565" i="3" s="1"/>
  <c r="BQ563" i="3"/>
  <c r="BL563" i="3" s="1"/>
  <c r="BQ561" i="3"/>
  <c r="BL561" i="3" s="1"/>
  <c r="AZ561" i="3" s="1"/>
  <c r="BQ559" i="3"/>
  <c r="BL559" i="3" s="1"/>
  <c r="G559" i="3"/>
  <c r="G555" i="3"/>
  <c r="G553" i="3"/>
  <c r="G549" i="3"/>
  <c r="G545" i="3"/>
  <c r="G541" i="3"/>
  <c r="G539" i="3"/>
  <c r="G537" i="3"/>
  <c r="BQ555" i="3"/>
  <c r="BL555" i="3" s="1"/>
  <c r="BQ553" i="3"/>
  <c r="BQ551" i="3"/>
  <c r="BL551" i="3" s="1"/>
  <c r="BQ549" i="3"/>
  <c r="BQ547" i="3"/>
  <c r="BQ545" i="3"/>
  <c r="BL545" i="3" s="1"/>
  <c r="BQ543" i="3"/>
  <c r="BL543" i="3" s="1"/>
  <c r="BQ541" i="3"/>
  <c r="BL541" i="3" s="1"/>
  <c r="BQ539" i="3"/>
  <c r="BQ537" i="3"/>
  <c r="BL537" i="3" s="1"/>
  <c r="BQ535" i="3"/>
  <c r="BQ533" i="3"/>
  <c r="BQ531" i="3"/>
  <c r="BL531" i="3" s="1"/>
  <c r="BQ529" i="3"/>
  <c r="BL529" i="3" s="1"/>
  <c r="BQ527" i="3"/>
  <c r="BL527" i="3" s="1"/>
  <c r="BQ525" i="3"/>
  <c r="BQ523" i="3"/>
  <c r="BL523" i="3" s="1"/>
  <c r="BA521" i="3"/>
  <c r="AC521" i="3"/>
  <c r="G521" i="3" s="1"/>
  <c r="BQ521" i="3"/>
  <c r="BL521" i="3" s="1"/>
  <c r="G519" i="3"/>
  <c r="G517" i="3"/>
  <c r="G513" i="3"/>
  <c r="G511" i="3"/>
  <c r="BQ519" i="3"/>
  <c r="BQ517" i="3"/>
  <c r="BL517" i="3"/>
  <c r="BQ515" i="3"/>
  <c r="BQ513" i="3"/>
  <c r="BL513" i="3" s="1"/>
  <c r="BQ511" i="3"/>
  <c r="BL511" i="3" s="1"/>
  <c r="AZ511" i="3" s="1"/>
  <c r="BA509" i="3"/>
  <c r="AC509" i="3"/>
  <c r="G509" i="3" s="1"/>
  <c r="BQ509" i="3"/>
  <c r="BL509" i="3" s="1"/>
  <c r="AZ509" i="3" s="1"/>
  <c r="BL508" i="3"/>
  <c r="G507" i="3"/>
  <c r="G505" i="3"/>
  <c r="G503" i="3"/>
  <c r="G501" i="3"/>
  <c r="G499" i="3"/>
  <c r="G497" i="3"/>
  <c r="G495" i="3"/>
  <c r="BQ507" i="3"/>
  <c r="BQ505" i="3"/>
  <c r="BL505" i="3" s="1"/>
  <c r="BQ503" i="3"/>
  <c r="BL503" i="3" s="1"/>
  <c r="BQ501" i="3"/>
  <c r="BL501" i="3" s="1"/>
  <c r="BQ499" i="3"/>
  <c r="BL499" i="3" s="1"/>
  <c r="BQ497" i="3"/>
  <c r="BL497" i="3"/>
  <c r="BQ495" i="3"/>
  <c r="BL495" i="3" s="1"/>
  <c r="BQ493" i="3"/>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AA13" i="33"/>
  <c r="AC31" i="33"/>
  <c r="U11" i="33"/>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19" i="40"/>
  <c r="AB33" i="40"/>
  <c r="W23" i="39"/>
  <c r="AC43" i="39"/>
  <c r="W43"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G546" i="3"/>
  <c r="G524" i="3"/>
  <c r="G303" i="3"/>
  <c r="BL304" i="3"/>
  <c r="G305" i="3"/>
  <c r="BL306" i="3"/>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BL376" i="3"/>
  <c r="G377" i="3"/>
  <c r="BL378" i="3"/>
  <c r="G379" i="3"/>
  <c r="BA380" i="3"/>
  <c r="AZ380" i="3" s="1"/>
  <c r="G388" i="3"/>
  <c r="G390" i="3"/>
  <c r="BL391" i="3"/>
  <c r="BA393" i="3"/>
  <c r="BA394" i="3"/>
  <c r="BL394" i="3"/>
  <c r="G113" i="3"/>
  <c r="BA115" i="3"/>
  <c r="BL116" i="3"/>
  <c r="BA119" i="3"/>
  <c r="BL120" i="3"/>
  <c r="G121" i="3"/>
  <c r="BA123" i="3"/>
  <c r="BL124" i="3"/>
  <c r="G125" i="3"/>
  <c r="BA127" i="3"/>
  <c r="BL128" i="3"/>
  <c r="G129" i="3"/>
  <c r="BA131" i="3"/>
  <c r="BL132" i="3"/>
  <c r="AZ132" i="3" s="1"/>
  <c r="BA135" i="3"/>
  <c r="BL136" i="3"/>
  <c r="G137" i="3"/>
  <c r="BA139" i="3"/>
  <c r="BL140" i="3"/>
  <c r="G141" i="3"/>
  <c r="BA143" i="3"/>
  <c r="BL144" i="3"/>
  <c r="G145" i="3"/>
  <c r="BA147" i="3"/>
  <c r="BL148" i="3"/>
  <c r="AZ148" i="3" s="1"/>
  <c r="G149" i="3"/>
  <c r="BA151" i="3"/>
  <c r="BL152" i="3"/>
  <c r="G153" i="3"/>
  <c r="BA155" i="3"/>
  <c r="BL156" i="3"/>
  <c r="G157" i="3"/>
  <c r="BA159" i="3"/>
  <c r="BL160" i="3"/>
  <c r="G161" i="3"/>
  <c r="BL164" i="3"/>
  <c r="G165" i="3"/>
  <c r="BA167" i="3"/>
  <c r="BL168" i="3"/>
  <c r="AZ168" i="3" s="1"/>
  <c r="G169" i="3"/>
  <c r="BA171" i="3"/>
  <c r="BL172" i="3"/>
  <c r="G173" i="3"/>
  <c r="BA175" i="3"/>
  <c r="AZ175" i="3" s="1"/>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L337" i="3"/>
  <c r="G338" i="3"/>
  <c r="G341" i="3"/>
  <c r="BA342" i="3"/>
  <c r="AZ342" i="3" s="1"/>
  <c r="BL342" i="3"/>
  <c r="BA344" i="3"/>
  <c r="BL344" i="3"/>
  <c r="BA346" i="3"/>
  <c r="BA347" i="3"/>
  <c r="BL347" i="3"/>
  <c r="AZ347" i="3" s="1"/>
  <c r="G350" i="3"/>
  <c r="BA351" i="3"/>
  <c r="BL351" i="3"/>
  <c r="G352" i="3"/>
  <c r="G354" i="3"/>
  <c r="BA356" i="3"/>
  <c r="G357" i="3"/>
  <c r="G360" i="3"/>
  <c r="BL361" i="3"/>
  <c r="BA363" i="3"/>
  <c r="BA364" i="3"/>
  <c r="BL364" i="3"/>
  <c r="G365" i="3"/>
  <c r="G368" i="3"/>
  <c r="BL369" i="3"/>
  <c r="BA371" i="3"/>
  <c r="BA372" i="3"/>
  <c r="AZ372" i="3" s="1"/>
  <c r="BL372" i="3"/>
  <c r="G373" i="3"/>
  <c r="G376" i="3"/>
  <c r="BL377" i="3"/>
  <c r="BA381" i="3"/>
  <c r="BA382" i="3"/>
  <c r="BL382" i="3"/>
  <c r="G383" i="3"/>
  <c r="G386"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G371" i="3"/>
  <c r="BA373" i="3"/>
  <c r="AZ373" i="3" s="1"/>
  <c r="BL374" i="3"/>
  <c r="G375" i="3"/>
  <c r="BA377" i="3"/>
  <c r="AZ377" i="3" s="1"/>
  <c r="BA379" i="3"/>
  <c r="AZ379" i="3" s="1"/>
  <c r="BL380" i="3"/>
  <c r="G381" i="3"/>
  <c r="BA383" i="3"/>
  <c r="BL384" i="3"/>
  <c r="G385" i="3"/>
  <c r="BA387" i="3"/>
  <c r="BL388" i="3"/>
  <c r="G389" i="3"/>
  <c r="BL392" i="3"/>
  <c r="G393" i="3"/>
  <c r="BM5" i="3"/>
  <c r="AZ325" i="3"/>
  <c r="G548" i="3"/>
  <c r="G538" i="3"/>
  <c r="G520" i="3"/>
  <c r="G502" i="3"/>
  <c r="BK5" i="3"/>
  <c r="BG5" i="3"/>
  <c r="G17" i="3"/>
  <c r="BA17" i="3"/>
  <c r="BA15" i="3"/>
  <c r="BL493" i="3"/>
  <c r="AZ493" i="3"/>
  <c r="U36" i="40"/>
  <c r="F83" i="43"/>
  <c r="H85" i="43" s="1"/>
  <c r="F50" i="43"/>
  <c r="H54" i="43" s="1"/>
  <c r="F72" i="43"/>
  <c r="H75" i="43" s="1"/>
  <c r="U17" i="39"/>
  <c r="S14" i="35"/>
  <c r="U43" i="21"/>
  <c r="U35" i="21"/>
  <c r="AC35" i="21"/>
  <c r="AZ501" i="3"/>
  <c r="W37" i="37"/>
  <c r="S15" i="37"/>
  <c r="U12" i="40"/>
  <c r="AA12" i="40"/>
  <c r="J37" i="33"/>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AB33" i="34" s="1"/>
  <c r="F32" i="37"/>
  <c r="AA32" i="37" s="1"/>
  <c r="F20" i="36"/>
  <c r="J33" i="34"/>
  <c r="AC33" i="34" s="1"/>
  <c r="H23" i="39"/>
  <c r="U23" i="39" s="1"/>
  <c r="D48" i="9"/>
  <c r="M52" i="9" s="1"/>
  <c r="K9" i="1"/>
  <c r="M9" i="1" s="1"/>
  <c r="D93" i="9"/>
  <c r="AC26" i="33"/>
  <c r="W26" i="33"/>
  <c r="W27" i="34"/>
  <c r="AC27" i="34"/>
  <c r="AB33" i="36"/>
  <c r="U33" i="36"/>
  <c r="W12" i="39"/>
  <c r="AC39" i="40"/>
  <c r="W39" i="40"/>
  <c r="AA32" i="36"/>
  <c r="S32" i="36"/>
  <c r="U30" i="33"/>
  <c r="AC13" i="34"/>
  <c r="AA47" i="34"/>
  <c r="W28" i="37"/>
  <c r="S19" i="39"/>
  <c r="F12" i="33"/>
  <c r="H12" i="39"/>
  <c r="AB12" i="39" s="1"/>
  <c r="F39" i="40"/>
  <c r="B12" i="1"/>
  <c r="E12" i="1" s="1"/>
  <c r="B10" i="1"/>
  <c r="E10" i="1" s="1"/>
  <c r="K12" i="1"/>
  <c r="M12" i="1" s="1"/>
  <c r="S13" i="1"/>
  <c r="AR13" i="1" s="1"/>
  <c r="R13" i="1"/>
  <c r="J51" i="67"/>
  <c r="C42" i="1"/>
  <c r="B41" i="1"/>
  <c r="AB37" i="40"/>
  <c r="S35" i="40"/>
  <c r="U35" i="40"/>
  <c r="AC36" i="40"/>
  <c r="W38" i="40"/>
  <c r="AA32" i="40"/>
  <c r="S17" i="40"/>
  <c r="S23" i="40"/>
  <c r="AC17" i="40"/>
  <c r="AC15" i="40"/>
  <c r="AB27" i="40"/>
  <c r="S30" i="40"/>
  <c r="S28" i="40"/>
  <c r="U21" i="40"/>
  <c r="S43" i="39"/>
  <c r="S37"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AA12" i="39"/>
  <c r="S9" i="39"/>
  <c r="U14" i="39"/>
  <c r="AC13" i="39"/>
  <c r="U13" i="36"/>
  <c r="S33" i="36"/>
  <c r="AA26" i="36"/>
  <c r="AC26" i="36"/>
  <c r="AA22" i="36"/>
  <c r="W14" i="36"/>
  <c r="AB14" i="36"/>
  <c r="U22" i="36"/>
  <c r="S16" i="36"/>
  <c r="AA25" i="36"/>
  <c r="U16" i="36"/>
  <c r="S14" i="36"/>
  <c r="AA25"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B31" i="37"/>
  <c r="W30" i="37"/>
  <c r="S36" i="37"/>
  <c r="AA38" i="37"/>
  <c r="AC35" i="37"/>
  <c r="S30" i="37"/>
  <c r="AC15" i="37"/>
  <c r="J17" i="37"/>
  <c r="W17" i="37" s="1"/>
  <c r="F17" i="37"/>
  <c r="AA17" i="37" s="1"/>
  <c r="AB17" i="37"/>
  <c r="F75" i="37"/>
  <c r="G75" i="37" s="1"/>
  <c r="F19" i="37"/>
  <c r="S19" i="37" s="1"/>
  <c r="F79" i="37"/>
  <c r="F23" i="37"/>
  <c r="S23" i="37" s="1"/>
  <c r="U23" i="37"/>
  <c r="U15" i="37"/>
  <c r="H10" i="37"/>
  <c r="AB10" i="37" s="1"/>
  <c r="F63" i="37"/>
  <c r="F11" i="37"/>
  <c r="S11" i="37" s="1"/>
  <c r="AC42" i="34"/>
  <c r="U39" i="34"/>
  <c r="U28" i="34"/>
  <c r="AA29" i="34"/>
  <c r="U27"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U27" i="33" s="1"/>
  <c r="F87" i="33"/>
  <c r="G87" i="33" s="1"/>
  <c r="H25" i="33"/>
  <c r="F25" i="33"/>
  <c r="S25" i="33" s="1"/>
  <c r="J23" i="33"/>
  <c r="AC23" i="33" s="1"/>
  <c r="H23" i="33"/>
  <c r="AB23" i="33" s="1"/>
  <c r="F81" i="33"/>
  <c r="F19" i="33"/>
  <c r="W19" i="33"/>
  <c r="J17" i="33"/>
  <c r="F79" i="33"/>
  <c r="G79" i="33" s="1"/>
  <c r="S15" i="33"/>
  <c r="W15" i="33"/>
  <c r="J10" i="33"/>
  <c r="W10" i="33" s="1"/>
  <c r="H10" i="33"/>
  <c r="U10" i="33" s="1"/>
  <c r="AC11" i="33"/>
  <c r="AB14" i="33"/>
  <c r="W43" i="21"/>
  <c r="W36" i="21"/>
  <c r="W41" i="21"/>
  <c r="AB39" i="21"/>
  <c r="AA43" i="21"/>
  <c r="S39" i="21"/>
  <c r="AA38" i="21"/>
  <c r="AA36" i="21"/>
  <c r="J15" i="21"/>
  <c r="AC15" i="21" s="1"/>
  <c r="F77" i="21"/>
  <c r="G77" i="21" s="1"/>
  <c r="F23" i="21"/>
  <c r="AA23" i="21" s="1"/>
  <c r="E85" i="21"/>
  <c r="F85" i="21" s="1"/>
  <c r="G85" i="21" s="1"/>
  <c r="AA14" i="21"/>
  <c r="D120" i="9"/>
  <c r="D121" i="9" s="1"/>
  <c r="D7" i="52" s="1"/>
  <c r="F34" i="67"/>
  <c r="F62" i="67" s="1"/>
  <c r="M20" i="67"/>
  <c r="F34" i="15"/>
  <c r="F62" i="15" s="1"/>
  <c r="G13" i="3"/>
  <c r="BL17" i="3"/>
  <c r="BL13" i="3"/>
  <c r="J56" i="9"/>
  <c r="J57" i="9" s="1"/>
  <c r="J59" i="9" s="1"/>
  <c r="J61" i="9" s="1"/>
  <c r="A24" i="51"/>
  <c r="B18" i="72" s="1"/>
  <c r="U29" i="34"/>
  <c r="E32" i="6"/>
  <c r="E19" i="11"/>
  <c r="C6" i="43"/>
  <c r="B19" i="53"/>
  <c r="B37" i="72" s="1"/>
  <c r="C7" i="21"/>
  <c r="A4" i="51"/>
  <c r="B6" i="72" s="1"/>
  <c r="L20" i="6"/>
  <c r="B6" i="1"/>
  <c r="E6" i="1" s="1"/>
  <c r="K11" i="1"/>
  <c r="M11" i="1" s="1"/>
  <c r="O11" i="1" s="1"/>
  <c r="B9" i="1"/>
  <c r="E9" i="1" s="1"/>
  <c r="G1" i="15"/>
  <c r="W23" i="40"/>
  <c r="S37" i="40"/>
  <c r="AB28" i="40"/>
  <c r="W34" i="40"/>
  <c r="W19" i="40"/>
  <c r="W27" i="40"/>
  <c r="S36" i="40"/>
  <c r="AC14" i="40"/>
  <c r="AA15" i="40"/>
  <c r="U11" i="40"/>
  <c r="S31" i="40"/>
  <c r="U15" i="40"/>
  <c r="AB17" i="40"/>
  <c r="U8" i="40"/>
  <c r="S8" i="40"/>
  <c r="AA39" i="39"/>
  <c r="AC41"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U32" i="36"/>
  <c r="W29" i="36"/>
  <c r="U25" i="36"/>
  <c r="AB28" i="36"/>
  <c r="W22" i="36"/>
  <c r="AC25" i="35"/>
  <c r="U25" i="35"/>
  <c r="S24" i="35"/>
  <c r="S35" i="35"/>
  <c r="W35" i="35"/>
  <c r="AA16" i="35"/>
  <c r="AA35" i="37"/>
  <c r="W36" i="37"/>
  <c r="S27" i="37"/>
  <c r="S28" i="37"/>
  <c r="U36" i="37"/>
  <c r="S40" i="37"/>
  <c r="AB37" i="37"/>
  <c r="AC34" i="37"/>
  <c r="AB35" i="37"/>
  <c r="AA31" i="37"/>
  <c r="AA29" i="37"/>
  <c r="U8" i="37"/>
  <c r="AA40" i="34"/>
  <c r="AB40" i="34"/>
  <c r="W19" i="34"/>
  <c r="AA31" i="34"/>
  <c r="AA30" i="34"/>
  <c r="AB45" i="34"/>
  <c r="AB47" i="34"/>
  <c r="AC14" i="34"/>
  <c r="AC32" i="34"/>
  <c r="AC29" i="34"/>
  <c r="W29" i="34"/>
  <c r="W46" i="34"/>
  <c r="AC46" i="34"/>
  <c r="S32" i="34"/>
  <c r="AA32" i="34"/>
  <c r="U30" i="34"/>
  <c r="AB30" i="34"/>
  <c r="U38" i="34"/>
  <c r="AC40" i="34"/>
  <c r="W40" i="34"/>
  <c r="AA19" i="34"/>
  <c r="S19" i="34"/>
  <c r="AA8" i="34"/>
  <c r="S8" i="34"/>
  <c r="AB9" i="34"/>
  <c r="S46" i="34"/>
  <c r="AA46" i="34"/>
  <c r="U32" i="34"/>
  <c r="AB32" i="34"/>
  <c r="U14" i="34"/>
  <c r="AB14" i="34"/>
  <c r="U12" i="34"/>
  <c r="AB12" i="34"/>
  <c r="U39" i="33"/>
  <c r="U38" i="33"/>
  <c r="S33" i="33"/>
  <c r="U44" i="33"/>
  <c r="AB44" i="33"/>
  <c r="S30" i="33"/>
  <c r="AA30" i="33"/>
  <c r="AC14" i="33"/>
  <c r="W14" i="33"/>
  <c r="AC30" i="33"/>
  <c r="W30" i="33"/>
  <c r="S31" i="33"/>
  <c r="AA31" i="33"/>
  <c r="W13" i="33"/>
  <c r="AC13" i="33"/>
  <c r="U15" i="33"/>
  <c r="S11" i="33"/>
  <c r="U37" i="33"/>
  <c r="AC28" i="33"/>
  <c r="S28" i="33"/>
  <c r="W8" i="33"/>
  <c r="S44" i="21"/>
  <c r="AB42"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F28" i="15"/>
  <c r="S12" i="33"/>
  <c r="AA12" i="33"/>
  <c r="J32" i="39"/>
  <c r="W32" i="39" s="1"/>
  <c r="H32" i="39"/>
  <c r="AB32" i="39" s="1"/>
  <c r="J19" i="37"/>
  <c r="W19" i="37" s="1"/>
  <c r="AA19" i="37"/>
  <c r="J23" i="37"/>
  <c r="W23" i="37" s="1"/>
  <c r="G79" i="37"/>
  <c r="J10" i="37"/>
  <c r="W10" i="37" s="1"/>
  <c r="G63" i="37"/>
  <c r="H63" i="37" s="1"/>
  <c r="I63" i="37" s="1"/>
  <c r="H11" i="37"/>
  <c r="AB11" i="37" s="1"/>
  <c r="G70" i="34"/>
  <c r="H11" i="34"/>
  <c r="U11" i="34" s="1"/>
  <c r="J10" i="34"/>
  <c r="AC10" i="34" s="1"/>
  <c r="AB41" i="33"/>
  <c r="U41" i="33"/>
  <c r="W35" i="33"/>
  <c r="J36" i="33"/>
  <c r="W36" i="33" s="1"/>
  <c r="H36" i="33"/>
  <c r="S36" i="33"/>
  <c r="AB27" i="33"/>
  <c r="G91" i="33"/>
  <c r="H91" i="33" s="1"/>
  <c r="I91" i="33"/>
  <c r="J91" i="33" s="1"/>
  <c r="K91" i="33" s="1"/>
  <c r="L91" i="33" s="1"/>
  <c r="M91" i="33" s="1"/>
  <c r="J27" i="33"/>
  <c r="AC27" i="33" s="1"/>
  <c r="U25" i="33"/>
  <c r="AB25" i="33"/>
  <c r="AA25" i="33"/>
  <c r="H87" i="33"/>
  <c r="I87" i="33" s="1"/>
  <c r="J87" i="33" s="1"/>
  <c r="K87" i="33" s="1"/>
  <c r="L87" i="33" s="1"/>
  <c r="M87" i="33" s="1"/>
  <c r="J25" i="33"/>
  <c r="AC25" i="33" s="1"/>
  <c r="U23" i="33"/>
  <c r="F23" i="33"/>
  <c r="H19" i="33"/>
  <c r="U19" i="33" s="1"/>
  <c r="G81" i="33"/>
  <c r="H17" i="33"/>
  <c r="U17" i="33" s="1"/>
  <c r="F17" i="33"/>
  <c r="S17" i="33" s="1"/>
  <c r="W17" i="33"/>
  <c r="AC17" i="33"/>
  <c r="S37" i="21"/>
  <c r="J23" i="21"/>
  <c r="W23" i="21" s="1"/>
  <c r="H23" i="21"/>
  <c r="S13" i="21"/>
  <c r="D6" i="52"/>
  <c r="AP7" i="1"/>
  <c r="AB9" i="21"/>
  <c r="U9" i="21"/>
  <c r="W9" i="21"/>
  <c r="AC9" i="21"/>
  <c r="U32" i="39"/>
  <c r="AC32" i="39"/>
  <c r="J63" i="37"/>
  <c r="K63" i="37" s="1"/>
  <c r="L63" i="37" s="1"/>
  <c r="M63" i="37" s="1"/>
  <c r="J11" i="37"/>
  <c r="AC11" i="37" s="1"/>
  <c r="H70" i="34"/>
  <c r="I70" i="34" s="1"/>
  <c r="J70" i="34" s="1"/>
  <c r="K70" i="34"/>
  <c r="L70" i="34" s="1"/>
  <c r="M70" i="34" s="1"/>
  <c r="J11" i="34"/>
  <c r="W11" i="34" s="1"/>
  <c r="AB19" i="33"/>
  <c r="U23" i="21"/>
  <c r="AB23" i="21"/>
  <c r="H109" i="9"/>
  <c r="H112" i="9"/>
  <c r="D21" i="53" s="1"/>
  <c r="B39" i="72" s="1"/>
  <c r="H111" i="9"/>
  <c r="D126" i="9" s="1"/>
  <c r="AD3" i="71"/>
  <c r="J1" i="73"/>
  <c r="D24" i="71"/>
  <c r="U24" i="71" s="1"/>
  <c r="T24" i="71"/>
  <c r="AB22" i="71"/>
  <c r="AA20" i="71"/>
  <c r="AA19" i="71"/>
  <c r="Y19" i="71"/>
  <c r="Z19" i="71" s="1"/>
  <c r="AB20" i="71"/>
  <c r="AB19" i="71"/>
  <c r="F21" i="71"/>
  <c r="F20" i="71" s="1"/>
  <c r="F19" i="71" s="1"/>
  <c r="F18" i="71" s="1"/>
  <c r="F17" i="71" s="1"/>
  <c r="Y20" i="71"/>
  <c r="Z20" i="71" s="1"/>
  <c r="X3" i="71"/>
  <c r="E10" i="76"/>
  <c r="F9" i="15"/>
  <c r="F37" i="15"/>
  <c r="F7" i="73"/>
  <c r="M8" i="15"/>
  <c r="E12" i="76"/>
  <c r="F20" i="31"/>
  <c r="C76" i="15"/>
  <c r="F40" i="15"/>
  <c r="D6" i="73"/>
  <c r="AO13" i="1"/>
  <c r="M28" i="15"/>
  <c r="E8" i="76"/>
  <c r="F4" i="73"/>
  <c r="E2" i="68"/>
  <c r="M23" i="15"/>
  <c r="B8" i="76"/>
  <c r="E7" i="76"/>
  <c r="F3" i="73"/>
  <c r="E2" i="69"/>
  <c r="M24" i="15"/>
  <c r="F5" i="73"/>
  <c r="B12" i="76"/>
  <c r="B10" i="76"/>
  <c r="E13" i="76"/>
  <c r="F26" i="15"/>
  <c r="M9" i="15"/>
  <c r="M22" i="15"/>
  <c r="B9" i="76"/>
  <c r="F8" i="15"/>
  <c r="F6" i="73"/>
  <c r="B11" i="76"/>
  <c r="F42" i="15"/>
  <c r="F36" i="15"/>
  <c r="F6" i="15"/>
  <c r="E11" i="76"/>
  <c r="F38" i="15"/>
  <c r="B7" i="76"/>
  <c r="E9" i="76"/>
  <c r="B13" i="76"/>
  <c r="AC15" i="34" l="1"/>
  <c r="AB17" i="34"/>
  <c r="U15" i="34"/>
  <c r="F25" i="34"/>
  <c r="S25" i="34" s="1"/>
  <c r="J25" i="34"/>
  <c r="AC25" i="34" s="1"/>
  <c r="H25" i="34"/>
  <c r="AA23" i="34"/>
  <c r="AC45" i="34"/>
  <c r="AA45" i="34"/>
  <c r="W44" i="34"/>
  <c r="AA44" i="34"/>
  <c r="S43" i="34"/>
  <c r="W41" i="34"/>
  <c r="F37" i="34"/>
  <c r="H37" i="34"/>
  <c r="U37" i="34" s="1"/>
  <c r="J37" i="34"/>
  <c r="AC37" i="34" s="1"/>
  <c r="AB36" i="34"/>
  <c r="W35" i="34"/>
  <c r="U33" i="34"/>
  <c r="AB41" i="34"/>
  <c r="AC43" i="34"/>
  <c r="U43" i="34"/>
  <c r="S36" i="34"/>
  <c r="W33" i="34"/>
  <c r="AA25" i="34"/>
  <c r="AC23" i="34"/>
  <c r="AA17" i="34"/>
  <c r="W9" i="34"/>
  <c r="W8" i="34"/>
  <c r="AB8" i="34"/>
  <c r="AZ390" i="3"/>
  <c r="U12" i="39"/>
  <c r="M20" i="15"/>
  <c r="F34" i="82"/>
  <c r="F62" i="82" s="1"/>
  <c r="M20" i="82"/>
  <c r="G459" i="3"/>
  <c r="BL254" i="3"/>
  <c r="AZ254" i="3" s="1"/>
  <c r="BL256" i="3"/>
  <c r="T60" i="71"/>
  <c r="D60" i="71"/>
  <c r="E43" i="71"/>
  <c r="E44" i="71" s="1"/>
  <c r="U44" i="71" s="1"/>
  <c r="AA35" i="33"/>
  <c r="S24" i="36"/>
  <c r="AB19" i="40"/>
  <c r="M18" i="82"/>
  <c r="F32" i="82"/>
  <c r="F60" i="82" s="1"/>
  <c r="F28" i="82"/>
  <c r="C28" i="82" s="1"/>
  <c r="AZ313" i="3"/>
  <c r="J23" i="35"/>
  <c r="F23" i="35"/>
  <c r="H23" i="35"/>
  <c r="BA355" i="3"/>
  <c r="AZ355" i="3" s="1"/>
  <c r="BL356" i="3"/>
  <c r="BA378" i="3"/>
  <c r="AZ378" i="3" s="1"/>
  <c r="BA120" i="3"/>
  <c r="AZ120" i="3" s="1"/>
  <c r="AC13" i="40"/>
  <c r="W13" i="40"/>
  <c r="W17" i="21"/>
  <c r="C24" i="12"/>
  <c r="AC17" i="34"/>
  <c r="F28" i="21"/>
  <c r="H28" i="21"/>
  <c r="C15" i="39"/>
  <c r="B72" i="43"/>
  <c r="H45" i="33"/>
  <c r="J45" i="33"/>
  <c r="F45" i="33"/>
  <c r="AC12" i="40"/>
  <c r="W12" i="40"/>
  <c r="BL455" i="3"/>
  <c r="AZ376" i="3"/>
  <c r="G243" i="3"/>
  <c r="C51" i="71"/>
  <c r="C52" i="71" s="1"/>
  <c r="D50" i="71"/>
  <c r="AZ394" i="3"/>
  <c r="AZ336" i="3"/>
  <c r="U38" i="37"/>
  <c r="AB35" i="34"/>
  <c r="AC32" i="33"/>
  <c r="F28" i="67"/>
  <c r="AC20" i="36"/>
  <c r="AA27" i="40"/>
  <c r="AZ369" i="3"/>
  <c r="AZ351" i="3"/>
  <c r="AZ359" i="3"/>
  <c r="AZ521" i="3"/>
  <c r="BL567" i="3"/>
  <c r="S13" i="37"/>
  <c r="AA13" i="37"/>
  <c r="H9" i="33"/>
  <c r="J9" i="33"/>
  <c r="F9" i="33"/>
  <c r="AA9" i="33" s="1"/>
  <c r="F46" i="33"/>
  <c r="J46" i="33"/>
  <c r="H44" i="39"/>
  <c r="J44" i="39"/>
  <c r="AA34" i="39"/>
  <c r="BL446" i="3"/>
  <c r="AB20" i="36"/>
  <c r="AZ331" i="3"/>
  <c r="X23" i="71"/>
  <c r="AZ508" i="3"/>
  <c r="AZ538" i="3"/>
  <c r="S14" i="33"/>
  <c r="AA14" i="33"/>
  <c r="S13" i="36"/>
  <c r="AA13" i="36"/>
  <c r="H45" i="39"/>
  <c r="F45" i="39"/>
  <c r="BL487" i="3"/>
  <c r="AZ337" i="3"/>
  <c r="G241" i="3"/>
  <c r="AC28" i="40"/>
  <c r="W28" i="40"/>
  <c r="AZ204" i="3"/>
  <c r="AZ544" i="3"/>
  <c r="AB34" i="35"/>
  <c r="U34" i="35"/>
  <c r="AA31" i="35"/>
  <c r="S31" i="35"/>
  <c r="AZ570" i="3"/>
  <c r="AZ556" i="3"/>
  <c r="BL135" i="3"/>
  <c r="AC23" i="21"/>
  <c r="AA14" i="34"/>
  <c r="S14" i="34"/>
  <c r="AB34" i="21"/>
  <c r="U34" i="21"/>
  <c r="U31" i="35"/>
  <c r="AB31" i="35"/>
  <c r="BA581" i="3"/>
  <c r="BL580" i="3"/>
  <c r="AZ580" i="3" s="1"/>
  <c r="BA577" i="3"/>
  <c r="BL575" i="3"/>
  <c r="BA573" i="3"/>
  <c r="BA572" i="3"/>
  <c r="AZ572" i="3" s="1"/>
  <c r="BL571" i="3"/>
  <c r="AZ571" i="3" s="1"/>
  <c r="BL570" i="3"/>
  <c r="BA568" i="3"/>
  <c r="BL566" i="3"/>
  <c r="BA565" i="3"/>
  <c r="AZ565" i="3" s="1"/>
  <c r="BA563" i="3"/>
  <c r="AZ563" i="3" s="1"/>
  <c r="BL562" i="3"/>
  <c r="BA560" i="3"/>
  <c r="AZ560" i="3" s="1"/>
  <c r="BA559" i="3"/>
  <c r="AZ558" i="3"/>
  <c r="BL556" i="3"/>
  <c r="BL552" i="3"/>
  <c r="G552" i="3"/>
  <c r="BA549" i="3"/>
  <c r="BA546" i="3"/>
  <c r="BA545" i="3"/>
  <c r="BA542" i="3"/>
  <c r="AZ542" i="3" s="1"/>
  <c r="BA541" i="3"/>
  <c r="AZ541" i="3" s="1"/>
  <c r="BA540" i="3"/>
  <c r="BL538" i="3"/>
  <c r="BA537" i="3"/>
  <c r="AZ537" i="3" s="1"/>
  <c r="BL534" i="3"/>
  <c r="AZ534" i="3" s="1"/>
  <c r="AZ533" i="3"/>
  <c r="BA532" i="3"/>
  <c r="AZ532" i="3" s="1"/>
  <c r="BA531" i="3"/>
  <c r="AZ531" i="3" s="1"/>
  <c r="BL530" i="3"/>
  <c r="AZ530" i="3" s="1"/>
  <c r="BA527" i="3"/>
  <c r="AZ527" i="3" s="1"/>
  <c r="BL525" i="3"/>
  <c r="AZ525" i="3" s="1"/>
  <c r="BL524" i="3"/>
  <c r="BA524" i="3"/>
  <c r="BA523" i="3"/>
  <c r="BL520" i="3"/>
  <c r="AZ520" i="3" s="1"/>
  <c r="BL516" i="3"/>
  <c r="G515" i="3"/>
  <c r="BA514" i="3"/>
  <c r="AZ514" i="3" s="1"/>
  <c r="BL510" i="3"/>
  <c r="BL506" i="3"/>
  <c r="AZ506" i="3" s="1"/>
  <c r="BA505" i="3"/>
  <c r="AZ505" i="3" s="1"/>
  <c r="BA504" i="3"/>
  <c r="AZ504" i="3" s="1"/>
  <c r="BA503" i="3"/>
  <c r="BA500" i="3"/>
  <c r="AZ500" i="3" s="1"/>
  <c r="AZ498" i="3"/>
  <c r="BL496" i="3"/>
  <c r="AZ496" i="3" s="1"/>
  <c r="BA495" i="3"/>
  <c r="BL34" i="3"/>
  <c r="G43" i="3"/>
  <c r="S17" i="37"/>
  <c r="AA33" i="34"/>
  <c r="BA587" i="3"/>
  <c r="BA410" i="3"/>
  <c r="BA419" i="3"/>
  <c r="G287" i="3"/>
  <c r="F40" i="68"/>
  <c r="C40" i="68"/>
  <c r="AB26" i="36"/>
  <c r="U26" i="36"/>
  <c r="AB42" i="39"/>
  <c r="U42" i="39"/>
  <c r="X19" i="71"/>
  <c r="AA17" i="33"/>
  <c r="U21" i="39"/>
  <c r="AB34" i="33"/>
  <c r="X20" i="71"/>
  <c r="AZ362" i="3"/>
  <c r="AZ499" i="3"/>
  <c r="J45" i="21"/>
  <c r="F45" i="21"/>
  <c r="AA40" i="33"/>
  <c r="S40" i="33"/>
  <c r="G228" i="3"/>
  <c r="BL278" i="3"/>
  <c r="BA162" i="3"/>
  <c r="BA97" i="3"/>
  <c r="C64" i="71"/>
  <c r="D63" i="71"/>
  <c r="AC40" i="21"/>
  <c r="AZ356" i="3"/>
  <c r="S20" i="71"/>
  <c r="S32" i="39"/>
  <c r="AZ139" i="3"/>
  <c r="U30" i="21"/>
  <c r="AB30" i="21"/>
  <c r="BA444" i="3"/>
  <c r="AC47" i="34"/>
  <c r="W47" i="34"/>
  <c r="W25" i="33"/>
  <c r="AZ344" i="3"/>
  <c r="AZ503" i="3"/>
  <c r="AZ510" i="3"/>
  <c r="J13" i="37"/>
  <c r="H13" i="37"/>
  <c r="AB13" i="37" s="1"/>
  <c r="S41" i="21"/>
  <c r="AA41" i="21"/>
  <c r="G226" i="3"/>
  <c r="G188" i="3"/>
  <c r="P68" i="71"/>
  <c r="U68" i="71"/>
  <c r="E67" i="71"/>
  <c r="AZ553" i="3"/>
  <c r="AZ374" i="3"/>
  <c r="AC39" i="34"/>
  <c r="W37" i="40"/>
  <c r="S24" i="71"/>
  <c r="W27" i="33"/>
  <c r="S23" i="21"/>
  <c r="U32" i="37"/>
  <c r="U25" i="39"/>
  <c r="AC11" i="39"/>
  <c r="AZ17" i="3"/>
  <c r="AZ340" i="3"/>
  <c r="AZ543" i="3"/>
  <c r="BA77" i="3"/>
  <c r="W38" i="33"/>
  <c r="AZ320" i="3"/>
  <c r="AZ156" i="3"/>
  <c r="AZ135" i="3"/>
  <c r="AZ518" i="3"/>
  <c r="U46" i="33"/>
  <c r="AB46" i="33"/>
  <c r="H23" i="36"/>
  <c r="F23" i="36"/>
  <c r="BA248" i="3"/>
  <c r="E5" i="6"/>
  <c r="D9" i="69" s="1"/>
  <c r="BA149" i="3"/>
  <c r="BA100" i="3"/>
  <c r="G103" i="3"/>
  <c r="AZ552" i="3"/>
  <c r="J9" i="36"/>
  <c r="G566" i="3"/>
  <c r="BL398" i="3"/>
  <c r="BL409" i="3"/>
  <c r="BL439" i="3"/>
  <c r="BA443" i="3"/>
  <c r="G461" i="3"/>
  <c r="BA480" i="3"/>
  <c r="G347" i="3"/>
  <c r="BL381" i="3"/>
  <c r="AZ381" i="3" s="1"/>
  <c r="BL224" i="3"/>
  <c r="BA240" i="3"/>
  <c r="AZ240" i="3" s="1"/>
  <c r="G256" i="3"/>
  <c r="G265" i="3"/>
  <c r="BL271" i="3"/>
  <c r="BA275" i="3"/>
  <c r="BA286" i="3"/>
  <c r="AZ286" i="3" s="1"/>
  <c r="BL300" i="3"/>
  <c r="BL133" i="3"/>
  <c r="AZ133" i="3" s="1"/>
  <c r="BA145" i="3"/>
  <c r="G146" i="3"/>
  <c r="BA156" i="3"/>
  <c r="G159" i="3"/>
  <c r="G170" i="3"/>
  <c r="G190" i="3"/>
  <c r="G18" i="3"/>
  <c r="BA42" i="3"/>
  <c r="G56" i="3"/>
  <c r="BL74" i="3"/>
  <c r="BA82" i="3"/>
  <c r="BA102" i="3"/>
  <c r="BA111" i="3"/>
  <c r="S18" i="36"/>
  <c r="AZ549" i="3"/>
  <c r="AZ523" i="3"/>
  <c r="BL547" i="3"/>
  <c r="AZ547" i="3" s="1"/>
  <c r="AZ559" i="3"/>
  <c r="S42" i="34"/>
  <c r="G570" i="3"/>
  <c r="BL416" i="3"/>
  <c r="G431" i="3"/>
  <c r="G455" i="3"/>
  <c r="G479" i="3"/>
  <c r="G481" i="3"/>
  <c r="BA487" i="3"/>
  <c r="AZ487" i="3" s="1"/>
  <c r="BL490" i="3"/>
  <c r="G492" i="3"/>
  <c r="G318" i="3"/>
  <c r="BA217" i="3"/>
  <c r="G220" i="3"/>
  <c r="BL235" i="3"/>
  <c r="G237" i="3"/>
  <c r="BL252" i="3"/>
  <c r="G283" i="3"/>
  <c r="BL122" i="3"/>
  <c r="G175" i="3"/>
  <c r="G195" i="3"/>
  <c r="BL23" i="3"/>
  <c r="G32" i="3"/>
  <c r="G34" i="3"/>
  <c r="G41" i="3"/>
  <c r="G52" i="3"/>
  <c r="G61" i="3"/>
  <c r="BL61" i="3"/>
  <c r="BA78" i="3"/>
  <c r="BL83" i="3"/>
  <c r="BA98" i="3"/>
  <c r="BL110" i="3"/>
  <c r="G112" i="3"/>
  <c r="P27" i="6"/>
  <c r="D62" i="71"/>
  <c r="AB36" i="71"/>
  <c r="BL515" i="3"/>
  <c r="AZ515" i="3" s="1"/>
  <c r="AZ583" i="3"/>
  <c r="AA41" i="33"/>
  <c r="G403" i="3"/>
  <c r="BA413" i="3"/>
  <c r="G453" i="3"/>
  <c r="BA485" i="3"/>
  <c r="G488" i="3"/>
  <c r="G490" i="3"/>
  <c r="BA331" i="3"/>
  <c r="G343" i="3"/>
  <c r="BL233" i="3"/>
  <c r="G235" i="3"/>
  <c r="G261" i="3"/>
  <c r="BA271" i="3"/>
  <c r="G294" i="3"/>
  <c r="BL173" i="3"/>
  <c r="BA190" i="3"/>
  <c r="BA201" i="3"/>
  <c r="AZ201" i="3" s="1"/>
  <c r="BA18" i="3"/>
  <c r="AZ18" i="3" s="1"/>
  <c r="G21" i="3"/>
  <c r="BL21" i="3"/>
  <c r="BA58" i="3"/>
  <c r="BL59" i="3"/>
  <c r="G70" i="3"/>
  <c r="BL79" i="3"/>
  <c r="BL81" i="3"/>
  <c r="BL99" i="3"/>
  <c r="G110" i="3"/>
  <c r="E52" i="71"/>
  <c r="U52" i="71" s="1"/>
  <c r="BL557" i="3"/>
  <c r="BL399" i="3"/>
  <c r="G401" i="3"/>
  <c r="BL412" i="3"/>
  <c r="BA424" i="3"/>
  <c r="BL427" i="3"/>
  <c r="BL451" i="3"/>
  <c r="BA463" i="3"/>
  <c r="G466" i="3"/>
  <c r="G486" i="3"/>
  <c r="G307" i="3"/>
  <c r="BA349" i="3"/>
  <c r="AZ349" i="3" s="1"/>
  <c r="BL359" i="3"/>
  <c r="BL375" i="3"/>
  <c r="AZ375" i="3" s="1"/>
  <c r="BL386" i="3"/>
  <c r="BL395" i="3"/>
  <c r="BL397" i="3"/>
  <c r="BL214" i="3"/>
  <c r="G216" i="3"/>
  <c r="G218" i="3"/>
  <c r="BL231" i="3"/>
  <c r="G233" i="3"/>
  <c r="BA256" i="3"/>
  <c r="AZ256" i="3" s="1"/>
  <c r="G259" i="3"/>
  <c r="BL261" i="3"/>
  <c r="BA265" i="3"/>
  <c r="BL272" i="3"/>
  <c r="BL274" i="3"/>
  <c r="G281" i="3"/>
  <c r="G292" i="3"/>
  <c r="BA126" i="3"/>
  <c r="G140" i="3"/>
  <c r="G79" i="3"/>
  <c r="BA94" i="3"/>
  <c r="G99" i="3"/>
  <c r="BA105" i="3"/>
  <c r="C7" i="37"/>
  <c r="C52" i="37" s="1"/>
  <c r="D52" i="37" s="1"/>
  <c r="E52" i="37" s="1"/>
  <c r="F52" i="37" s="1"/>
  <c r="G52" i="37" s="1"/>
  <c r="H52" i="37" s="1"/>
  <c r="I52" i="37" s="1"/>
  <c r="J52" i="37" s="1"/>
  <c r="K52" i="37" s="1"/>
  <c r="L52" i="37" s="1"/>
  <c r="M52" i="37" s="1"/>
  <c r="N52" i="37" s="1"/>
  <c r="O52" i="37" s="1"/>
  <c r="J51" i="82"/>
  <c r="F35" i="71"/>
  <c r="F36" i="71" s="1"/>
  <c r="V36" i="71" s="1"/>
  <c r="B55" i="71"/>
  <c r="B56" i="71" s="1"/>
  <c r="S56" i="71" s="1"/>
  <c r="U14" i="40"/>
  <c r="H31" i="34"/>
  <c r="BL440" i="3"/>
  <c r="BL484" i="3"/>
  <c r="BA374" i="3"/>
  <c r="BA385" i="3"/>
  <c r="BL212" i="3"/>
  <c r="BA228" i="3"/>
  <c r="BA245" i="3"/>
  <c r="AZ245" i="3" s="1"/>
  <c r="BA267" i="3"/>
  <c r="AZ267" i="3" s="1"/>
  <c r="BA269" i="3"/>
  <c r="AZ269" i="3" s="1"/>
  <c r="BL127" i="3"/>
  <c r="AZ127" i="3" s="1"/>
  <c r="BA188" i="3"/>
  <c r="AZ188" i="3" s="1"/>
  <c r="BA197" i="3"/>
  <c r="G19" i="3"/>
  <c r="G28" i="3"/>
  <c r="BA36" i="3"/>
  <c r="BA43" i="3"/>
  <c r="BL86" i="3"/>
  <c r="C31" i="71"/>
  <c r="Y35" i="71"/>
  <c r="Z35" i="71" s="1"/>
  <c r="BL519" i="3"/>
  <c r="BL553" i="3"/>
  <c r="G399" i="3"/>
  <c r="BA420" i="3"/>
  <c r="BL423" i="3"/>
  <c r="G440" i="3"/>
  <c r="G449" i="3"/>
  <c r="BL449" i="3"/>
  <c r="G464" i="3"/>
  <c r="G366" i="3"/>
  <c r="BA392" i="3"/>
  <c r="AZ392" i="3" s="1"/>
  <c r="G212" i="3"/>
  <c r="G257" i="3"/>
  <c r="BA263" i="3"/>
  <c r="BA276" i="3"/>
  <c r="G279" i="3"/>
  <c r="BA296" i="3"/>
  <c r="BA298" i="3"/>
  <c r="AZ298" i="3" s="1"/>
  <c r="BA124" i="3"/>
  <c r="AZ124" i="3" s="1"/>
  <c r="G147" i="3"/>
  <c r="BA157" i="3"/>
  <c r="G160" i="3"/>
  <c r="BA177" i="3"/>
  <c r="AZ177" i="3" s="1"/>
  <c r="G46" i="3"/>
  <c r="G57" i="3"/>
  <c r="G86" i="3"/>
  <c r="AA37" i="71"/>
  <c r="E56" i="71"/>
  <c r="U56" i="71" s="1"/>
  <c r="K8" i="1"/>
  <c r="BA354" i="3"/>
  <c r="BA283" i="3"/>
  <c r="BA186" i="3"/>
  <c r="AZ186" i="3" s="1"/>
  <c r="BA204" i="3"/>
  <c r="AC18" i="35"/>
  <c r="E79" i="71"/>
  <c r="E78" i="71" s="1"/>
  <c r="AA34" i="71"/>
  <c r="G582" i="3"/>
  <c r="G447" i="3"/>
  <c r="BL447" i="3"/>
  <c r="BA468" i="3"/>
  <c r="BL471" i="3"/>
  <c r="BA397" i="3"/>
  <c r="AZ397" i="3" s="1"/>
  <c r="BL229" i="3"/>
  <c r="BA274" i="3"/>
  <c r="AZ274" i="3" s="1"/>
  <c r="BL143" i="3"/>
  <c r="AZ143" i="3" s="1"/>
  <c r="BL154" i="3"/>
  <c r="BL198" i="3"/>
  <c r="G26" i="3"/>
  <c r="BA41" i="3"/>
  <c r="G44" i="3"/>
  <c r="BA50" i="3"/>
  <c r="G55" i="3"/>
  <c r="BA70" i="3"/>
  <c r="U21" i="34"/>
  <c r="F39" i="71"/>
  <c r="AZ569" i="3"/>
  <c r="G14" i="3"/>
  <c r="BA431" i="3"/>
  <c r="BL445" i="3"/>
  <c r="BA451" i="3"/>
  <c r="AZ451" i="3" s="1"/>
  <c r="BA466" i="3"/>
  <c r="BL469" i="3"/>
  <c r="BL208" i="3"/>
  <c r="BL210" i="3"/>
  <c r="BL221" i="3"/>
  <c r="BA235" i="3"/>
  <c r="BL238" i="3"/>
  <c r="BA281" i="3"/>
  <c r="BA129" i="3"/>
  <c r="G154" i="3"/>
  <c r="G167" i="3"/>
  <c r="G196" i="3"/>
  <c r="BL24" i="3"/>
  <c r="BL35" i="3"/>
  <c r="BA39" i="3"/>
  <c r="G42" i="3"/>
  <c r="G102" i="3"/>
  <c r="J51" i="15"/>
  <c r="AC21" i="33"/>
  <c r="U21" i="37"/>
  <c r="J46" i="21"/>
  <c r="J36" i="39"/>
  <c r="AC36" i="39" s="1"/>
  <c r="BL402" i="3"/>
  <c r="AZ402" i="3" s="1"/>
  <c r="G419" i="3"/>
  <c r="BL430" i="3"/>
  <c r="G454" i="3"/>
  <c r="G480" i="3"/>
  <c r="BA488" i="3"/>
  <c r="AZ488" i="3" s="1"/>
  <c r="BL308" i="3"/>
  <c r="AZ308" i="3" s="1"/>
  <c r="BL317" i="3"/>
  <c r="BL236" i="3"/>
  <c r="BL262" i="3"/>
  <c r="BA301" i="3"/>
  <c r="BL205" i="3"/>
  <c r="BL82" i="3"/>
  <c r="BA88" i="3"/>
  <c r="BL100" i="3"/>
  <c r="K13" i="1"/>
  <c r="M13" i="1" s="1"/>
  <c r="O13" i="1" s="1"/>
  <c r="P13" i="1" s="1"/>
  <c r="AC21" i="37"/>
  <c r="D59" i="71"/>
  <c r="Y38" i="71"/>
  <c r="Z38" i="71" s="1"/>
  <c r="B63" i="71"/>
  <c r="B64" i="71" s="1"/>
  <c r="S64" i="71" s="1"/>
  <c r="BL535" i="3"/>
  <c r="AZ516" i="3"/>
  <c r="H46" i="21"/>
  <c r="F35" i="39"/>
  <c r="AA35" i="39" s="1"/>
  <c r="B79" i="43"/>
  <c r="BL443" i="3"/>
  <c r="G452" i="3"/>
  <c r="BA464" i="3"/>
  <c r="G467" i="3"/>
  <c r="BA350" i="3"/>
  <c r="AZ350" i="3" s="1"/>
  <c r="BA214" i="3"/>
  <c r="AZ214" i="3" s="1"/>
  <c r="BA216" i="3"/>
  <c r="AZ216" i="3" s="1"/>
  <c r="BL219" i="3"/>
  <c r="BA233" i="3"/>
  <c r="AZ233" i="3" s="1"/>
  <c r="G251" i="3"/>
  <c r="BA257" i="3"/>
  <c r="BA259" i="3"/>
  <c r="AZ259" i="3" s="1"/>
  <c r="BA279" i="3"/>
  <c r="G130" i="3"/>
  <c r="G152" i="3"/>
  <c r="BL163" i="3"/>
  <c r="AZ163" i="3" s="1"/>
  <c r="G174" i="3"/>
  <c r="BL183" i="3"/>
  <c r="AZ183" i="3" s="1"/>
  <c r="BL201" i="3"/>
  <c r="BL203" i="3"/>
  <c r="AZ203" i="3" s="1"/>
  <c r="G31" i="3"/>
  <c r="G71" i="3"/>
  <c r="G89" i="3"/>
  <c r="G111" i="3"/>
  <c r="G1" i="68"/>
  <c r="G1" i="82"/>
  <c r="D46" i="71"/>
  <c r="S38" i="40"/>
  <c r="H35" i="39"/>
  <c r="G400" i="3"/>
  <c r="G415" i="3"/>
  <c r="G441" i="3"/>
  <c r="BL324" i="3"/>
  <c r="AZ324" i="3" s="1"/>
  <c r="BL367" i="3"/>
  <c r="G396" i="3"/>
  <c r="BA212" i="3"/>
  <c r="BA229" i="3"/>
  <c r="BA231" i="3"/>
  <c r="G249" i="3"/>
  <c r="BA270" i="3"/>
  <c r="G273" i="3"/>
  <c r="BL139" i="3"/>
  <c r="BL141" i="3"/>
  <c r="BL161" i="3"/>
  <c r="BA189" i="3"/>
  <c r="BA207" i="3"/>
  <c r="G20" i="3"/>
  <c r="G29" i="3"/>
  <c r="BL29" i="3"/>
  <c r="G49" i="3"/>
  <c r="BL67" i="3"/>
  <c r="AC21" i="21"/>
  <c r="F59" i="71"/>
  <c r="F60" i="71" s="1"/>
  <c r="V60" i="71" s="1"/>
  <c r="C23" i="71"/>
  <c r="BL539" i="3"/>
  <c r="AZ539" i="3" s="1"/>
  <c r="AZ576" i="3"/>
  <c r="U23" i="34"/>
  <c r="H36" i="39"/>
  <c r="BA462" i="3"/>
  <c r="AZ462" i="3" s="1"/>
  <c r="BL474" i="3"/>
  <c r="BA366" i="3"/>
  <c r="AZ366" i="3" s="1"/>
  <c r="BL385" i="3"/>
  <c r="BA210" i="3"/>
  <c r="AZ210" i="3" s="1"/>
  <c r="BA225" i="3"/>
  <c r="BL230" i="3"/>
  <c r="BL245" i="3"/>
  <c r="BA255" i="3"/>
  <c r="BL289" i="3"/>
  <c r="BA116" i="3"/>
  <c r="AZ116" i="3" s="1"/>
  <c r="BL121" i="3"/>
  <c r="AZ121" i="3" s="1"/>
  <c r="BA125" i="3"/>
  <c r="BA134" i="3"/>
  <c r="AZ134" i="3" s="1"/>
  <c r="BL181" i="3"/>
  <c r="BL38" i="3"/>
  <c r="BL65" i="3"/>
  <c r="U29" i="39"/>
  <c r="C74" i="71"/>
  <c r="D74" i="71" s="1"/>
  <c r="Q68" i="71"/>
  <c r="F43" i="71"/>
  <c r="F44" i="71" s="1"/>
  <c r="V44" i="71" s="1"/>
  <c r="S68" i="71"/>
  <c r="F71" i="71"/>
  <c r="F70" i="71" s="1"/>
  <c r="F7" i="1"/>
  <c r="G7" i="1" s="1"/>
  <c r="BL411" i="3"/>
  <c r="BL450" i="3"/>
  <c r="BA458" i="3"/>
  <c r="AZ458" i="3" s="1"/>
  <c r="BL465" i="3"/>
  <c r="BA469" i="3"/>
  <c r="AZ469" i="3" s="1"/>
  <c r="BL472" i="3"/>
  <c r="BL365" i="3"/>
  <c r="AZ365" i="3" s="1"/>
  <c r="BL383" i="3"/>
  <c r="AZ383" i="3" s="1"/>
  <c r="BL211" i="3"/>
  <c r="BA227" i="3"/>
  <c r="AZ227" i="3" s="1"/>
  <c r="BA242" i="3"/>
  <c r="AZ242" i="3" s="1"/>
  <c r="G271" i="3"/>
  <c r="BL280" i="3"/>
  <c r="BA288" i="3"/>
  <c r="BL146" i="3"/>
  <c r="BL157" i="3"/>
  <c r="BL159" i="3"/>
  <c r="AZ159" i="3" s="1"/>
  <c r="G172" i="3"/>
  <c r="G47" i="3"/>
  <c r="G58" i="3"/>
  <c r="BA62" i="3"/>
  <c r="BL76" i="3"/>
  <c r="BL96" i="3"/>
  <c r="BL105" i="3"/>
  <c r="BL107" i="3"/>
  <c r="Y26" i="71"/>
  <c r="Z26" i="71" s="1"/>
  <c r="M7" i="1"/>
  <c r="BA16" i="3"/>
  <c r="BL14" i="3"/>
  <c r="BA14" i="3"/>
  <c r="G29" i="6"/>
  <c r="C21" i="68"/>
  <c r="E19" i="68"/>
  <c r="G22" i="68"/>
  <c r="G22" i="69"/>
  <c r="E1" i="73"/>
  <c r="G22" i="11"/>
  <c r="G26" i="12"/>
  <c r="G1" i="67"/>
  <c r="K1" i="12"/>
  <c r="K6" i="1"/>
  <c r="M6" i="1" s="1"/>
  <c r="O6" i="1" s="1"/>
  <c r="G1" i="69"/>
  <c r="H5" i="3"/>
  <c r="BB5" i="3"/>
  <c r="E8" i="6" s="1"/>
  <c r="F27" i="6" s="1"/>
  <c r="G15" i="3"/>
  <c r="BA13" i="3"/>
  <c r="AZ13" i="3" s="1"/>
  <c r="BH5" i="3"/>
  <c r="BO5" i="3"/>
  <c r="F29" i="6" s="1"/>
  <c r="BI5" i="3"/>
  <c r="BE5" i="3"/>
  <c r="BR5" i="3"/>
  <c r="G23" i="43"/>
  <c r="C23" i="43" s="1"/>
  <c r="C7" i="33"/>
  <c r="C7" i="34"/>
  <c r="C7" i="36"/>
  <c r="C46" i="36" s="1"/>
  <c r="D46" i="36" s="1"/>
  <c r="E46" i="36" s="1"/>
  <c r="F46" i="36" s="1"/>
  <c r="G46" i="36" s="1"/>
  <c r="H46" i="36" s="1"/>
  <c r="I46" i="36" s="1"/>
  <c r="J46" i="36" s="1"/>
  <c r="K46" i="36" s="1"/>
  <c r="L46" i="36" s="1"/>
  <c r="M46" i="36" s="1"/>
  <c r="N46" i="36" s="1"/>
  <c r="O46" i="36" s="1"/>
  <c r="M47" i="9"/>
  <c r="C7" i="35"/>
  <c r="C48" i="35" s="1"/>
  <c r="D48" i="35" s="1"/>
  <c r="E48" i="35" s="1"/>
  <c r="C7" i="40"/>
  <c r="C63" i="40" s="1"/>
  <c r="C7" i="39"/>
  <c r="C67" i="39" s="1"/>
  <c r="C69" i="39" s="1"/>
  <c r="AC23" i="37"/>
  <c r="AA32" i="21"/>
  <c r="AA23" i="37"/>
  <c r="AC17" i="37"/>
  <c r="AB32" i="21"/>
  <c r="AB15" i="21"/>
  <c r="U36" i="33"/>
  <c r="AB36" i="33"/>
  <c r="AA34" i="33"/>
  <c r="AA20" i="36"/>
  <c r="S20" i="36"/>
  <c r="W37" i="33"/>
  <c r="AC37" i="33"/>
  <c r="AB37" i="39"/>
  <c r="U37" i="39"/>
  <c r="W15" i="21"/>
  <c r="AA21" i="39"/>
  <c r="S21" i="39"/>
  <c r="AA39" i="40"/>
  <c r="S39" i="40"/>
  <c r="U20" i="35"/>
  <c r="AB20" i="35"/>
  <c r="W34" i="33"/>
  <c r="AC34" i="33"/>
  <c r="S19" i="33"/>
  <c r="AA19" i="33"/>
  <c r="AA15" i="39"/>
  <c r="S15" i="39"/>
  <c r="S19" i="40"/>
  <c r="AA19" i="40"/>
  <c r="AZ587" i="3"/>
  <c r="U45" i="21"/>
  <c r="AB45" i="21"/>
  <c r="S32" i="37"/>
  <c r="F48" i="9"/>
  <c r="O52" i="9" s="1"/>
  <c r="F31" i="12"/>
  <c r="F30" i="69"/>
  <c r="F48" i="69" s="1"/>
  <c r="D68" i="9"/>
  <c r="F30" i="68"/>
  <c r="F48" i="68" s="1"/>
  <c r="F52" i="9"/>
  <c r="F32" i="15"/>
  <c r="F60" i="15" s="1"/>
  <c r="F54" i="9"/>
  <c r="AZ579" i="3"/>
  <c r="W11" i="35"/>
  <c r="AC11" i="35"/>
  <c r="AA27" i="35"/>
  <c r="S27" i="35"/>
  <c r="J12" i="36"/>
  <c r="F12" i="36"/>
  <c r="J24" i="36"/>
  <c r="H24" i="36"/>
  <c r="AB9" i="39"/>
  <c r="U9" i="39"/>
  <c r="AA40" i="39"/>
  <c r="S40" i="39"/>
  <c r="U39" i="40"/>
  <c r="AB39" i="40"/>
  <c r="AB38" i="40"/>
  <c r="U38" i="40"/>
  <c r="AZ387" i="3"/>
  <c r="AZ338" i="3"/>
  <c r="AZ371" i="3"/>
  <c r="AZ305" i="3"/>
  <c r="AZ360" i="3"/>
  <c r="W40" i="37"/>
  <c r="AZ529" i="3"/>
  <c r="AZ546" i="3"/>
  <c r="S11" i="36"/>
  <c r="AB26" i="33"/>
  <c r="H31" i="21"/>
  <c r="J31" i="21"/>
  <c r="AB35" i="33"/>
  <c r="U35" i="33"/>
  <c r="AA38" i="33"/>
  <c r="S38" i="33"/>
  <c r="J12" i="33"/>
  <c r="H12" i="33"/>
  <c r="U12" i="33" s="1"/>
  <c r="H12" i="36"/>
  <c r="H34" i="36"/>
  <c r="J34" i="36"/>
  <c r="W34" i="36" s="1"/>
  <c r="U19" i="34"/>
  <c r="AB31" i="40"/>
  <c r="AZ391" i="3"/>
  <c r="AZ318" i="3"/>
  <c r="AZ364" i="3"/>
  <c r="AZ329" i="3"/>
  <c r="AZ304" i="3"/>
  <c r="AZ306" i="3"/>
  <c r="AZ535" i="3"/>
  <c r="AZ577" i="3"/>
  <c r="AZ557" i="3"/>
  <c r="AZ513" i="3"/>
  <c r="AZ575" i="3"/>
  <c r="AZ528" i="3"/>
  <c r="AZ566" i="3"/>
  <c r="AZ574" i="3"/>
  <c r="AZ582" i="3"/>
  <c r="AZ540" i="3"/>
  <c r="AZ502" i="3"/>
  <c r="W31" i="34"/>
  <c r="H28" i="33"/>
  <c r="J30" i="21"/>
  <c r="AA29" i="35"/>
  <c r="F34" i="36"/>
  <c r="W39" i="33"/>
  <c r="G586" i="3"/>
  <c r="B97" i="43"/>
  <c r="B75" i="43"/>
  <c r="AC33" i="33"/>
  <c r="W33" i="33"/>
  <c r="F28" i="34"/>
  <c r="J28" i="34"/>
  <c r="J36" i="35"/>
  <c r="AC36" i="35" s="1"/>
  <c r="H36" i="35"/>
  <c r="J23" i="36"/>
  <c r="F44" i="39"/>
  <c r="H13" i="40"/>
  <c r="F13" i="40"/>
  <c r="U19" i="37"/>
  <c r="W32" i="37"/>
  <c r="U24" i="35"/>
  <c r="U32" i="40"/>
  <c r="S37" i="37"/>
  <c r="W38" i="37"/>
  <c r="AC29" i="37"/>
  <c r="U13" i="37"/>
  <c r="AC5" i="3"/>
  <c r="AZ357" i="3"/>
  <c r="AZ322" i="3"/>
  <c r="S14" i="40"/>
  <c r="AA25" i="21"/>
  <c r="W44" i="33"/>
  <c r="AC36" i="34"/>
  <c r="AZ519" i="3"/>
  <c r="AZ573" i="3"/>
  <c r="AZ568" i="3"/>
  <c r="AA44" i="33"/>
  <c r="AC11" i="40"/>
  <c r="W31" i="40"/>
  <c r="AC28" i="36"/>
  <c r="W28" i="36"/>
  <c r="J39" i="37"/>
  <c r="H39" i="37"/>
  <c r="AB9" i="40"/>
  <c r="U9" i="40"/>
  <c r="J33" i="40"/>
  <c r="F33" i="40"/>
  <c r="BL550" i="3"/>
  <c r="W22" i="35"/>
  <c r="BL585" i="3"/>
  <c r="AZ585" i="3" s="1"/>
  <c r="AC31" i="35"/>
  <c r="G558" i="3"/>
  <c r="G406" i="3"/>
  <c r="BL408" i="3"/>
  <c r="BL413" i="3"/>
  <c r="G416" i="3"/>
  <c r="BL15" i="3"/>
  <c r="AZ15" i="3" s="1"/>
  <c r="BA398" i="3"/>
  <c r="AZ398" i="3" s="1"/>
  <c r="BA399" i="3"/>
  <c r="AZ399" i="3" s="1"/>
  <c r="BL401" i="3"/>
  <c r="BL404" i="3"/>
  <c r="BA406" i="3"/>
  <c r="AZ406" i="3" s="1"/>
  <c r="G410" i="3"/>
  <c r="BL410" i="3"/>
  <c r="G412" i="3"/>
  <c r="BL419" i="3"/>
  <c r="BL587" i="3"/>
  <c r="BL586" i="3"/>
  <c r="AZ586" i="3" s="1"/>
  <c r="G574" i="3"/>
  <c r="BL16" i="3"/>
  <c r="BA401" i="3"/>
  <c r="BA403" i="3"/>
  <c r="AZ403" i="3" s="1"/>
  <c r="BA404" i="3"/>
  <c r="BA405" i="3"/>
  <c r="AZ405" i="3" s="1"/>
  <c r="AZ419" i="3"/>
  <c r="AZ217" i="3"/>
  <c r="BA551" i="3"/>
  <c r="AZ551" i="3" s="1"/>
  <c r="BA550" i="3"/>
  <c r="BL548" i="3"/>
  <c r="AZ548" i="3" s="1"/>
  <c r="G398" i="3"/>
  <c r="BL400" i="3"/>
  <c r="AZ400" i="3" s="1"/>
  <c r="AZ413"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L475" i="3"/>
  <c r="BA477" i="3"/>
  <c r="AZ477" i="3" s="1"/>
  <c r="BA478" i="3"/>
  <c r="BA481" i="3"/>
  <c r="G484" i="3"/>
  <c r="BA491" i="3"/>
  <c r="AZ491" i="3" s="1"/>
  <c r="BA335" i="3"/>
  <c r="AZ335" i="3" s="1"/>
  <c r="BA339" i="3"/>
  <c r="AZ339" i="3" s="1"/>
  <c r="BA348" i="3"/>
  <c r="BL225" i="3"/>
  <c r="BL226" i="3"/>
  <c r="BA239" i="3"/>
  <c r="AZ239" i="3" s="1"/>
  <c r="BL239" i="3"/>
  <c r="BA241" i="3"/>
  <c r="AZ241" i="3" s="1"/>
  <c r="BL241" i="3"/>
  <c r="BA244" i="3"/>
  <c r="BL244" i="3"/>
  <c r="BA246" i="3"/>
  <c r="BA252" i="3"/>
  <c r="AZ252" i="3" s="1"/>
  <c r="BA258" i="3"/>
  <c r="BL264" i="3"/>
  <c r="BL266" i="3"/>
  <c r="BA268" i="3"/>
  <c r="BL273" i="3"/>
  <c r="G274" i="3"/>
  <c r="BA277" i="3"/>
  <c r="BL277" i="3"/>
  <c r="BA282" i="3"/>
  <c r="AZ282" i="3" s="1"/>
  <c r="BL282" i="3"/>
  <c r="BA284" i="3"/>
  <c r="BL290" i="3"/>
  <c r="BL291" i="3"/>
  <c r="AZ291" i="3" s="1"/>
  <c r="BL293" i="3"/>
  <c r="AZ293" i="3" s="1"/>
  <c r="BL294" i="3"/>
  <c r="BA297" i="3"/>
  <c r="BL297" i="3"/>
  <c r="G116" i="3"/>
  <c r="BA408" i="3"/>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AZ446" i="3" s="1"/>
  <c r="BA450" i="3"/>
  <c r="AZ450" i="3" s="1"/>
  <c r="BA453" i="3"/>
  <c r="BA455" i="3"/>
  <c r="AZ455" i="3" s="1"/>
  <c r="BL457" i="3"/>
  <c r="BL460" i="3"/>
  <c r="BL461" i="3"/>
  <c r="BL463" i="3"/>
  <c r="AZ463" i="3" s="1"/>
  <c r="G465" i="3"/>
  <c r="BA471" i="3"/>
  <c r="AZ471" i="3" s="1"/>
  <c r="BA353" i="3"/>
  <c r="BL353" i="3"/>
  <c r="BA358" i="3"/>
  <c r="AZ358" i="3" s="1"/>
  <c r="BA368" i="3"/>
  <c r="BL368" i="3"/>
  <c r="BA388" i="3"/>
  <c r="AZ388" i="3" s="1"/>
  <c r="BA396" i="3"/>
  <c r="BA209" i="3"/>
  <c r="BL217" i="3"/>
  <c r="BA219" i="3"/>
  <c r="BA221" i="3"/>
  <c r="AZ221" i="3" s="1"/>
  <c r="BA223" i="3"/>
  <c r="AZ223" i="3" s="1"/>
  <c r="BL228" i="3"/>
  <c r="AZ228" i="3" s="1"/>
  <c r="BA230" i="3"/>
  <c r="AZ230" i="3" s="1"/>
  <c r="BL232" i="3"/>
  <c r="BL234" i="3"/>
  <c r="BA236" i="3"/>
  <c r="BA238" i="3"/>
  <c r="BA243" i="3"/>
  <c r="AZ243" i="3" s="1"/>
  <c r="BL248" i="3"/>
  <c r="AZ248" i="3" s="1"/>
  <c r="G250" i="3"/>
  <c r="BL250" i="3"/>
  <c r="AZ250" i="3" s="1"/>
  <c r="G252" i="3"/>
  <c r="BL405" i="3"/>
  <c r="BL407" i="3"/>
  <c r="AZ407" i="3" s="1"/>
  <c r="BA412" i="3"/>
  <c r="AZ412" i="3" s="1"/>
  <c r="BA414" i="3"/>
  <c r="BA415" i="3"/>
  <c r="BA416" i="3"/>
  <c r="AZ416" i="3" s="1"/>
  <c r="BA418" i="3"/>
  <c r="BA421" i="3"/>
  <c r="AZ421" i="3" s="1"/>
  <c r="BA423" i="3"/>
  <c r="AZ423" i="3" s="1"/>
  <c r="BA425" i="3"/>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BA460" i="3"/>
  <c r="AZ460" i="3" s="1"/>
  <c r="BA461" i="3"/>
  <c r="AZ461" i="3" s="1"/>
  <c r="BL464" i="3"/>
  <c r="AZ464" i="3" s="1"/>
  <c r="BL466" i="3"/>
  <c r="AZ466" i="3" s="1"/>
  <c r="G468" i="3"/>
  <c r="G469" i="3"/>
  <c r="BL476" i="3"/>
  <c r="AZ476" i="3" s="1"/>
  <c r="BL477" i="3"/>
  <c r="BL478" i="3"/>
  <c r="BL480" i="3"/>
  <c r="AZ480" i="3" s="1"/>
  <c r="BA483" i="3"/>
  <c r="BL483" i="3"/>
  <c r="AZ483" i="3" s="1"/>
  <c r="BA486" i="3"/>
  <c r="BL489" i="3"/>
  <c r="AZ489" i="3" s="1"/>
  <c r="BL491" i="3"/>
  <c r="BL492" i="3"/>
  <c r="BA315" i="3"/>
  <c r="AZ315" i="3" s="1"/>
  <c r="BA333" i="3"/>
  <c r="BL346" i="3"/>
  <c r="AZ346" i="3" s="1"/>
  <c r="BA384" i="3"/>
  <c r="AZ384" i="3" s="1"/>
  <c r="BA395" i="3"/>
  <c r="AZ395" i="3" s="1"/>
  <c r="BA208" i="3"/>
  <c r="AZ208" i="3" s="1"/>
  <c r="BA211" i="3"/>
  <c r="AZ211" i="3" s="1"/>
  <c r="BL213" i="3"/>
  <c r="BL215" i="3"/>
  <c r="BA222" i="3"/>
  <c r="AZ222" i="3" s="1"/>
  <c r="BA224" i="3"/>
  <c r="BA226" i="3"/>
  <c r="BA237" i="3"/>
  <c r="AZ237" i="3" s="1"/>
  <c r="BL255" i="3"/>
  <c r="BL257" i="3"/>
  <c r="AZ257" i="3" s="1"/>
  <c r="BL258" i="3"/>
  <c r="AZ258" i="3" s="1"/>
  <c r="BA262" i="3"/>
  <c r="AZ262" i="3" s="1"/>
  <c r="BL265" i="3"/>
  <c r="AZ265" i="3" s="1"/>
  <c r="BA273" i="3"/>
  <c r="BA278" i="3"/>
  <c r="AZ278" i="3" s="1"/>
  <c r="BA280" i="3"/>
  <c r="AZ280" i="3" s="1"/>
  <c r="BL283" i="3"/>
  <c r="AZ283" i="3" s="1"/>
  <c r="BL284" i="3"/>
  <c r="G288" i="3"/>
  <c r="BL292" i="3"/>
  <c r="BA294" i="3"/>
  <c r="BL295" i="3"/>
  <c r="G127" i="3"/>
  <c r="AZ444" i="3"/>
  <c r="AZ448" i="3"/>
  <c r="BL452" i="3"/>
  <c r="BL456" i="3"/>
  <c r="BL467" i="3"/>
  <c r="AZ467" i="3" s="1"/>
  <c r="BL468" i="3"/>
  <c r="AZ468" i="3" s="1"/>
  <c r="BL470" i="3"/>
  <c r="AZ470" i="3" s="1"/>
  <c r="G472" i="3"/>
  <c r="G473" i="3"/>
  <c r="BL473" i="3"/>
  <c r="AZ473"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BL218" i="3"/>
  <c r="BL220" i="3"/>
  <c r="BL243" i="3"/>
  <c r="BA247" i="3"/>
  <c r="BL247" i="3"/>
  <c r="BA249" i="3"/>
  <c r="BL249" i="3"/>
  <c r="BA251" i="3"/>
  <c r="BL251" i="3"/>
  <c r="BA253" i="3"/>
  <c r="BL260" i="3"/>
  <c r="AZ260" i="3" s="1"/>
  <c r="G262" i="3"/>
  <c r="BL263" i="3"/>
  <c r="AZ263" i="3" s="1"/>
  <c r="G264" i="3"/>
  <c r="BL270" i="3"/>
  <c r="BA272" i="3"/>
  <c r="AZ272" i="3" s="1"/>
  <c r="BL275" i="3"/>
  <c r="AZ275" i="3" s="1"/>
  <c r="G277" i="3"/>
  <c r="G280" i="3"/>
  <c r="G282" i="3"/>
  <c r="BL285" i="3"/>
  <c r="BL287" i="3"/>
  <c r="BA290" i="3"/>
  <c r="G297" i="3"/>
  <c r="BL301" i="3"/>
  <c r="AZ301" i="3" s="1"/>
  <c r="BL302" i="3"/>
  <c r="G126" i="3"/>
  <c r="BA37" i="3"/>
  <c r="G39" i="3"/>
  <c r="BL39" i="3"/>
  <c r="AZ39" i="3" s="1"/>
  <c r="BA45" i="3"/>
  <c r="BA46" i="3"/>
  <c r="BL49" i="3"/>
  <c r="G51" i="3"/>
  <c r="BA52" i="3"/>
  <c r="AZ52" i="3" s="1"/>
  <c r="BA53" i="3"/>
  <c r="BA54" i="3"/>
  <c r="AZ54" i="3" s="1"/>
  <c r="BL57" i="3"/>
  <c r="G62" i="3"/>
  <c r="BL62" i="3"/>
  <c r="AZ62" i="3" s="1"/>
  <c r="BL63" i="3"/>
  <c r="BA65" i="3"/>
  <c r="AZ65" i="3" s="1"/>
  <c r="BL69" i="3"/>
  <c r="BA72" i="3"/>
  <c r="AZ72" i="3" s="1"/>
  <c r="BA73" i="3"/>
  <c r="AZ73" i="3" s="1"/>
  <c r="BA80" i="3"/>
  <c r="BA114" i="3"/>
  <c r="BL123" i="3"/>
  <c r="AZ123" i="3" s="1"/>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L47" i="3"/>
  <c r="AZ47" i="3" s="1"/>
  <c r="BL54" i="3"/>
  <c r="BL55" i="3"/>
  <c r="AZ55" i="3" s="1"/>
  <c r="BA59" i="3"/>
  <c r="AZ59" i="3" s="1"/>
  <c r="D31" i="71"/>
  <c r="C32" i="71"/>
  <c r="D51" i="71"/>
  <c r="C55" i="71"/>
  <c r="D54" i="71"/>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BL25" i="3"/>
  <c r="BL27" i="3"/>
  <c r="BA28" i="3"/>
  <c r="BA31" i="3"/>
  <c r="BA32" i="3"/>
  <c r="G38" i="3"/>
  <c r="BA38" i="3"/>
  <c r="AZ38" i="3" s="1"/>
  <c r="BL48" i="3"/>
  <c r="BL56" i="3"/>
  <c r="BL60" i="3"/>
  <c r="AZ60" i="3" s="1"/>
  <c r="BA61" i="3"/>
  <c r="AZ61" i="3" s="1"/>
  <c r="N67" i="71"/>
  <c r="B66" i="71"/>
  <c r="F66" i="71"/>
  <c r="Q67" i="71"/>
  <c r="BA302" i="3"/>
  <c r="G115" i="3"/>
  <c r="BA117" i="3"/>
  <c r="BA130" i="3"/>
  <c r="BL130" i="3"/>
  <c r="BA137" i="3"/>
  <c r="AZ137" i="3" s="1"/>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AZ41" i="3" s="1"/>
  <c r="G45" i="3"/>
  <c r="BL45" i="3"/>
  <c r="BA48" i="3"/>
  <c r="BA49" i="3"/>
  <c r="BL64" i="3"/>
  <c r="BA67" i="3"/>
  <c r="AZ67" i="3" s="1"/>
  <c r="BA68" i="3"/>
  <c r="AZ68" i="3" s="1"/>
  <c r="BL70" i="3"/>
  <c r="AZ70" i="3" s="1"/>
  <c r="BL71" i="3"/>
  <c r="C44" i="71"/>
  <c r="D43" i="71"/>
  <c r="V24" i="71"/>
  <c r="E23" i="71"/>
  <c r="E22" i="71" s="1"/>
  <c r="E21" i="71" s="1"/>
  <c r="E20" i="71" s="1"/>
  <c r="E19" i="71" s="1"/>
  <c r="E18" i="71" s="1"/>
  <c r="E17" i="71" s="1"/>
  <c r="E16" i="71" s="1"/>
  <c r="G64" i="3"/>
  <c r="BA64" i="3"/>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L84" i="3"/>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BL51" i="3"/>
  <c r="AZ51" i="3" s="1"/>
  <c r="G53" i="3"/>
  <c r="BL53" i="3"/>
  <c r="BA56" i="3"/>
  <c r="AZ56" i="3" s="1"/>
  <c r="BA57" i="3"/>
  <c r="BL58" i="3"/>
  <c r="AZ58" i="3" s="1"/>
  <c r="G60" i="3"/>
  <c r="BA60" i="3"/>
  <c r="BA63" i="3"/>
  <c r="BA66" i="3"/>
  <c r="AZ66" i="3" s="1"/>
  <c r="BA71" i="3"/>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W35" i="39"/>
  <c r="F27" i="34"/>
  <c r="C21" i="39"/>
  <c r="U9" i="36"/>
  <c r="U14" i="37"/>
  <c r="H12" i="21"/>
  <c r="G526" i="3"/>
  <c r="AZ420" i="3"/>
  <c r="AZ434" i="3"/>
  <c r="AZ436" i="3"/>
  <c r="AZ438" i="3"/>
  <c r="G28" i="6"/>
  <c r="G30" i="6" s="1"/>
  <c r="G31" i="6" s="1"/>
  <c r="U26" i="21"/>
  <c r="W36" i="39"/>
  <c r="U23" i="40"/>
  <c r="AA39" i="37"/>
  <c r="AC16" i="36"/>
  <c r="AB12" i="33"/>
  <c r="C27" i="39"/>
  <c r="U40" i="40"/>
  <c r="AC9" i="40"/>
  <c r="J12" i="21"/>
  <c r="B73" i="43"/>
  <c r="B76" i="43"/>
  <c r="F9" i="36"/>
  <c r="J40" i="40"/>
  <c r="G562" i="3"/>
  <c r="AZ426" i="3"/>
  <c r="AZ385" i="3"/>
  <c r="AZ212" i="3"/>
  <c r="AZ220" i="3"/>
  <c r="AZ231" i="3"/>
  <c r="AZ255" i="3"/>
  <c r="BA472" i="3"/>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BL268" i="3"/>
  <c r="AZ268" i="3" s="1"/>
  <c r="G278" i="3"/>
  <c r="BA474" i="3"/>
  <c r="AZ474" i="3" s="1"/>
  <c r="BA475" i="3"/>
  <c r="BL481" i="3"/>
  <c r="AZ481" i="3" s="1"/>
  <c r="BL482" i="3"/>
  <c r="AZ482" i="3" s="1"/>
  <c r="G483" i="3"/>
  <c r="BL485" i="3"/>
  <c r="AZ485" i="3" s="1"/>
  <c r="BL486" i="3"/>
  <c r="G487" i="3"/>
  <c r="BA492" i="3"/>
  <c r="BL363" i="3"/>
  <c r="AZ363" i="3" s="1"/>
  <c r="G369" i="3"/>
  <c r="BL393" i="3"/>
  <c r="AZ393" i="3" s="1"/>
  <c r="BL396" i="3"/>
  <c r="BL209" i="3"/>
  <c r="AZ226" i="3"/>
  <c r="G240" i="3"/>
  <c r="G242" i="3"/>
  <c r="G245" i="3"/>
  <c r="BL246" i="3"/>
  <c r="BL253" i="3"/>
  <c r="AZ253" i="3" s="1"/>
  <c r="BA261" i="3"/>
  <c r="AZ261" i="3" s="1"/>
  <c r="BA264" i="3"/>
  <c r="AZ264" i="3" s="1"/>
  <c r="BA266" i="3"/>
  <c r="G272" i="3"/>
  <c r="G275" i="3"/>
  <c r="BL276" i="3"/>
  <c r="AZ276" i="3" s="1"/>
  <c r="BL279" i="3"/>
  <c r="AZ279" i="3" s="1"/>
  <c r="BL281" i="3"/>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AZ87" i="3"/>
  <c r="BL202" i="3"/>
  <c r="AZ30" i="3"/>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BA206" i="3"/>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F66" i="15"/>
  <c r="F64" i="15"/>
  <c r="C27" i="15"/>
  <c r="F65" i="15"/>
  <c r="B13" i="70"/>
  <c r="F68" i="15"/>
  <c r="C36" i="68"/>
  <c r="F43" i="86"/>
  <c r="L48" i="15"/>
  <c r="C76" i="67"/>
  <c r="M29" i="15"/>
  <c r="F16" i="67"/>
  <c r="F38" i="67"/>
  <c r="M22" i="67"/>
  <c r="F36" i="67"/>
  <c r="F42" i="67"/>
  <c r="F7" i="86"/>
  <c r="M6" i="15"/>
  <c r="F13" i="15"/>
  <c r="M28" i="67"/>
  <c r="M23" i="67"/>
  <c r="F9" i="67"/>
  <c r="M8" i="67"/>
  <c r="F7" i="67"/>
  <c r="D3" i="73"/>
  <c r="D4" i="73"/>
  <c r="M24" i="67"/>
  <c r="M29" i="67"/>
  <c r="F43" i="67"/>
  <c r="F6" i="67"/>
  <c r="J15" i="15"/>
  <c r="M6" i="67"/>
  <c r="M29" i="86"/>
  <c r="F37" i="67"/>
  <c r="L48" i="67"/>
  <c r="F26" i="67"/>
  <c r="J15" i="67"/>
  <c r="L47" i="15"/>
  <c r="L47" i="67"/>
  <c r="M9" i="67"/>
  <c r="M26" i="15"/>
  <c r="F43" i="15"/>
  <c r="F8" i="67"/>
  <c r="F40" i="67"/>
  <c r="F7" i="15"/>
  <c r="L48" i="86"/>
  <c r="M26" i="67"/>
  <c r="F16" i="15"/>
  <c r="F13" i="67"/>
  <c r="D7" i="73"/>
  <c r="D5" i="73"/>
  <c r="C6" i="86" l="1"/>
  <c r="M7" i="86"/>
  <c r="J6" i="86" s="1"/>
  <c r="F50" i="86"/>
  <c r="C49" i="86" s="1"/>
  <c r="C61" i="86" s="1"/>
  <c r="F71" i="86"/>
  <c r="M8" i="1"/>
  <c r="L57" i="86"/>
  <c r="J57" i="86"/>
  <c r="J55" i="86" s="1"/>
  <c r="J58" i="86" s="1"/>
  <c r="Q50" i="86" s="1"/>
  <c r="L56" i="86"/>
  <c r="L60" i="86"/>
  <c r="I54" i="86"/>
  <c r="J53" i="86"/>
  <c r="L58" i="86"/>
  <c r="M11" i="86"/>
  <c r="J10" i="86" s="1"/>
  <c r="F11" i="86"/>
  <c r="E14" i="6"/>
  <c r="E63" i="39" s="1"/>
  <c r="D9" i="68"/>
  <c r="C9" i="68" s="1"/>
  <c r="W37" i="34"/>
  <c r="W25" i="34"/>
  <c r="AB25" i="34"/>
  <c r="U25" i="34"/>
  <c r="AA37" i="34"/>
  <c r="S37" i="34"/>
  <c r="L59" i="15"/>
  <c r="Q74" i="15" s="1"/>
  <c r="N59" i="15"/>
  <c r="M59" i="15"/>
  <c r="C30" i="69"/>
  <c r="E13" i="6"/>
  <c r="E62" i="39" s="1"/>
  <c r="AZ26" i="3"/>
  <c r="AZ174" i="3"/>
  <c r="AZ281" i="3"/>
  <c r="AB36" i="39"/>
  <c r="U36" i="39"/>
  <c r="AZ157" i="3"/>
  <c r="W45" i="21"/>
  <c r="AC45" i="21"/>
  <c r="AZ150" i="3"/>
  <c r="AZ429" i="3"/>
  <c r="AZ244" i="3"/>
  <c r="AZ235" i="3"/>
  <c r="AZ105" i="3"/>
  <c r="AZ130" i="3"/>
  <c r="AZ28" i="3"/>
  <c r="AZ224" i="3"/>
  <c r="AZ415" i="3"/>
  <c r="E29" i="6"/>
  <c r="K15" i="1" s="1"/>
  <c r="C22" i="71"/>
  <c r="D23" i="71"/>
  <c r="AA23" i="36"/>
  <c r="S23" i="36"/>
  <c r="W13" i="37"/>
  <c r="AC13" i="37"/>
  <c r="AZ266" i="3"/>
  <c r="AZ486" i="3"/>
  <c r="AZ284" i="3"/>
  <c r="AZ424" i="3"/>
  <c r="AZ401" i="3"/>
  <c r="AZ229" i="3"/>
  <c r="AB23" i="36"/>
  <c r="U23" i="36"/>
  <c r="E15" i="6"/>
  <c r="E64" i="39" s="1"/>
  <c r="E12" i="6"/>
  <c r="E57" i="40" s="1"/>
  <c r="AZ219" i="3"/>
  <c r="AZ16" i="3"/>
  <c r="AZ14" i="3"/>
  <c r="AZ271" i="3"/>
  <c r="AC44" i="39"/>
  <c r="W44" i="39"/>
  <c r="AZ57" i="3"/>
  <c r="AZ302" i="3"/>
  <c r="AZ20" i="3"/>
  <c r="AZ45" i="3"/>
  <c r="AZ270" i="3"/>
  <c r="AZ442" i="3"/>
  <c r="AZ453" i="3"/>
  <c r="AZ417" i="3"/>
  <c r="AZ443" i="3"/>
  <c r="S45" i="39"/>
  <c r="AA45" i="39"/>
  <c r="AB44" i="39"/>
  <c r="U44" i="39"/>
  <c r="AA45" i="33"/>
  <c r="S45" i="33"/>
  <c r="U45" i="39"/>
  <c r="AB45" i="39"/>
  <c r="AC46" i="33"/>
  <c r="W46" i="33"/>
  <c r="W45" i="33"/>
  <c r="AC45" i="33"/>
  <c r="U23" i="35"/>
  <c r="AB23" i="35"/>
  <c r="AZ138" i="3"/>
  <c r="AZ153" i="3"/>
  <c r="AZ246" i="3"/>
  <c r="AZ277" i="3"/>
  <c r="AZ524" i="3"/>
  <c r="AA46" i="33"/>
  <c r="S46" i="33"/>
  <c r="U45" i="33"/>
  <c r="AB45" i="33"/>
  <c r="AA23" i="35"/>
  <c r="S23" i="35"/>
  <c r="B20" i="31"/>
  <c r="B21" i="31" s="1"/>
  <c r="AZ475" i="3"/>
  <c r="AC23" i="35"/>
  <c r="W23" i="35"/>
  <c r="AC9" i="33"/>
  <c r="W9" i="33"/>
  <c r="AZ76" i="3"/>
  <c r="AZ202" i="3"/>
  <c r="AZ50" i="3"/>
  <c r="U46" i="21"/>
  <c r="AB46" i="21"/>
  <c r="AC9" i="36"/>
  <c r="W9" i="36"/>
  <c r="P67" i="71"/>
  <c r="E66" i="71"/>
  <c r="AB9" i="33"/>
  <c r="U9" i="33"/>
  <c r="AB28" i="21"/>
  <c r="U28" i="21"/>
  <c r="AB35" i="39"/>
  <c r="U35" i="39"/>
  <c r="AA28" i="21"/>
  <c r="S28" i="21"/>
  <c r="AZ113" i="3"/>
  <c r="AZ209" i="3"/>
  <c r="AZ472" i="3"/>
  <c r="AZ181" i="3"/>
  <c r="AZ149" i="3"/>
  <c r="AZ238" i="3"/>
  <c r="AZ550" i="3"/>
  <c r="AZ332" i="3"/>
  <c r="AZ459" i="3"/>
  <c r="AZ425" i="3"/>
  <c r="AZ353" i="3"/>
  <c r="S35" i="39"/>
  <c r="AZ82" i="3"/>
  <c r="AA45" i="21"/>
  <c r="S45" i="21"/>
  <c r="F71" i="15"/>
  <c r="M7" i="15"/>
  <c r="J6" i="15" s="1"/>
  <c r="J18" i="15" s="1"/>
  <c r="C6" i="15"/>
  <c r="C32" i="15" s="1"/>
  <c r="F50" i="15"/>
  <c r="C49" i="15" s="1"/>
  <c r="AP6" i="1"/>
  <c r="C36" i="69" s="1"/>
  <c r="O7" i="1"/>
  <c r="P7" i="1" s="1"/>
  <c r="M11" i="82"/>
  <c r="J10" i="82" s="1"/>
  <c r="F11" i="82"/>
  <c r="J57" i="15"/>
  <c r="J55" i="15" s="1"/>
  <c r="J58" i="15" s="1"/>
  <c r="Q50" i="15" s="1"/>
  <c r="I54" i="15"/>
  <c r="J53" i="15"/>
  <c r="L56" i="15" s="1"/>
  <c r="L58" i="15"/>
  <c r="Q60" i="15" s="1"/>
  <c r="G8" i="1"/>
  <c r="G16" i="1" s="1"/>
  <c r="F10" i="39" s="1"/>
  <c r="S10" i="39" s="1"/>
  <c r="F30" i="6"/>
  <c r="C48" i="69"/>
  <c r="F26" i="43"/>
  <c r="Q16" i="1"/>
  <c r="F27" i="69" s="1"/>
  <c r="C29" i="69" s="1"/>
  <c r="D27" i="69" s="1"/>
  <c r="H16" i="1"/>
  <c r="F51" i="67"/>
  <c r="F65" i="67"/>
  <c r="F66" i="67"/>
  <c r="M59" i="67"/>
  <c r="L59" i="67"/>
  <c r="Q61" i="67" s="1"/>
  <c r="N59" i="67"/>
  <c r="L58" i="67"/>
  <c r="Q60" i="67" s="1"/>
  <c r="F71" i="67"/>
  <c r="I54" i="67"/>
  <c r="J53" i="67"/>
  <c r="Q52" i="67" s="1"/>
  <c r="J57" i="67"/>
  <c r="J55" i="67" s="1"/>
  <c r="J58" i="67" s="1"/>
  <c r="Q50" i="67" s="1"/>
  <c r="L56" i="67"/>
  <c r="Q71" i="67"/>
  <c r="C27" i="67"/>
  <c r="N94" i="46"/>
  <c r="H26" i="43"/>
  <c r="N370" i="46"/>
  <c r="E59" i="40"/>
  <c r="E26" i="43"/>
  <c r="J26" i="43"/>
  <c r="P6" i="1"/>
  <c r="C13" i="12" s="1"/>
  <c r="J7" i="36"/>
  <c r="F64" i="67"/>
  <c r="F50" i="67"/>
  <c r="F31" i="67"/>
  <c r="C6" i="67"/>
  <c r="C32" i="67" s="1"/>
  <c r="M7" i="67"/>
  <c r="J6" i="67" s="1"/>
  <c r="J18" i="67" s="1"/>
  <c r="F68" i="67"/>
  <c r="C70" i="71"/>
  <c r="D70" i="71" s="1"/>
  <c r="D71" i="71"/>
  <c r="N65" i="71"/>
  <c r="N66" i="71"/>
  <c r="T32" i="71"/>
  <c r="D32" i="71"/>
  <c r="W33" i="40"/>
  <c r="AC33" i="40"/>
  <c r="AC39" i="37"/>
  <c r="W39" i="37"/>
  <c r="AB13" i="40"/>
  <c r="U13" i="40"/>
  <c r="U28" i="33"/>
  <c r="AB28" i="33"/>
  <c r="U34" i="36"/>
  <c r="AB34" i="36"/>
  <c r="AC31" i="21"/>
  <c r="W31" i="21"/>
  <c r="AB24" i="36"/>
  <c r="U24" i="36"/>
  <c r="E28" i="6"/>
  <c r="K14" i="1" s="1"/>
  <c r="AZ85" i="3"/>
  <c r="AZ63" i="3"/>
  <c r="T28" i="71"/>
  <c r="D28" i="71"/>
  <c r="U28" i="71" s="1"/>
  <c r="C27" i="71"/>
  <c r="D79" i="71"/>
  <c r="C78" i="71"/>
  <c r="D78" i="71" s="1"/>
  <c r="C36" i="71"/>
  <c r="D35" i="71"/>
  <c r="AZ108" i="3"/>
  <c r="AZ49" i="3"/>
  <c r="AZ31" i="3"/>
  <c r="C56" i="71"/>
  <c r="D55" i="71"/>
  <c r="AZ53" i="3"/>
  <c r="AZ251" i="3"/>
  <c r="AZ247" i="3"/>
  <c r="AZ218" i="3"/>
  <c r="AZ273" i="3"/>
  <c r="AZ457" i="3"/>
  <c r="AZ428" i="3"/>
  <c r="AA44" i="39"/>
  <c r="S44" i="39"/>
  <c r="W28" i="34"/>
  <c r="AC28" i="34"/>
  <c r="S34" i="36"/>
  <c r="AA34" i="36"/>
  <c r="U12" i="36"/>
  <c r="AB12" i="36"/>
  <c r="U31" i="21"/>
  <c r="AB31" i="21"/>
  <c r="AC24" i="36"/>
  <c r="W24" i="36"/>
  <c r="AZ206" i="3"/>
  <c r="AZ285" i="3"/>
  <c r="AZ396" i="3"/>
  <c r="AZ492" i="3"/>
  <c r="AZ232" i="3"/>
  <c r="W36" i="35"/>
  <c r="V20" i="71"/>
  <c r="D83" i="71"/>
  <c r="C82" i="71"/>
  <c r="D82" i="71" s="1"/>
  <c r="O65" i="71"/>
  <c r="D66" i="71"/>
  <c r="O66" i="71"/>
  <c r="AZ64" i="3"/>
  <c r="AZ294" i="3"/>
  <c r="AZ414" i="3"/>
  <c r="AZ432" i="3"/>
  <c r="AC23" i="36"/>
  <c r="W23" i="36"/>
  <c r="AA28" i="34"/>
  <c r="S28" i="34"/>
  <c r="AA12" i="36"/>
  <c r="S12" i="36"/>
  <c r="AZ112" i="3"/>
  <c r="G5" i="3"/>
  <c r="B3" i="3" s="1"/>
  <c r="E212" i="3" s="1"/>
  <c r="AZ32" i="3"/>
  <c r="AZ101" i="3"/>
  <c r="AZ71" i="3"/>
  <c r="C40" i="71"/>
  <c r="D39" i="71"/>
  <c r="AZ69" i="3"/>
  <c r="D44" i="71"/>
  <c r="T44" i="71"/>
  <c r="AZ19" i="3"/>
  <c r="AZ5" i="3" s="1"/>
  <c r="AZ182" i="3"/>
  <c r="AZ27" i="3"/>
  <c r="AZ118" i="3"/>
  <c r="T52" i="71"/>
  <c r="D52" i="71"/>
  <c r="AZ25" i="3"/>
  <c r="AZ249" i="3"/>
  <c r="AZ418" i="3"/>
  <c r="AZ368" i="3"/>
  <c r="AZ408" i="3"/>
  <c r="AZ297" i="3"/>
  <c r="AZ404" i="3"/>
  <c r="S33" i="40"/>
  <c r="AA33" i="40"/>
  <c r="U39" i="37"/>
  <c r="AB39" i="37"/>
  <c r="AA13" i="40"/>
  <c r="S13" i="40"/>
  <c r="AB36" i="35"/>
  <c r="U36" i="35"/>
  <c r="W30" i="21"/>
  <c r="AC30" i="21"/>
  <c r="W12" i="33"/>
  <c r="AC12" i="33"/>
  <c r="W12" i="36"/>
  <c r="AC12" i="36"/>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E72" i="43"/>
  <c r="B70" i="43" s="1"/>
  <c r="E60" i="40"/>
  <c r="F31" i="6"/>
  <c r="E51" i="40"/>
  <c r="D5" i="43"/>
  <c r="C7" i="43"/>
  <c r="C5" i="43" s="1"/>
  <c r="D10" i="52"/>
  <c r="D125" i="9"/>
  <c r="D11" i="52" s="1"/>
  <c r="B7" i="74"/>
  <c r="C7" i="74" s="1"/>
  <c r="F67" i="39"/>
  <c r="F59" i="67"/>
  <c r="H7" i="37"/>
  <c r="AB7" i="37" s="1"/>
  <c r="T42" i="37" s="1"/>
  <c r="G42" i="37" s="1"/>
  <c r="H7" i="33"/>
  <c r="J7" i="33"/>
  <c r="D65" i="40"/>
  <c r="E63" i="40"/>
  <c r="F48" i="35"/>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G1" i="73"/>
  <c r="F40" i="82"/>
  <c r="M24" i="82"/>
  <c r="C76" i="82"/>
  <c r="M28" i="82"/>
  <c r="M23" i="82"/>
  <c r="F41" i="67"/>
  <c r="F42" i="82"/>
  <c r="M8" i="82"/>
  <c r="F43" i="82"/>
  <c r="M6" i="82"/>
  <c r="F36" i="82"/>
  <c r="F6" i="82"/>
  <c r="J15" i="82"/>
  <c r="F38" i="82"/>
  <c r="L48" i="82"/>
  <c r="M22" i="82"/>
  <c r="F8" i="82"/>
  <c r="M26" i="82"/>
  <c r="F16" i="82"/>
  <c r="C16" i="86"/>
  <c r="F26" i="82"/>
  <c r="L47" i="82"/>
  <c r="F9" i="82"/>
  <c r="M9" i="82"/>
  <c r="F7" i="82"/>
  <c r="C16" i="67"/>
  <c r="M29" i="82"/>
  <c r="F37" i="82"/>
  <c r="F13" i="82"/>
  <c r="C16" i="15"/>
  <c r="J5" i="86" l="1"/>
  <c r="J19" i="86"/>
  <c r="J18" i="86"/>
  <c r="C32" i="86"/>
  <c r="C33" i="86"/>
  <c r="Q73" i="86"/>
  <c r="Q60" i="86"/>
  <c r="Q66" i="86"/>
  <c r="Q57" i="86"/>
  <c r="F1" i="86"/>
  <c r="Q52" i="86"/>
  <c r="C53" i="86"/>
  <c r="C48" i="86" s="1"/>
  <c r="C10" i="86"/>
  <c r="C5" i="86" s="1"/>
  <c r="J26" i="86"/>
  <c r="J24" i="86"/>
  <c r="E16" i="6"/>
  <c r="K16" i="1"/>
  <c r="E61" i="39"/>
  <c r="E58" i="40"/>
  <c r="C49" i="67"/>
  <c r="Q61" i="15"/>
  <c r="J5" i="15"/>
  <c r="J24" i="15" s="1"/>
  <c r="F1" i="15"/>
  <c r="C6" i="82"/>
  <c r="C10" i="82" s="1"/>
  <c r="C5" i="82" s="1"/>
  <c r="C27" i="82"/>
  <c r="F68" i="82"/>
  <c r="F64" i="82"/>
  <c r="Q71" i="82"/>
  <c r="N59" i="82"/>
  <c r="M59" i="82"/>
  <c r="L58" i="82"/>
  <c r="L59" i="82"/>
  <c r="F65" i="82"/>
  <c r="F66" i="82"/>
  <c r="F50" i="82"/>
  <c r="M7" i="82"/>
  <c r="J6" i="82" s="1"/>
  <c r="J5" i="82" s="1"/>
  <c r="F71" i="82"/>
  <c r="F51" i="82"/>
  <c r="L57" i="82"/>
  <c r="L56" i="82"/>
  <c r="L60" i="82"/>
  <c r="J53" i="82"/>
  <c r="I54" i="82"/>
  <c r="J57" i="82"/>
  <c r="J55" i="82" s="1"/>
  <c r="J58" i="82" s="1"/>
  <c r="Q50" i="82" s="1"/>
  <c r="P65" i="71"/>
  <c r="P66" i="71"/>
  <c r="D22" i="71"/>
  <c r="C21" i="71"/>
  <c r="W7" i="37"/>
  <c r="AA7" i="36"/>
  <c r="R36" i="36" s="1"/>
  <c r="D26" i="43"/>
  <c r="C25" i="43" s="1"/>
  <c r="C33" i="43" s="1"/>
  <c r="Q52" i="15"/>
  <c r="C53" i="82"/>
  <c r="Q73" i="15"/>
  <c r="AA10" i="39"/>
  <c r="F10" i="40"/>
  <c r="S10" i="40" s="1"/>
  <c r="F45" i="69"/>
  <c r="AY6" i="3"/>
  <c r="AY51" i="3" s="1"/>
  <c r="H10" i="39"/>
  <c r="U10" i="39" s="1"/>
  <c r="F1" i="67"/>
  <c r="C47" i="69"/>
  <c r="D45" i="69" s="1"/>
  <c r="F28" i="12"/>
  <c r="C29" i="12" s="1"/>
  <c r="D28" i="12" s="1"/>
  <c r="F27" i="68"/>
  <c r="F45" i="68" s="1"/>
  <c r="F27" i="11"/>
  <c r="C29" i="11" s="1"/>
  <c r="D27" i="11" s="1"/>
  <c r="E142" i="3"/>
  <c r="Q73" i="67"/>
  <c r="Q74" i="67"/>
  <c r="AJ6" i="3"/>
  <c r="E581" i="3"/>
  <c r="H10" i="40"/>
  <c r="AB10" i="40" s="1"/>
  <c r="J10" i="40"/>
  <c r="AC10" i="40" s="1"/>
  <c r="J10" i="39"/>
  <c r="W10" i="39" s="1"/>
  <c r="E139" i="3"/>
  <c r="E161" i="3"/>
  <c r="E146" i="3"/>
  <c r="AL6" i="3"/>
  <c r="E369" i="3"/>
  <c r="E335" i="3"/>
  <c r="AR6" i="3"/>
  <c r="E94" i="3"/>
  <c r="E219" i="3"/>
  <c r="E148" i="3"/>
  <c r="E70" i="3"/>
  <c r="E297" i="3"/>
  <c r="E275" i="3"/>
  <c r="E246" i="3"/>
  <c r="E278" i="3"/>
  <c r="E201" i="3"/>
  <c r="E217" i="3"/>
  <c r="E89" i="3"/>
  <c r="E181" i="3"/>
  <c r="E111" i="3"/>
  <c r="E547" i="3"/>
  <c r="E401" i="3"/>
  <c r="E95" i="3"/>
  <c r="E378" i="3"/>
  <c r="E248" i="3"/>
  <c r="E131" i="3"/>
  <c r="E296" i="3"/>
  <c r="E263" i="3"/>
  <c r="E215" i="3"/>
  <c r="E247" i="3"/>
  <c r="E273" i="3"/>
  <c r="E368" i="3"/>
  <c r="E301" i="3"/>
  <c r="E239" i="3"/>
  <c r="E537" i="3"/>
  <c r="E16" i="3"/>
  <c r="E118" i="3"/>
  <c r="E487" i="3"/>
  <c r="E242" i="3"/>
  <c r="X6" i="3"/>
  <c r="E535" i="3"/>
  <c r="E570" i="3"/>
  <c r="E526" i="3"/>
  <c r="E28" i="3"/>
  <c r="E560" i="3"/>
  <c r="E505" i="3"/>
  <c r="E203" i="3"/>
  <c r="E365" i="3"/>
  <c r="E310" i="3"/>
  <c r="M14" i="1"/>
  <c r="M16" i="1" s="1"/>
  <c r="E119" i="3"/>
  <c r="E423" i="3"/>
  <c r="E563" i="3"/>
  <c r="M6" i="3"/>
  <c r="E509" i="3"/>
  <c r="E377" i="3"/>
  <c r="E557" i="3"/>
  <c r="E472" i="3"/>
  <c r="E261" i="3"/>
  <c r="E85" i="3"/>
  <c r="E523" i="3"/>
  <c r="E244" i="3"/>
  <c r="E420" i="3"/>
  <c r="E345" i="3"/>
  <c r="E106" i="3"/>
  <c r="E568" i="3"/>
  <c r="E508" i="3"/>
  <c r="E415" i="3"/>
  <c r="E280" i="3"/>
  <c r="E187" i="3"/>
  <c r="E38" i="3"/>
  <c r="E22" i="3"/>
  <c r="E350" i="3"/>
  <c r="E528" i="3"/>
  <c r="E561" i="3"/>
  <c r="E388" i="3"/>
  <c r="E27" i="3"/>
  <c r="E318" i="3"/>
  <c r="E45" i="3"/>
  <c r="E117" i="3"/>
  <c r="E229" i="3"/>
  <c r="E121" i="3"/>
  <c r="E580" i="3"/>
  <c r="E434" i="3"/>
  <c r="E321" i="3"/>
  <c r="E317" i="3"/>
  <c r="E168" i="3"/>
  <c r="E127" i="3"/>
  <c r="E374" i="3"/>
  <c r="E500" i="3"/>
  <c r="E141" i="3"/>
  <c r="E392" i="3"/>
  <c r="E108" i="3"/>
  <c r="E105" i="3"/>
  <c r="E428" i="3"/>
  <c r="E173" i="3"/>
  <c r="E18" i="3"/>
  <c r="E233" i="3"/>
  <c r="E241" i="3"/>
  <c r="AO6" i="3"/>
  <c r="E362" i="3"/>
  <c r="E577" i="3"/>
  <c r="E277" i="3"/>
  <c r="E399" i="3"/>
  <c r="E180" i="3"/>
  <c r="E231" i="3"/>
  <c r="E143" i="3"/>
  <c r="E175" i="3"/>
  <c r="E515" i="3"/>
  <c r="E571" i="3"/>
  <c r="E336" i="3"/>
  <c r="E294" i="3"/>
  <c r="E366" i="3"/>
  <c r="E448" i="3"/>
  <c r="E429" i="3"/>
  <c r="E303" i="3"/>
  <c r="E328" i="3"/>
  <c r="E411" i="3"/>
  <c r="E474" i="3"/>
  <c r="AD6" i="3"/>
  <c r="E149" i="3"/>
  <c r="E24" i="3"/>
  <c r="E340" i="3"/>
  <c r="E473" i="3"/>
  <c r="AH6" i="3"/>
  <c r="E49" i="3"/>
  <c r="E497" i="3"/>
  <c r="E102" i="3"/>
  <c r="E309" i="3"/>
  <c r="E267" i="3"/>
  <c r="E449" i="3"/>
  <c r="E3" i="6"/>
  <c r="D3" i="21" s="1"/>
  <c r="Z6" i="3"/>
  <c r="E315" i="3"/>
  <c r="E587" i="3"/>
  <c r="E228" i="3"/>
  <c r="E124" i="3"/>
  <c r="E503" i="3"/>
  <c r="E380" i="3"/>
  <c r="E337" i="3"/>
  <c r="E331" i="3"/>
  <c r="E269" i="3"/>
  <c r="E458" i="3"/>
  <c r="E382" i="3"/>
  <c r="E551" i="3"/>
  <c r="E334" i="3"/>
  <c r="E252" i="3"/>
  <c r="E481" i="3"/>
  <c r="E304" i="3"/>
  <c r="E319" i="3"/>
  <c r="E207" i="3"/>
  <c r="E136" i="3"/>
  <c r="E163" i="3"/>
  <c r="E48" i="3"/>
  <c r="E460" i="3"/>
  <c r="E112" i="3"/>
  <c r="L6" i="3"/>
  <c r="E543" i="3"/>
  <c r="E220" i="3"/>
  <c r="E408" i="3"/>
  <c r="E235" i="3"/>
  <c r="E63" i="3"/>
  <c r="E64" i="3"/>
  <c r="E442" i="3"/>
  <c r="E177" i="3"/>
  <c r="E302" i="3"/>
  <c r="E285" i="3"/>
  <c r="E92" i="3"/>
  <c r="E14" i="3"/>
  <c r="E224" i="3"/>
  <c r="E87" i="3"/>
  <c r="E584" i="3"/>
  <c r="E446" i="3"/>
  <c r="E58" i="3"/>
  <c r="E62" i="3"/>
  <c r="E234" i="3"/>
  <c r="E276" i="3"/>
  <c r="E422" i="3"/>
  <c r="E158" i="3"/>
  <c r="E115" i="3"/>
  <c r="E405" i="3"/>
  <c r="E34" i="3"/>
  <c r="E198" i="3"/>
  <c r="E67" i="3"/>
  <c r="E409" i="3"/>
  <c r="E417" i="3"/>
  <c r="E575" i="3"/>
  <c r="E389" i="3"/>
  <c r="E554" i="3"/>
  <c r="E536" i="3"/>
  <c r="J5" i="67"/>
  <c r="J24" i="67" s="1"/>
  <c r="T40" i="71"/>
  <c r="D40" i="71"/>
  <c r="D56" i="71"/>
  <c r="T56" i="71"/>
  <c r="C26" i="71"/>
  <c r="D26" i="71" s="1"/>
  <c r="D27" i="71"/>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F24" i="86"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AY177" i="3"/>
  <c r="AY145" i="3"/>
  <c r="AY114" i="3"/>
  <c r="AY535" i="3"/>
  <c r="AY562" i="3"/>
  <c r="AY80" i="3"/>
  <c r="AY48" i="3"/>
  <c r="AY37" i="3"/>
  <c r="AY234" i="3"/>
  <c r="AY346" i="3"/>
  <c r="AY347" i="3"/>
  <c r="AY485" i="3"/>
  <c r="AY451" i="3"/>
  <c r="AY500" i="3"/>
  <c r="AY547" i="3"/>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6" i="82"/>
  <c r="M27" i="67"/>
  <c r="C17" i="86"/>
  <c r="M27" i="82"/>
  <c r="AE8" i="1"/>
  <c r="M27" i="15"/>
  <c r="E8" i="70" l="1"/>
  <c r="C24" i="86"/>
  <c r="C38" i="86"/>
  <c r="C66" i="86"/>
  <c r="C60" i="86"/>
  <c r="AY408" i="3"/>
  <c r="AY287" i="3"/>
  <c r="AY404" i="3"/>
  <c r="AY383" i="3"/>
  <c r="AY548" i="3"/>
  <c r="AY326" i="3"/>
  <c r="AY554" i="3"/>
  <c r="AY24" i="3"/>
  <c r="BH6" i="3"/>
  <c r="AY530" i="3"/>
  <c r="AY343" i="3"/>
  <c r="AY217" i="3"/>
  <c r="AY537" i="3"/>
  <c r="AY379" i="3"/>
  <c r="AY228" i="3"/>
  <c r="AY260" i="3"/>
  <c r="AY478" i="3"/>
  <c r="AY120" i="3"/>
  <c r="AY558" i="3"/>
  <c r="AY147" i="3"/>
  <c r="AY43" i="3"/>
  <c r="AY437" i="3"/>
  <c r="AY300" i="3"/>
  <c r="AY424" i="3"/>
  <c r="BO6" i="3"/>
  <c r="AY180" i="3"/>
  <c r="AY65" i="3"/>
  <c r="AY405" i="3"/>
  <c r="AY245" i="3"/>
  <c r="AY25" i="3"/>
  <c r="AY568" i="3"/>
  <c r="AY456" i="3"/>
  <c r="AY574" i="3"/>
  <c r="AY449" i="3"/>
  <c r="AY142" i="3"/>
  <c r="AY571" i="3"/>
  <c r="BF6" i="3"/>
  <c r="AY181" i="3"/>
  <c r="AY250" i="3"/>
  <c r="AY448" i="3"/>
  <c r="AY542" i="3"/>
  <c r="AY29" i="3"/>
  <c r="AY464" i="3"/>
  <c r="AY561" i="3"/>
  <c r="AY33" i="3"/>
  <c r="AY371" i="3"/>
  <c r="AY305" i="3"/>
  <c r="AY98" i="3"/>
  <c r="AY337" i="3"/>
  <c r="AY125" i="3"/>
  <c r="AY525" i="3"/>
  <c r="AY416" i="3"/>
  <c r="AY366" i="3"/>
  <c r="AY267" i="3"/>
  <c r="AY459" i="3"/>
  <c r="AY524" i="3"/>
  <c r="AY72" i="3"/>
  <c r="AY226" i="3"/>
  <c r="AY585" i="3"/>
  <c r="AY28" i="3"/>
  <c r="AY382" i="3"/>
  <c r="AY531" i="3"/>
  <c r="AY161" i="3"/>
  <c r="AY534" i="3"/>
  <c r="AY21" i="3"/>
  <c r="AY490" i="3"/>
  <c r="AY423" i="3"/>
  <c r="AY88" i="3"/>
  <c r="AY243" i="3"/>
  <c r="BM6" i="3"/>
  <c r="AY44" i="3"/>
  <c r="AY253" i="3"/>
  <c r="AY578" i="3"/>
  <c r="BN6" i="3"/>
  <c r="AY299" i="3"/>
  <c r="AY396" i="3"/>
  <c r="AY403" i="3"/>
  <c r="AY138" i="3"/>
  <c r="AY474" i="3"/>
  <c r="AY306" i="3"/>
  <c r="AY439" i="3"/>
  <c r="BB6" i="3"/>
  <c r="AY279" i="3"/>
  <c r="AY427" i="3"/>
  <c r="AY60" i="3"/>
  <c r="AY131" i="3"/>
  <c r="AY309" i="3"/>
  <c r="AY303" i="3"/>
  <c r="AY361" i="3"/>
  <c r="AY570" i="3"/>
  <c r="AY118" i="3"/>
  <c r="AY351" i="3"/>
  <c r="AY482" i="3"/>
  <c r="AY55" i="3"/>
  <c r="AY380" i="3"/>
  <c r="AY417" i="3"/>
  <c r="AY126" i="3"/>
  <c r="AY290" i="3"/>
  <c r="AY433" i="3"/>
  <c r="AY122" i="3"/>
  <c r="AY103" i="3"/>
  <c r="AY516" i="3"/>
  <c r="AY586" i="3"/>
  <c r="AY335" i="3"/>
  <c r="BR6" i="3"/>
  <c r="AY293" i="3"/>
  <c r="AY330" i="3"/>
  <c r="AY517" i="3"/>
  <c r="AY223" i="3"/>
  <c r="AY436" i="3"/>
  <c r="AY157" i="3"/>
  <c r="AY295" i="3"/>
  <c r="AY465" i="3"/>
  <c r="AY264" i="3"/>
  <c r="AY472" i="3"/>
  <c r="AY79" i="3"/>
  <c r="AY564" i="3"/>
  <c r="AY249" i="3"/>
  <c r="AY101" i="3"/>
  <c r="AY134" i="3"/>
  <c r="AY150" i="3"/>
  <c r="AY390" i="3"/>
  <c r="AY357" i="3"/>
  <c r="AY45" i="3"/>
  <c r="AY188" i="3"/>
  <c r="AY375" i="3"/>
  <c r="AY119" i="3"/>
  <c r="AY442" i="3"/>
  <c r="AY141" i="3"/>
  <c r="AY486" i="3"/>
  <c r="AY374" i="3"/>
  <c r="AY363" i="3"/>
  <c r="AY132" i="3"/>
  <c r="AY521" i="3"/>
  <c r="BP6" i="3"/>
  <c r="AY208" i="3"/>
  <c r="AY450" i="3"/>
  <c r="AY128" i="3"/>
  <c r="AY285" i="3"/>
  <c r="AY458" i="3"/>
  <c r="AY580" i="3"/>
  <c r="AY173" i="3"/>
  <c r="AY191" i="3"/>
  <c r="BI6" i="3"/>
  <c r="AY334" i="3"/>
  <c r="AY491" i="3"/>
  <c r="AY381" i="3"/>
  <c r="AY544" i="3"/>
  <c r="AY209" i="3"/>
  <c r="AY59" i="3"/>
  <c r="AY248" i="3"/>
  <c r="AY130" i="3"/>
  <c r="AY339" i="3"/>
  <c r="AY391" i="3"/>
  <c r="AY426" i="3"/>
  <c r="AY31" i="3"/>
  <c r="AY488" i="3"/>
  <c r="AY319" i="3"/>
  <c r="AY493" i="3"/>
  <c r="AY17" i="3"/>
  <c r="AY280" i="3"/>
  <c r="AY494" i="3"/>
  <c r="AY186" i="3"/>
  <c r="AY475" i="3"/>
  <c r="AY108" i="3"/>
  <c r="AY42" i="3"/>
  <c r="AY400" i="3"/>
  <c r="AY545" i="3"/>
  <c r="AY272" i="3"/>
  <c r="AY385" i="3"/>
  <c r="AY159" i="3"/>
  <c r="AY127" i="3"/>
  <c r="AY471" i="3"/>
  <c r="AY503" i="3"/>
  <c r="AY162" i="3"/>
  <c r="AY82" i="3"/>
  <c r="AY239" i="3"/>
  <c r="AY387" i="3"/>
  <c r="AY316" i="3"/>
  <c r="AY214" i="3"/>
  <c r="BK6" i="3"/>
  <c r="AY252" i="3"/>
  <c r="AY95" i="3"/>
  <c r="AY575" i="3"/>
  <c r="AY292" i="3"/>
  <c r="AY152" i="3"/>
  <c r="AY148" i="3"/>
  <c r="AY278" i="3"/>
  <c r="AY477" i="3"/>
  <c r="AY515" i="3"/>
  <c r="AY421" i="3"/>
  <c r="AY235" i="3"/>
  <c r="AY179" i="3"/>
  <c r="AY192" i="3"/>
  <c r="AY364" i="3"/>
  <c r="AY406" i="3"/>
  <c r="AY198" i="3"/>
  <c r="AY518" i="3"/>
  <c r="AY302" i="3"/>
  <c r="AY75" i="3"/>
  <c r="AY349" i="3"/>
  <c r="AY294" i="3"/>
  <c r="AY513" i="3"/>
  <c r="AY204" i="3"/>
  <c r="AY83" i="3"/>
  <c r="AY322" i="3"/>
  <c r="AY338" i="3"/>
  <c r="AY410" i="3"/>
  <c r="AY96" i="3"/>
  <c r="AY384" i="3"/>
  <c r="AY447" i="3"/>
  <c r="AY360" i="3"/>
  <c r="AY76" i="3"/>
  <c r="AY409" i="3"/>
  <c r="AY443" i="3"/>
  <c r="AY551" i="3"/>
  <c r="AY195" i="3"/>
  <c r="AY218" i="3"/>
  <c r="AY135" i="3"/>
  <c r="AY345" i="3"/>
  <c r="AY419" i="3"/>
  <c r="AY193" i="3"/>
  <c r="AY523" i="3"/>
  <c r="AY271" i="3"/>
  <c r="AY237" i="3"/>
  <c r="AY332" i="3"/>
  <c r="AY549" i="3"/>
  <c r="AY284" i="3"/>
  <c r="AY144" i="3"/>
  <c r="AY307" i="3"/>
  <c r="AY415" i="3"/>
  <c r="AY440" i="3"/>
  <c r="AY298" i="3"/>
  <c r="AY184" i="3"/>
  <c r="BA6" i="3"/>
  <c r="AY369" i="3"/>
  <c r="AY438" i="3"/>
  <c r="AY69" i="3"/>
  <c r="AY527" i="3"/>
  <c r="AY117" i="3"/>
  <c r="AY163" i="3"/>
  <c r="AY259" i="3"/>
  <c r="AY283" i="3"/>
  <c r="AY401" i="3"/>
  <c r="AY74" i="3"/>
  <c r="AY87" i="3"/>
  <c r="AB10" i="39"/>
  <c r="C34" i="34"/>
  <c r="B14" i="74"/>
  <c r="L18" i="9"/>
  <c r="D3" i="34"/>
  <c r="D3" i="33"/>
  <c r="D14" i="12"/>
  <c r="D17" i="12" s="1"/>
  <c r="C17" i="12" s="1"/>
  <c r="E6" i="6"/>
  <c r="D10" i="69" s="1"/>
  <c r="AY386" i="3"/>
  <c r="AY522" i="3"/>
  <c r="AY288" i="3"/>
  <c r="AY399" i="3"/>
  <c r="AY323" i="3"/>
  <c r="AY466" i="3"/>
  <c r="AY509" i="3"/>
  <c r="AY266" i="3"/>
  <c r="AY480" i="3"/>
  <c r="AY20" i="3"/>
  <c r="AY49" i="3"/>
  <c r="AY40" i="3"/>
  <c r="AY481" i="3"/>
  <c r="AY90" i="3"/>
  <c r="AY348" i="3"/>
  <c r="AY166" i="3"/>
  <c r="AY397" i="3"/>
  <c r="AY133" i="3"/>
  <c r="AY420" i="3"/>
  <c r="AY26" i="3"/>
  <c r="AY261" i="3"/>
  <c r="AY225" i="3"/>
  <c r="AY115"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AY315" i="3"/>
  <c r="AY113" i="3"/>
  <c r="AY216" i="3"/>
  <c r="AY205" i="3"/>
  <c r="AY27" i="3"/>
  <c r="AY167" i="3"/>
  <c r="AY453" i="3"/>
  <c r="AY519" i="3"/>
  <c r="AY507" i="3"/>
  <c r="AY212" i="3"/>
  <c r="AY435" i="3"/>
  <c r="AY146" i="3"/>
  <c r="BQ6" i="3"/>
  <c r="AY61" i="3"/>
  <c r="AY257" i="3"/>
  <c r="AY394" i="3"/>
  <c r="AY505" i="3"/>
  <c r="AY174" i="3"/>
  <c r="AY175" i="3"/>
  <c r="AY296" i="3"/>
  <c r="AY418" i="3"/>
  <c r="AY498" i="3"/>
  <c r="AY367" i="3"/>
  <c r="AY70" i="3"/>
  <c r="AY314" i="3"/>
  <c r="AY187" i="3"/>
  <c r="AY502" i="3"/>
  <c r="AY484" i="3"/>
  <c r="AY282" i="3"/>
  <c r="AY514" i="3"/>
  <c r="AY324" i="3"/>
  <c r="AY373" i="3"/>
  <c r="AY84" i="3"/>
  <c r="AY116" i="3"/>
  <c r="AY112" i="3"/>
  <c r="AY454" i="3"/>
  <c r="AY93" i="3"/>
  <c r="AY182" i="3"/>
  <c r="AY355" i="3"/>
  <c r="AY18" i="3"/>
  <c r="AY411" i="3"/>
  <c r="AY333" i="3"/>
  <c r="AY202" i="3"/>
  <c r="AY219" i="3"/>
  <c r="AY165" i="3"/>
  <c r="AY92" i="3"/>
  <c r="AY463" i="3"/>
  <c r="AY529" i="3"/>
  <c r="AY183" i="3"/>
  <c r="AY268" i="3"/>
  <c r="AY155" i="3"/>
  <c r="AY140" i="3"/>
  <c r="D3" i="6"/>
  <c r="D21" i="6" s="1"/>
  <c r="AY129" i="3"/>
  <c r="AY341" i="3"/>
  <c r="AY100" i="3"/>
  <c r="AY467" i="3"/>
  <c r="AY244" i="3"/>
  <c r="AY56" i="3"/>
  <c r="AY441"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42" i="3"/>
  <c r="AY428" i="3"/>
  <c r="AY139" i="3"/>
  <c r="AY168" i="3"/>
  <c r="AY207" i="3"/>
  <c r="AY143" i="3"/>
  <c r="AY402" i="3"/>
  <c r="AY22" i="3"/>
  <c r="AY461" i="3"/>
  <c r="AY86" i="3"/>
  <c r="AY331" i="3"/>
  <c r="AY35" i="3"/>
  <c r="AY487" i="3"/>
  <c r="AY584" i="3"/>
  <c r="AY227" i="3"/>
  <c r="AY497" i="3"/>
  <c r="AY577" i="3"/>
  <c r="BS6" i="3"/>
  <c r="AY36" i="3"/>
  <c r="AY501" i="3"/>
  <c r="AY398" i="3"/>
  <c r="AY353" i="3"/>
  <c r="AY230" i="3"/>
  <c r="AY154" i="3"/>
  <c r="AY97" i="3"/>
  <c r="AY310" i="3"/>
  <c r="AY289" i="3"/>
  <c r="AY297" i="3"/>
  <c r="AY176" i="3"/>
  <c r="AY200" i="3"/>
  <c r="AY151" i="3"/>
  <c r="AY445" i="3"/>
  <c r="AY583" i="3"/>
  <c r="AY102" i="3"/>
  <c r="AY30" i="3"/>
  <c r="AY304" i="3"/>
  <c r="BC6" i="3"/>
  <c r="AY256" i="3"/>
  <c r="AY587" i="3"/>
  <c r="AY376" i="3"/>
  <c r="AY78" i="3"/>
  <c r="AY499" i="3"/>
  <c r="AY328" i="3"/>
  <c r="AY169" i="3"/>
  <c r="AY552" i="3"/>
  <c r="AY215" i="3"/>
  <c r="AY270" i="3"/>
  <c r="AY539" i="3"/>
  <c r="AY455" i="3"/>
  <c r="AY556" i="3"/>
  <c r="AY340" i="3"/>
  <c r="AY389" i="3"/>
  <c r="AY53" i="3"/>
  <c r="AY199" i="3"/>
  <c r="BG6" i="3"/>
  <c r="AY430" i="3"/>
  <c r="AY388" i="3"/>
  <c r="AY73" i="3"/>
  <c r="AY262" i="3"/>
  <c r="AY185" i="3"/>
  <c r="BE6" i="3"/>
  <c r="AY327" i="3"/>
  <c r="AY460" i="3"/>
  <c r="AY160" i="3"/>
  <c r="AY58" i="3"/>
  <c r="AY23" i="3"/>
  <c r="AY64" i="3"/>
  <c r="AY504" i="3"/>
  <c r="AY54" i="3"/>
  <c r="AY476" i="3"/>
  <c r="AY576" i="3"/>
  <c r="AY336" i="3"/>
  <c r="AY241" i="3"/>
  <c r="AY378" i="3"/>
  <c r="AY506" i="3"/>
  <c r="AY158" i="3"/>
  <c r="AY258" i="3"/>
  <c r="AY255" i="3"/>
  <c r="AY489" i="3"/>
  <c r="AY532" i="3"/>
  <c r="AY211" i="3"/>
  <c r="AY526" i="3"/>
  <c r="AY510" i="3"/>
  <c r="AY210" i="3"/>
  <c r="AY104" i="3"/>
  <c r="AY201" i="3"/>
  <c r="AY541" i="3"/>
  <c r="AY358" i="3"/>
  <c r="AY196" i="3"/>
  <c r="AY111" i="3"/>
  <c r="AY34" i="3"/>
  <c r="BT6" i="3"/>
  <c r="AY71" i="3"/>
  <c r="AY19" i="3"/>
  <c r="AY479" i="3"/>
  <c r="AY413" i="3"/>
  <c r="AY528" i="3"/>
  <c r="AY110" i="3"/>
  <c r="AY321" i="3"/>
  <c r="AY550" i="3"/>
  <c r="AY273" i="3"/>
  <c r="AY512" i="3"/>
  <c r="AY221" i="3"/>
  <c r="AY94" i="3"/>
  <c r="AY579" i="3"/>
  <c r="AY313" i="3"/>
  <c r="AY189" i="3"/>
  <c r="AY536" i="3"/>
  <c r="AY275" i="3"/>
  <c r="AY286" i="3"/>
  <c r="AY573" i="3"/>
  <c r="AY350" i="3"/>
  <c r="AY508" i="3"/>
  <c r="AY356" i="3"/>
  <c r="AY222" i="3"/>
  <c r="AY89" i="3"/>
  <c r="AY425" i="3"/>
  <c r="AY495" i="3"/>
  <c r="AY462" i="3"/>
  <c r="AY242" i="3"/>
  <c r="AY109" i="3"/>
  <c r="AY247" i="3"/>
  <c r="AY190" i="3"/>
  <c r="AY533" i="3"/>
  <c r="AY372" i="3"/>
  <c r="AY473" i="3"/>
  <c r="AY50" i="3"/>
  <c r="AY276" i="3"/>
  <c r="AY66" i="3"/>
  <c r="AY265" i="3"/>
  <c r="AY213" i="3"/>
  <c r="AY172" i="3"/>
  <c r="AY15" i="3"/>
  <c r="AY47" i="3"/>
  <c r="BD6" i="3"/>
  <c r="BL6" i="3"/>
  <c r="AY63" i="3"/>
  <c r="AY344" i="3"/>
  <c r="AY520" i="3"/>
  <c r="AY540" i="3"/>
  <c r="AY325" i="3"/>
  <c r="AY85" i="3"/>
  <c r="AY446" i="3"/>
  <c r="AY231" i="3"/>
  <c r="AY470" i="3"/>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C48" i="67"/>
  <c r="C66" i="67" s="1"/>
  <c r="J26" i="82"/>
  <c r="J24" i="82"/>
  <c r="J18" i="82"/>
  <c r="J19" i="82"/>
  <c r="C49" i="82"/>
  <c r="C61" i="82" s="1"/>
  <c r="D21" i="71"/>
  <c r="C20" i="71"/>
  <c r="Q61" i="82"/>
  <c r="Q74" i="82"/>
  <c r="Q60" i="82"/>
  <c r="Q73" i="82"/>
  <c r="C47" i="11"/>
  <c r="D45" i="11" s="1"/>
  <c r="F1" i="82"/>
  <c r="Q52" i="82"/>
  <c r="Q66" i="82"/>
  <c r="Q57" i="82"/>
  <c r="C32" i="82"/>
  <c r="C33" i="82"/>
  <c r="C29" i="68"/>
  <c r="D27" i="68" s="1"/>
  <c r="C47" i="68"/>
  <c r="D45" i="68" s="1"/>
  <c r="C38" i="82"/>
  <c r="L36" i="43"/>
  <c r="L37" i="43" s="1"/>
  <c r="P37" i="43" s="1"/>
  <c r="F24" i="82"/>
  <c r="U10" i="40"/>
  <c r="W10" i="40"/>
  <c r="F25" i="12"/>
  <c r="C26" i="12" s="1"/>
  <c r="D25" i="12" s="1"/>
  <c r="AC10" i="39"/>
  <c r="D3" i="37"/>
  <c r="D19" i="11"/>
  <c r="C19" i="11" s="1"/>
  <c r="D37" i="11"/>
  <c r="C17" i="4"/>
  <c r="B4" i="52" s="1"/>
  <c r="B43" i="72" s="1"/>
  <c r="M18" i="9"/>
  <c r="B118" i="9" s="1"/>
  <c r="B1" i="74" s="1"/>
  <c r="AC6" i="3"/>
  <c r="H6" i="3"/>
  <c r="D116" i="43"/>
  <c r="F22" i="68"/>
  <c r="F41" i="68" s="1"/>
  <c r="F22" i="11"/>
  <c r="C23" i="11" s="1"/>
  <c r="F24" i="67"/>
  <c r="C24" i="67" s="1"/>
  <c r="F24" i="15"/>
  <c r="C24"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4" i="67"/>
  <c r="C17" i="15"/>
  <c r="AE7" i="1"/>
  <c r="F41" i="86"/>
  <c r="C17" i="67"/>
  <c r="C17" i="82"/>
  <c r="C14" i="86"/>
  <c r="C18" i="86" l="1"/>
  <c r="C15" i="86"/>
  <c r="C19" i="86" s="1"/>
  <c r="F69" i="86"/>
  <c r="J29" i="86"/>
  <c r="D25" i="6"/>
  <c r="D15" i="6"/>
  <c r="D22" i="6"/>
  <c r="D23" i="6"/>
  <c r="C18" i="4"/>
  <c r="D19" i="6"/>
  <c r="D29" i="6"/>
  <c r="L19" i="9"/>
  <c r="D10" i="6"/>
  <c r="D20" i="12"/>
  <c r="C20" i="12" s="1"/>
  <c r="D10" i="68"/>
  <c r="D19" i="68" s="1"/>
  <c r="D10" i="11"/>
  <c r="C10" i="11" s="1"/>
  <c r="H21" i="6"/>
  <c r="R21" i="6" s="1"/>
  <c r="E61" i="40"/>
  <c r="D8" i="6"/>
  <c r="D9" i="6"/>
  <c r="D6" i="6"/>
  <c r="H26" i="6"/>
  <c r="D28" i="6"/>
  <c r="D30" i="6" s="1"/>
  <c r="D13" i="6"/>
  <c r="M19" i="9"/>
  <c r="C118" i="9" s="1"/>
  <c r="D14" i="6"/>
  <c r="D11" i="6"/>
  <c r="D20" i="6"/>
  <c r="D26" i="6"/>
  <c r="D12" i="6"/>
  <c r="D24" i="6"/>
  <c r="D5" i="6"/>
  <c r="H34" i="34"/>
  <c r="F34" i="34"/>
  <c r="J34" i="34"/>
  <c r="C60" i="67"/>
  <c r="O36" i="43"/>
  <c r="H22" i="6"/>
  <c r="T20" i="71"/>
  <c r="C19" i="71"/>
  <c r="D20" i="71"/>
  <c r="U20" i="71" s="1"/>
  <c r="C48" i="82"/>
  <c r="E7" i="70"/>
  <c r="C26" i="68"/>
  <c r="D22" i="68" s="1"/>
  <c r="C44" i="68"/>
  <c r="D41" i="68" s="1"/>
  <c r="M37" i="43"/>
  <c r="P36" i="43"/>
  <c r="O37" i="43"/>
  <c r="N36" i="43"/>
  <c r="Q37" i="43"/>
  <c r="Q36" i="43"/>
  <c r="C24" i="82"/>
  <c r="N37" i="43"/>
  <c r="M36" i="43"/>
  <c r="H24" i="6"/>
  <c r="C26" i="11"/>
  <c r="D22" i="11" s="1"/>
  <c r="C44" i="11"/>
  <c r="D41" i="11" s="1"/>
  <c r="H25" i="6"/>
  <c r="R25" i="6" s="1"/>
  <c r="R12" i="1" s="1"/>
  <c r="E6" i="3"/>
  <c r="C25" i="11"/>
  <c r="C24" i="11"/>
  <c r="C44" i="69"/>
  <c r="D41" i="69" s="1"/>
  <c r="C26" i="69"/>
  <c r="D22" i="69"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2"/>
  <c r="F41" i="82"/>
  <c r="B6" i="76"/>
  <c r="C14" i="15"/>
  <c r="E6" i="76"/>
  <c r="C20" i="86" l="1"/>
  <c r="C26" i="86" s="1"/>
  <c r="C23" i="86"/>
  <c r="C29" i="86" s="1"/>
  <c r="R8" i="1"/>
  <c r="R22" i="6"/>
  <c r="R9" i="1" s="1"/>
  <c r="D27" i="6"/>
  <c r="D16" i="6"/>
  <c r="C10" i="68"/>
  <c r="B29" i="1" s="1"/>
  <c r="C8" i="68" s="1"/>
  <c r="C5" i="68" s="1"/>
  <c r="C23" i="68" s="1"/>
  <c r="R26" i="6"/>
  <c r="R20" i="6"/>
  <c r="R7" i="1" s="1"/>
  <c r="AB34" i="34"/>
  <c r="T49" i="34" s="1"/>
  <c r="G49" i="34" s="1"/>
  <c r="U34" i="34"/>
  <c r="R24" i="6"/>
  <c r="R11" i="1" s="1"/>
  <c r="AC34" i="34"/>
  <c r="V49" i="34" s="1"/>
  <c r="I49" i="34" s="1"/>
  <c r="W34" i="34"/>
  <c r="AA34" i="34"/>
  <c r="R49" i="34" s="1"/>
  <c r="S34" i="34"/>
  <c r="D31" i="6"/>
  <c r="C14" i="74" s="1"/>
  <c r="B2" i="74" s="1"/>
  <c r="F69" i="82"/>
  <c r="J29" i="82"/>
  <c r="C66" i="82"/>
  <c r="C60" i="82"/>
  <c r="C18" i="71"/>
  <c r="D19" i="71"/>
  <c r="C18" i="82"/>
  <c r="C15" i="82"/>
  <c r="E2" i="70"/>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F35" i="86"/>
  <c r="M21" i="86"/>
  <c r="Q49" i="86" l="1"/>
  <c r="J14" i="86"/>
  <c r="J22" i="86" s="1"/>
  <c r="C36" i="86"/>
  <c r="J59" i="86"/>
  <c r="J60" i="86" s="1"/>
  <c r="Q48" i="86" s="1"/>
  <c r="C13" i="86"/>
  <c r="C56" i="86" s="1"/>
  <c r="C65" i="86" s="1"/>
  <c r="C57" i="86"/>
  <c r="C64" i="86" s="1"/>
  <c r="C37" i="86"/>
  <c r="Q70" i="86"/>
  <c r="C75" i="86"/>
  <c r="J13" i="86"/>
  <c r="J23" i="86" s="1"/>
  <c r="J20" i="86"/>
  <c r="J17" i="86" s="1"/>
  <c r="F63" i="86"/>
  <c r="C62" i="86" s="1"/>
  <c r="C59" i="86" s="1"/>
  <c r="C58" i="86" s="1"/>
  <c r="C67" i="86" s="1"/>
  <c r="C68" i="86" s="1"/>
  <c r="C34" i="86"/>
  <c r="C31" i="86" s="1"/>
  <c r="C18" i="12"/>
  <c r="C21" i="12" s="1"/>
  <c r="C22" i="12" s="1"/>
  <c r="I5" i="6"/>
  <c r="R50" i="34"/>
  <c r="E49" i="34"/>
  <c r="I54" i="34" s="1"/>
  <c r="J54" i="34" s="1"/>
  <c r="I53" i="34"/>
  <c r="J53" i="34" s="1"/>
  <c r="I6" i="6"/>
  <c r="G53" i="34"/>
  <c r="H53" i="34" s="1"/>
  <c r="G54" i="34"/>
  <c r="H54" i="34" s="1"/>
  <c r="D8" i="74"/>
  <c r="D7" i="74"/>
  <c r="C19" i="82"/>
  <c r="C20" i="82" s="1"/>
  <c r="C23" i="8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6" l="1"/>
  <c r="C30" i="86"/>
  <c r="C39" i="86" s="1"/>
  <c r="C80" i="86" s="1"/>
  <c r="C79" i="86" s="1"/>
  <c r="J16" i="86"/>
  <c r="J25" i="86" s="1"/>
  <c r="C40" i="86"/>
  <c r="C46" i="86" s="1"/>
  <c r="C71" i="86"/>
  <c r="C30" i="12"/>
  <c r="C28" i="12" s="1"/>
  <c r="E53" i="34"/>
  <c r="F53" i="34" s="1"/>
  <c r="E54" i="34"/>
  <c r="F54" i="34" s="1"/>
  <c r="C49" i="34"/>
  <c r="C50" i="34"/>
  <c r="C27" i="12"/>
  <c r="C25" i="12" s="1"/>
  <c r="C16" i="71"/>
  <c r="D17" i="71"/>
  <c r="C26" i="82"/>
  <c r="C29" i="8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2"/>
  <c r="M21" i="67"/>
  <c r="F35" i="15"/>
  <c r="M21" i="15"/>
  <c r="L51" i="86"/>
  <c r="F35" i="82"/>
  <c r="F35" i="67"/>
  <c r="Q69" i="86" l="1"/>
  <c r="Q68" i="86" s="1"/>
  <c r="C32" i="12"/>
  <c r="B2" i="12" s="1"/>
  <c r="B3" i="12" s="1"/>
  <c r="Q67" i="86"/>
  <c r="C43" i="86"/>
  <c r="Q56" i="86"/>
  <c r="Q62" i="86" s="1"/>
  <c r="Q65" i="86"/>
  <c r="Q75" i="86" s="1"/>
  <c r="Q47" i="86"/>
  <c r="Q53" i="86" s="1"/>
  <c r="B2" i="86"/>
  <c r="B3" i="86" s="1"/>
  <c r="C83" i="86"/>
  <c r="C82" i="86" s="1"/>
  <c r="E48" i="21"/>
  <c r="C15" i="71"/>
  <c r="T16" i="71"/>
  <c r="D16" i="71"/>
  <c r="U16" i="71" s="1"/>
  <c r="Q49" i="82"/>
  <c r="J14" i="82"/>
  <c r="J59" i="82"/>
  <c r="J60" i="82" s="1"/>
  <c r="C13" i="82"/>
  <c r="C57" i="82"/>
  <c r="C64" i="82" s="1"/>
  <c r="C36" i="82"/>
  <c r="J20" i="82"/>
  <c r="J17" i="82" s="1"/>
  <c r="F63" i="82"/>
  <c r="C62" i="82" s="1"/>
  <c r="C59" i="82" s="1"/>
  <c r="C34" i="82"/>
  <c r="C31" i="8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Q70" i="15" l="1"/>
  <c r="E74" i="15"/>
  <c r="E75" i="15" s="1"/>
  <c r="I42" i="35"/>
  <c r="J42" i="35" s="1"/>
  <c r="C14" i="71"/>
  <c r="D15" i="71"/>
  <c r="C37" i="82"/>
  <c r="C30" i="82" s="1"/>
  <c r="C39" i="82" s="1"/>
  <c r="Q69" i="82" s="1"/>
  <c r="Q70" i="82"/>
  <c r="C56" i="82"/>
  <c r="C65" i="82" s="1"/>
  <c r="C58" i="82" s="1"/>
  <c r="C67" i="82" s="1"/>
  <c r="C68" i="82" s="1"/>
  <c r="C75" i="82"/>
  <c r="Q48" i="82"/>
  <c r="L46" i="82"/>
  <c r="J13" i="82"/>
  <c r="J23" i="82" s="1"/>
  <c r="J22" i="82"/>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0" i="82" l="1"/>
  <c r="C46" i="82" s="1"/>
  <c r="D14" i="71"/>
  <c r="C13" i="71"/>
  <c r="Q68" i="82"/>
  <c r="J16" i="82"/>
  <c r="J25" i="82" s="1"/>
  <c r="C71" i="82"/>
  <c r="C80" i="82"/>
  <c r="C79" i="82" s="1"/>
  <c r="C80" i="67"/>
  <c r="C79" i="67" s="1"/>
  <c r="C40" i="67"/>
  <c r="C45" i="67" s="1"/>
  <c r="C56" i="11"/>
  <c r="C57" i="11" s="1"/>
  <c r="B2" i="21"/>
  <c r="B3" i="21" s="1"/>
  <c r="J16" i="15"/>
  <c r="J25" i="15" s="1"/>
  <c r="J26" i="15" s="1"/>
  <c r="C58" i="15"/>
  <c r="C67" i="15" s="1"/>
  <c r="C30" i="15"/>
  <c r="C39" i="15" s="1"/>
  <c r="O67" i="39"/>
  <c r="O69" i="39" s="1"/>
  <c r="N69" i="39"/>
  <c r="F7" i="39"/>
  <c r="C39" i="35"/>
  <c r="C38" i="35"/>
  <c r="N63" i="40"/>
  <c r="M65" i="40"/>
  <c r="E43" i="35"/>
  <c r="F43" i="35" s="1"/>
  <c r="E42" i="35"/>
  <c r="F42" i="35" s="1"/>
  <c r="I43" i="35"/>
  <c r="J43" i="35" s="1"/>
  <c r="L51" i="82"/>
  <c r="D2" i="33"/>
  <c r="L51" i="67"/>
  <c r="Q56" i="82" l="1"/>
  <c r="Q62" i="82" s="1"/>
  <c r="Q69" i="15"/>
  <c r="Q68" i="15" s="1"/>
  <c r="E76" i="15"/>
  <c r="E80" i="15" s="1"/>
  <c r="B2" i="82"/>
  <c r="B3" i="82" s="1"/>
  <c r="Q47" i="82"/>
  <c r="Q53" i="82" s="1"/>
  <c r="C83" i="82"/>
  <c r="C82" i="82" s="1"/>
  <c r="C43" i="82"/>
  <c r="Q65" i="82"/>
  <c r="Q75" i="82" s="1"/>
  <c r="Q67" i="82"/>
  <c r="C12" i="71"/>
  <c r="D13"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6"/>
  <c r="D2" i="35"/>
  <c r="AE6" i="1"/>
  <c r="D2" i="37"/>
  <c r="L51" i="15"/>
  <c r="D2" i="34"/>
  <c r="D12" i="71" l="1"/>
  <c r="U12" i="71" s="1"/>
  <c r="C11" i="71"/>
  <c r="T12" i="71"/>
  <c r="Q57" i="67"/>
  <c r="Q62" i="67" s="1"/>
  <c r="Q66" i="67"/>
  <c r="Q75" i="67" s="1"/>
  <c r="B3" i="67"/>
  <c r="L57" i="15"/>
  <c r="L60" i="15" s="1"/>
  <c r="Q57" i="15" s="1"/>
  <c r="Q67" i="15"/>
  <c r="B2" i="36"/>
  <c r="B3" i="36" s="1"/>
  <c r="B2" i="35"/>
  <c r="B3" i="35" s="1"/>
  <c r="M3" i="35"/>
  <c r="B2" i="37"/>
  <c r="B3" i="37" s="1"/>
  <c r="B2" i="34"/>
  <c r="W7" i="39"/>
  <c r="AC7" i="39"/>
  <c r="V47" i="39" s="1"/>
  <c r="I47" i="39" s="1"/>
  <c r="E47" i="39"/>
  <c r="R48" i="39"/>
  <c r="U7" i="39"/>
  <c r="AB7" i="39"/>
  <c r="T47" i="39" s="1"/>
  <c r="G47" i="39" s="1"/>
  <c r="J7" i="40"/>
  <c r="F7" i="40"/>
  <c r="H7" i="40"/>
  <c r="F41" i="15"/>
  <c r="AO10" i="1"/>
  <c r="AO12" i="1"/>
  <c r="AO7" i="1"/>
  <c r="AO11" i="1"/>
  <c r="AO8" i="1"/>
  <c r="AO9" i="1"/>
  <c r="C19" i="9"/>
  <c r="J29" i="15" l="1"/>
  <c r="F69" i="15"/>
  <c r="C68" i="15" s="1"/>
  <c r="C71" i="15" s="1"/>
  <c r="C40" i="15"/>
  <c r="C46" i="15" s="1"/>
  <c r="C10" i="71"/>
  <c r="D11" i="71"/>
  <c r="C102" i="9"/>
  <c r="C21" i="9"/>
  <c r="B3" i="34"/>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43" i="15" l="1"/>
  <c r="Q47" i="15"/>
  <c r="Q53" i="15" s="1"/>
  <c r="Q56" i="15"/>
  <c r="Q62" i="15" s="1"/>
  <c r="Q75" i="15"/>
  <c r="B2" i="15"/>
  <c r="Q65" i="15"/>
  <c r="C83" i="15"/>
  <c r="C82" i="15" s="1"/>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15"/>
  <c r="D9" i="71"/>
  <c r="C8" i="71"/>
  <c r="C42" i="40"/>
  <c r="C43" i="40"/>
  <c r="E47" i="40"/>
  <c r="F47" i="40" s="1"/>
  <c r="E46" i="40"/>
  <c r="F46" i="40" s="1"/>
  <c r="I47" i="40"/>
  <c r="J47" i="40" s="1"/>
  <c r="D19" i="9"/>
  <c r="D20" i="9"/>
  <c r="G19" i="9" l="1"/>
  <c r="D102" i="9"/>
  <c r="D21" i="9"/>
  <c r="D22" i="9"/>
  <c r="F35" i="9"/>
  <c r="F34" i="9" s="1"/>
  <c r="G21" i="9"/>
  <c r="D14" i="74"/>
  <c r="G14" i="74" s="1"/>
  <c r="D8" i="71"/>
  <c r="C7" i="71"/>
  <c r="G20" i="9"/>
  <c r="C32" i="9" s="1"/>
  <c r="C35" i="9" s="1"/>
  <c r="D35"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E14" i="74"/>
  <c r="F14" i="74"/>
  <c r="B5" i="74"/>
  <c r="D5" i="74" s="1"/>
  <c r="D34" i="9"/>
  <c r="D6" i="71" l="1"/>
  <c r="C5" i="71"/>
  <c r="D5" i="71" s="1"/>
  <c r="M24" i="43" s="1"/>
  <c r="B6" i="74"/>
  <c r="D6" i="74" s="1"/>
  <c r="D118" i="9"/>
  <c r="D119" i="9" s="1"/>
  <c r="D5" i="52" s="1"/>
  <c r="B49" i="72" s="1"/>
  <c r="F118" i="9"/>
  <c r="G118" i="9" s="1"/>
  <c r="G4" i="52" s="1"/>
  <c r="B52" i="72" s="1"/>
  <c r="H118" i="9"/>
  <c r="I118" i="9" s="1"/>
  <c r="H101" i="9" l="1"/>
  <c r="H4" i="52"/>
  <c r="C104" i="9"/>
  <c r="H119" i="9"/>
  <c r="H5" i="52" s="1"/>
  <c r="D4" i="52"/>
  <c r="B47" i="72" s="1"/>
  <c r="H102" i="9"/>
  <c r="C105" i="9"/>
  <c r="I4" i="52"/>
  <c r="E118" i="9"/>
  <c r="E4" i="52" s="1"/>
  <c r="B48" i="72" s="1"/>
  <c r="F119" i="9"/>
  <c r="F5" i="52" s="1"/>
  <c r="B53" i="72" s="1"/>
  <c r="M48" i="9"/>
  <c r="D5" i="53"/>
  <c r="F4" i="52"/>
  <c r="B51" i="72" s="1"/>
  <c r="D45" i="9" l="1"/>
  <c r="H107" i="9"/>
  <c r="D6" i="53"/>
  <c r="B22" i="72" s="1"/>
  <c r="B20" i="72"/>
  <c r="C5" i="74"/>
  <c r="D7" i="53"/>
  <c r="B21" i="72" s="1"/>
  <c r="D13" i="53" l="1"/>
  <c r="M49" i="9"/>
  <c r="H108" i="9"/>
  <c r="D122" i="9"/>
  <c r="C93" i="9"/>
  <c r="C86" i="9" s="1"/>
  <c r="D52" i="9"/>
  <c r="C85" i="9"/>
  <c r="C78" i="9"/>
  <c r="C73" i="9" s="1"/>
  <c r="C64" i="9"/>
  <c r="C63" i="9" s="1"/>
  <c r="C67" i="9" s="1"/>
  <c r="C72" i="9"/>
  <c r="D53" i="9"/>
  <c r="D55" i="9"/>
  <c r="M53" i="9" s="1"/>
  <c r="C79" i="9" l="1"/>
  <c r="C80" i="9" s="1"/>
  <c r="E80" i="9" s="1"/>
  <c r="E81" i="9" s="1"/>
  <c r="D123" i="9"/>
  <c r="D9" i="52" s="1"/>
  <c r="D8" i="52"/>
  <c r="D15" i="53"/>
  <c r="B31" i="72" s="1"/>
  <c r="C6" i="74"/>
  <c r="C68" i="9"/>
  <c r="D54" i="9" s="1"/>
  <c r="D59" i="9"/>
  <c r="M55" i="9" s="1"/>
  <c r="C95" i="9"/>
  <c r="C96" i="9" s="1"/>
  <c r="E96" i="9" s="1"/>
  <c r="E97" i="9" s="1"/>
  <c r="L68" i="9"/>
  <c r="M68" i="9" s="1"/>
  <c r="L64" i="9"/>
  <c r="M64" i="9" s="1"/>
  <c r="L63" i="9"/>
  <c r="M63" i="9" s="1"/>
  <c r="L67" i="9"/>
  <c r="M67" i="9" s="1"/>
  <c r="L65" i="9"/>
  <c r="M65" i="9" s="1"/>
  <c r="L66" i="9"/>
  <c r="M66" i="9" s="1"/>
  <c r="D14" i="53"/>
  <c r="B32" i="72" s="1"/>
  <c r="B30" i="72"/>
  <c r="C81" i="9"/>
  <c r="C97" i="9" l="1"/>
  <c r="D58" i="9" s="1"/>
  <c r="D56" i="9" s="1"/>
  <c r="M54" i="9" s="1"/>
  <c r="N57" i="9" s="1"/>
  <c r="P57" i="9" s="1"/>
  <c r="M69" i="9"/>
  <c r="N69"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<sst xmlns="http://schemas.openxmlformats.org/spreadsheetml/2006/main" count="8997" uniqueCount="3650">
  <si>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</si>
  <si>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</si>
  <si>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</si>
  <si>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</si>
  <si>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</si>
  <si>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</si>
  <si>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</si>
  <si>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</si>
  <si>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</si>
  <si>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</si>
  <si>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</si>
  <si>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</si>
  <si>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</si>
  <si>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</si>
  <si>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</si>
  <si>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</si>
  <si>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</si>
  <si>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</si>
  <si>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</si>
  <si>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</si>
  <si>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</si>
  <si>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</si>
  <si>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</si>
  <si>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</si>
  <si>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</si>
  <si>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</si>
  <si>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</si>
  <si>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</si>
  <si>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</si>
  <si>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</si>
  <si>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</si>
  <si>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</si>
  <si>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</si>
  <si>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</si>
  <si>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</si>
  <si>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</si>
  <si>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</si>
  <si>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</si>
  <si>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</si>
  <si>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</si>
  <si>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</si>
  <si>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</si>
  <si>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</si>
  <si>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</si>
  <si>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</si>
  <si>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</si>
  <si>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</si>
  <si>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</si>
  <si>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</si>
  <si>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</si>
  <si>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</si>
  <si>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</si>
  <si>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</si>
  <si>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</si>
  <si>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</si>
  <si>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</si>
  <si>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</si>
  <si>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</si>
  <si>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</si>
  <si>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</si>
  <si>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</si>
  <si>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</si>
  <si>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</si>
  <si>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</si>
  <si>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</si>
  <si>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</si>
  <si>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</si>
  <si>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</si>
  <si>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</si>
  <si>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</si>
  <si>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</si>
  <si>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</si>
  <si>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</si>
  <si>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</si>
  <si>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</si>
  <si>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</si>
  <si>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</si>
  <si>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</si>
  <si>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</si>
  <si>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</si>
  <si>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</si>
  <si>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</si>
  <si>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</si>
  <si>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</si>
  <si>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</si>
  <si>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</si>
  <si>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</si>
  <si>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</si>
  <si>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</si>
  <si>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</si>
  <si>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</si>
  <si>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</si>
  <si>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</si>
  <si>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</si>
  <si>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</si>
  <si>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</si>
  <si>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</si>
  <si>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</si>
  <si>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</si>
  <si>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</si>
  <si>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</si>
  <si>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</si>
  <si>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</si>
  <si>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</si>
  <si>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</si>
  <si>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</si>
  <si>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</si>
  <si>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</si>
  <si>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</si>
  <si>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</si>
  <si>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</si>
  <si>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</si>
  <si>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</si>
  <si>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</si>
  <si>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</si>
  <si>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</si>
  <si>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</si>
  <si>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</si>
  <si>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</si>
  <si>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</si>
  <si>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</si>
  <si>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</si>
  <si>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</si>
  <si>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</si>
  <si>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</si>
  <si>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</si>
  <si>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</si>
  <si>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</si>
  <si>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</si>
  <si>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</si>
  <si>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</si>
  <si>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</si>
  <si>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</si>
  <si>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</si>
  <si>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</si>
  <si>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</si>
  <si>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</si>
  <si>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</si>
  <si>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</si>
  <si>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</si>
  <si>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</si>
  <si>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</si>
  <si>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</si>
  <si>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</si>
  <si>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</si>
  <si>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</si>
  <si>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</si>
  <si>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</si>
  <si>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</si>
  <si>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</si>
  <si>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</si>
  <si>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</si>
  <si>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</si>
  <si>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</si>
  <si>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</si>
  <si>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</si>
  <si>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</si>
  <si>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</si>
  <si>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</si>
  <si>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</si>
  <si>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</si>
  <si>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</si>
  <si>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</si>
  <si>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</si>
  <si>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</si>
  <si>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</si>
  <si>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</si>
  <si>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</si>
  <si>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</si>
  <si>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</si>
  <si>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</si>
  <si>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</si>
  <si>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</si>
  <si>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</si>
  <si>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</si>
  <si>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</si>
  <si>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</si>
  <si>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</si>
  <si>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</si>
  <si>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</si>
  <si>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</si>
  <si>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</si>
  <si>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</si>
  <si>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</si>
  <si>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</si>
  <si>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</si>
  <si>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</si>
  <si>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</si>
  <si>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</si>
  <si>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</si>
  <si>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</si>
  <si>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</si>
  <si>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</si>
  <si>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</si>
  <si>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</si>
  <si>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</si>
  <si>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</si>
  <si>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</si>
  <si>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</si>
  <si>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</si>
  <si>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</si>
  <si>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</si>
  <si>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</si>
  <si>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</si>
  <si>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</si>
  <si>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</si>
  <si>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</si>
  <si>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</si>
  <si>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</si>
  <si>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</si>
  <si>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</si>
  <si>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</si>
  <si>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</si>
  <si>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</si>
  <si>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</si>
  <si>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</si>
  <si>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</si>
  <si>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</si>
  <si>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</si>
  <si>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</si>
  <si>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</si>
  <si>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</si>
  <si>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</si>
  <si>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</si>
  <si>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</si>
  <si>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</si>
  <si>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</si>
  <si>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</si>
  <si>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</si>
  <si>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</si>
  <si>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</si>
  <si>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</si>
  <si>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</si>
  <si>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</si>
  <si>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</si>
  <si>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</si>
  <si>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</si>
  <si>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</si>
  <si>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</si>
  <si>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</si>
  <si>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</si>
  <si>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</si>
  <si>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</si>
  <si>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</si>
  <si>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</si>
  <si>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</si>
  <si>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</si>
  <si>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</si>
  <si>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</si>
  <si>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</si>
  <si>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</si>
  <si>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</si>
  <si>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</si>
  <si>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</si>
  <si>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</si>
  <si>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</si>
  <si>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</si>
  <si>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</si>
  <si>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</si>
  <si>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</si>
  <si>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</si>
  <si>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</si>
  <si>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</si>
  <si>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</si>
  <si>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</si>
  <si>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</si>
  <si>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</si>
  <si>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</si>
  <si>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</si>
  <si>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</si>
  <si>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</si>
  <si>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</si>
  <si>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</si>
  <si>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</si>
  <si>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</si>
  <si>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</si>
  <si>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</si>
  <si>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</si>
  <si>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</si>
  <si>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</si>
  <si>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</si>
  <si>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</si>
  <si>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</si>
  <si>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</si>
  <si>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</si>
  <si>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</si>
  <si>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</si>
  <si>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</si>
  <si>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</si>
  <si>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</si>
  <si>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</si>
  <si>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</si>
  <si>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</si>
  <si>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</si>
  <si>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</si>
  <si>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</si>
  <si>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</si>
  <si>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</si>
  <si>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</si>
  <si>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</si>
  <si>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</si>
  <si>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</si>
  <si>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</si>
  <si>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</si>
  <si>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</si>
  <si>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</si>
  <si>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</si>
  <si>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</si>
  <si>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</si>
  <si>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</si>
  <si>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</si>
  <si>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</si>
  <si>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</si>
  <si>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</si>
  <si>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</si>
  <si>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</si>
  <si>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</si>
  <si>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</si>
  <si>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</si>
  <si>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</si>
  <si>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</si>
  <si>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</si>
  <si>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</si>
  <si>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</si>
  <si>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</si>
  <si>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</si>
  <si>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</si>
  <si>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</si>
  <si>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</si>
  <si>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</si>
  <si>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</si>
  <si>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</si>
  <si>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</si>
  <si>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</si>
  <si>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</si>
  <si>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</si>
  <si>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</si>
  <si>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</si>
  <si>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</si>
  <si>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</si>
  <si>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</si>
  <si>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</si>
  <si>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</si>
  <si>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</si>
  <si>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</si>
  <si>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</si>
  <si>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</si>
  <si>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</si>
  <si>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</si>
  <si>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</si>
  <si>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</si>
  <si>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</si>
  <si>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</si>
  <si>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</si>
  <si>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</si>
  <si>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</si>
  <si>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</si>
  <si>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</si>
  <si>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</si>
  <si>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</si>
  <si>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</si>
  <si>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</si>
  <si>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</si>
  <si>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</si>
  <si>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</si>
  <si>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</si>
  <si>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</si>
  <si>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</si>
  <si>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</si>
  <si>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</si>
  <si>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</si>
  <si>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</si>
  <si>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</si>
  <si>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</si>
  <si>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</si>
  <si>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</si>
  <si>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</si>
  <si>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</si>
  <si>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</si>
  <si>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</si>
  <si>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</si>
  <si>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</si>
  <si>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</si>
  <si>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</si>
  <si>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</si>
  <si>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</si>
  <si>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</si>
  <si>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</si>
  <si>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</si>
  <si>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</si>
  <si>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</si>
  <si>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</si>
  <si>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</si>
  <si>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</si>
  <si>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</si>
  <si>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</si>
  <si>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</si>
  <si>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</si>
  <si>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</si>
  <si>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</si>
  <si>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</si>
  <si>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</si>
  <si>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</si>
  <si>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</si>
  <si>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</si>
  <si>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</si>
  <si>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</si>
  <si>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</si>
  <si>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</si>
  <si>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</si>
  <si>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</si>
  <si>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</si>
  <si>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</si>
  <si>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</si>
  <si>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</si>
  <si>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</si>
  <si>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</si>
  <si>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</si>
  <si>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</si>
  <si>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</si>
  <si>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</si>
  <si>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</si>
  <si>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</si>
  <si>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</si>
  <si>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</si>
  <si>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</si>
  <si>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</si>
  <si>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</si>
  <si>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</si>
  <si>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</si>
  <si>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</si>
  <si>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</si>
  <si>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</si>
  <si>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</si>
  <si>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</si>
  <si>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</si>
  <si>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</si>
  <si>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</si>
  <si>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</si>
  <si>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</si>
  <si>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</si>
  <si>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</si>
  <si>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</si>
  <si>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</si>
  <si>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</si>
  <si>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</si>
  <si>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</si>
  <si>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</si>
  <si>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</si>
  <si>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</si>
  <si>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</si>
  <si>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</si>
  <si>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</si>
  <si>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</si>
  <si>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</si>
  <si>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</si>
  <si>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</si>
  <si>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</si>
  <si>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</si>
  <si>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</si>
  <si>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</si>
  <si>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</si>
  <si>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</si>
  <si>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</si>
  <si>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</si>
  <si>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</si>
  <si>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</si>
  <si>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</si>
  <si>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</si>
  <si>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</si>
  <si>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</si>
  <si>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</si>
  <si>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</si>
  <si>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</si>
  <si>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</si>
  <si>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</si>
  <si>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</si>
  <si>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</si>
  <si>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</si>
  <si>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</si>
  <si>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</si>
  <si>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</si>
  <si>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</si>
  <si>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</si>
  <si>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</si>
  <si>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</si>
  <si>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</si>
  <si>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</si>
  <si>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</si>
  <si>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</si>
  <si>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</si>
  <si>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</si>
  <si>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</si>
  <si>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</si>
  <si>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</si>
  <si>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</si>
  <si>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</si>
  <si>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</si>
  <si>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</si>
  <si>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</si>
  <si>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</si>
  <si>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</si>
  <si>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</si>
  <si>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</si>
  <si>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</si>
  <si>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</si>
  <si>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</si>
  <si>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</si>
  <si>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</si>
  <si>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</si>
  <si>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</si>
  <si>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</si>
  <si>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</si>
  <si>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</si>
  <si>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</si>
  <si>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</si>
  <si>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</si>
  <si>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</si>
  <si>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</si>
  <si>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</si>
  <si>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</si>
  <si>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</si>
  <si>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</si>
  <si>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</si>
  <si>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</si>
  <si>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</si>
  <si>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</si>
  <si>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</si>
  <si>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</si>
  <si>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</si>
  <si>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</si>
  <si>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</si>
  <si>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</si>
  <si>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</si>
  <si>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</si>
  <si>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</si>
  <si>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</si>
  <si>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</si>
  <si>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</si>
  <si>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</si>
  <si>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</si>
  <si>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</si>
  <si>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</si>
  <si>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</si>
  <si>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</si>
  <si>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</si>
  <si>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</si>
  <si>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</si>
  <si>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</si>
  <si>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</si>
  <si>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</si>
  <si>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</si>
  <si>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</si>
  <si>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</si>
  <si>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</si>
  <si>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</si>
  <si>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</si>
  <si>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</si>
  <si>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</si>
  <si>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</si>
  <si>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</si>
  <si>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</si>
  <si>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</si>
  <si>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</si>
  <si>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</si>
  <si>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</si>
  <si>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</si>
  <si>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</si>
  <si>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</si>
  <si>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</si>
  <si>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</si>
  <si>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</si>
  <si>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</si>
  <si>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</si>
  <si>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</si>
  <si>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</si>
  <si>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</si>
  <si>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</si>
  <si>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</si>
  <si>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</si>
  <si>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</si>
  <si>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</si>
  <si>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</si>
  <si>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</si>
  <si>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</si>
  <si>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</si>
  <si>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</si>
  <si>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</si>
  <si>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</si>
  <si>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</si>
  <si>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</si>
  <si>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</si>
  <si>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</si>
  <si>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</si>
  <si>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</si>
  <si>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</si>
  <si>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</si>
  <si>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</si>
  <si>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</si>
  <si>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</si>
  <si>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</si>
  <si>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</si>
  <si>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</si>
  <si>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</si>
  <si>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</si>
  <si>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</si>
  <si>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</si>
  <si>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</si>
  <si>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</si>
  <si>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</si>
  <si>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</si>
  <si>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</si>
  <si>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</si>
  <si>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</si>
  <si>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</si>
  <si>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</si>
  <si>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</si>
  <si>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</si>
  <si>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</si>
  <si>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</si>
  <si>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</si>
  <si>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</si>
  <si>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</si>
  <si>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</si>
  <si>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</si>
  <si>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</si>
  <si>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</si>
  <si>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</si>
  <si>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</si>
  <si>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</si>
  <si>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</si>
  <si>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</si>
  <si>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</si>
  <si>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</si>
  <si>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</si>
  <si>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</si>
  <si>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</si>
  <si>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</si>
  <si>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</si>
  <si>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</si>
  <si>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</si>
  <si>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</si>
  <si>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</si>
  <si>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</si>
  <si>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</si>
  <si>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</si>
  <si>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</si>
  <si>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</si>
  <si>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</si>
  <si>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</si>
  <si>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</si>
  <si>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</si>
  <si>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</si>
  <si>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</si>
  <si>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</si>
  <si>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</si>
  <si>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</si>
  <si>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</si>
  <si>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</si>
  <si>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</si>
  <si>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</si>
  <si>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</si>
  <si>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</si>
  <si>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</si>
  <si>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</si>
  <si>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</si>
  <si>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</si>
  <si>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</si>
  <si>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</si>
  <si>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</si>
  <si>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</si>
  <si>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</si>
  <si>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</si>
  <si>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</si>
  <si>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</si>
  <si>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</si>
  <si>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</si>
  <si>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</si>
  <si>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</si>
  <si>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</si>
  <si>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</si>
  <si>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</si>
  <si>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</si>
  <si>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</si>
  <si>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</si>
  <si>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</si>
  <si>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</si>
  <si>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</si>
  <si>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</si>
  <si>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</si>
  <si>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</si>
  <si>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</si>
  <si>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</si>
  <si>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</si>
  <si>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</si>
  <si>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</si>
  <si>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</si>
  <si>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</si>
  <si>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</si>
  <si>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</si>
  <si>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</si>
  <si>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</si>
  <si>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</si>
  <si>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</si>
  <si>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</si>
  <si>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</si>
  <si>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</si>
  <si>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</si>
  <si>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</si>
  <si>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</si>
  <si>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</si>
  <si>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</si>
  <si>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</si>
  <si>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</si>
  <si>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</si>
  <si>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</si>
  <si>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</si>
  <si>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</si>
  <si>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</si>
  <si>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</si>
  <si>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</si>
  <si>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</si>
  <si>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</si>
  <si>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</si>
  <si>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</si>
  <si>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</si>
  <si>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</si>
  <si>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</si>
  <si>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</si>
  <si>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</si>
  <si>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</si>
  <si>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</si>
  <si>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</si>
  <si>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</si>
  <si>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</si>
  <si>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</si>
  <si>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</si>
  <si>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</si>
  <si>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</si>
  <si>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</si>
  <si>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</si>
  <si>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</si>
  <si>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</si>
  <si>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</si>
  <si>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</si>
  <si>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</si>
  <si>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</si>
  <si>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</si>
  <si>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</si>
  <si>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</si>
  <si>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</si>
  <si>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</si>
  <si>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</si>
  <si>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</si>
  <si>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</si>
  <si>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</si>
  <si>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</si>
  <si>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</si>
  <si>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</si>
  <si>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</si>
  <si>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</si>
  <si>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</si>
  <si>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</si>
  <si>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</si>
  <si>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</si>
  <si>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</si>
  <si>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</si>
  <si>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</si>
  <si>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</si>
  <si>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</si>
  <si>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</si>
  <si>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</si>
  <si>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</si>
  <si>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</si>
  <si>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</si>
  <si>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</si>
  <si>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</si>
  <si>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</si>
  <si>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</si>
  <si>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</si>
  <si>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</si>
  <si>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</si>
  <si>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</si>
  <si>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</si>
  <si>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</si>
  <si>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</si>
  <si>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</si>
  <si>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</si>
  <si>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</si>
  <si>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</si>
  <si>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</si>
  <si>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</si>
  <si>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</si>
  <si>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</si>
  <si>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</si>
  <si>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</si>
  <si>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</si>
  <si>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</si>
  <si>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</si>
  <si>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</si>
  <si>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</si>
  <si>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</si>
  <si>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</si>
  <si>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</si>
  <si>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</si>
  <si>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</si>
  <si>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</si>
  <si>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</si>
  <si>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</si>
  <si>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</si>
  <si>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</si>
  <si>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</si>
  <si>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</si>
  <si>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</si>
  <si>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</si>
  <si>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</si>
  <si>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</si>
  <si>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</si>
  <si>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</si>
  <si>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</si>
  <si>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</si>
  <si>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</si>
  <si>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</si>
  <si>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</si>
  <si>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</si>
  <si>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</si>
  <si>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</si>
  <si>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</si>
  <si>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</si>
  <si>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</si>
  <si>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</si>
  <si>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</si>
  <si>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</si>
  <si>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</si>
  <si>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</si>
  <si>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</si>
  <si>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</si>
  <si>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</si>
  <si>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</si>
  <si>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</si>
  <si>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</si>
  <si>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</si>
  <si>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</si>
  <si>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</si>
  <si>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</si>
  <si>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</si>
  <si>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</si>
  <si>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</si>
  <si>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</si>
  <si>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</si>
  <si>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</si>
  <si>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</si>
  <si>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</si>
  <si>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</si>
  <si>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</si>
  <si>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</si>
  <si>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</si>
  <si>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</si>
  <si>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</si>
  <si>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</si>
  <si>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</si>
  <si>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</si>
  <si>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</si>
  <si>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</si>
  <si>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</si>
  <si>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</si>
  <si>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</si>
  <si>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</si>
  <si>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</si>
  <si>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</si>
  <si>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</si>
  <si>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</si>
  <si>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</si>
  <si>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</si>
  <si>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</si>
  <si>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</si>
  <si>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</si>
  <si>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</si>
  <si>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</si>
  <si>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</si>
  <si>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</si>
  <si>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</si>
  <si>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</si>
  <si>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</si>
  <si>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</si>
  <si>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</si>
  <si>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</si>
  <si>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</si>
  <si>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</si>
  <si>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</si>
  <si>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</si>
  <si>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</si>
  <si>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</si>
  <si>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</si>
  <si>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</si>
  <si>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</si>
  <si>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</si>
  <si>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</si>
  <si>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</si>
  <si>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</si>
  <si>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</si>
  <si>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</si>
  <si>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</si>
  <si>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</si>
  <si>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</si>
  <si>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</si>
  <si>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</si>
  <si>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</si>
  <si>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</si>
  <si>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</si>
  <si>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</si>
  <si>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</si>
  <si>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</si>
  <si>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</si>
  <si>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</si>
  <si>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</si>
  <si>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</si>
  <si>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</si>
  <si>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</si>
  <si>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</si>
  <si>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</si>
  <si>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</si>
  <si>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</si>
  <si>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</si>
  <si>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</si>
  <si>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</si>
  <si>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</si>
  <si>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</si>
  <si>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</si>
  <si>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</si>
  <si>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</si>
  <si>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</si>
  <si>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</si>
  <si>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</si>
  <si>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</si>
  <si>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</si>
  <si>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</si>
  <si>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</si>
  <si>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</si>
  <si>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</si>
  <si>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</si>
  <si>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</si>
  <si>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</si>
  <si>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</si>
  <si>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</si>
  <si>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</si>
  <si>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</si>
  <si>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</si>
  <si>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</si>
  <si>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</si>
  <si>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</si>
  <si>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</si>
  <si>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</si>
  <si>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</si>
  <si>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</si>
  <si>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</si>
  <si>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</si>
  <si>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</si>
  <si>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</si>
  <si>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</si>
  <si>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</si>
  <si>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</si>
  <si>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</si>
  <si>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</si>
  <si>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</si>
  <si>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</si>
  <si>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</si>
  <si>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</si>
  <si>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</si>
  <si>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</si>
  <si>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</si>
  <si>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</si>
  <si>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</si>
  <si>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</si>
  <si>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</si>
  <si>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</si>
  <si>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</si>
  <si>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</si>
  <si>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</si>
  <si>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</si>
  <si>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</si>
  <si>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</si>
  <si>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</si>
  <si>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</si>
  <si>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</si>
  <si>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</si>
  <si>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</si>
  <si>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</si>
  <si>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</si>
  <si>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</si>
  <si>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</si>
  <si>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</si>
  <si>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</si>
  <si>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</si>
  <si>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</si>
  <si>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</si>
  <si>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</si>
  <si>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</si>
  <si>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</si>
  <si>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</si>
  <si>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</si>
  <si>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</si>
  <si>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</si>
  <si>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</si>
  <si>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</si>
  <si>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</si>
  <si>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</si>
  <si>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</si>
  <si>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</si>
  <si>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</si>
  <si>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</si>
  <si>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</si>
  <si>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</si>
  <si>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</si>
  <si>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</si>
  <si>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</si>
  <si>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</si>
  <si>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</si>
  <si>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</si>
  <si>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</si>
  <si>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</si>
  <si>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</si>
  <si>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</si>
  <si>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</si>
  <si>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</si>
  <si>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</si>
  <si>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</si>
  <si>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</si>
  <si>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</si>
  <si>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</si>
  <si>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</si>
  <si>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</si>
  <si>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</si>
  <si>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</si>
  <si>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</si>
  <si>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</si>
  <si>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</si>
  <si>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</si>
  <si>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</si>
  <si>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</si>
  <si>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</si>
  <si>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</si>
  <si>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</si>
  <si>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</si>
  <si>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</si>
  <si>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</si>
  <si>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</si>
  <si>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</si>
  <si>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</si>
  <si>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</si>
  <si>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</si>
  <si>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</si>
  <si>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</si>
  <si>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</si>
  <si>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</si>
  <si>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</si>
  <si>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</si>
  <si>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</si>
  <si>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</si>
  <si>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</si>
  <si>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</si>
  <si>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</si>
  <si>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</si>
  <si>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</si>
  <si>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</si>
  <si>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</si>
  <si>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</si>
  <si>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</si>
  <si>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</si>
  <si>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</si>
  <si>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</si>
  <si>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</si>
  <si>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</si>
  <si>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</si>
  <si>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</si>
  <si>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</si>
  <si>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</si>
  <si>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</si>
  <si>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</si>
  <si>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</si>
  <si>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</si>
  <si>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</si>
  <si>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</si>
  <si>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</si>
  <si>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</si>
  <si>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</si>
  <si>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</si>
  <si>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</si>
  <si>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</si>
  <si>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</si>
  <si>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</si>
  <si>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</si>
  <si>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</si>
  <si>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</si>
  <si>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</si>
  <si>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</si>
  <si>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</si>
  <si>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</si>
  <si>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</si>
  <si>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</si>
  <si>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</si>
  <si>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</si>
  <si>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</si>
  <si>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</si>
  <si>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</si>
  <si>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</si>
  <si>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</si>
  <si>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</si>
  <si>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</si>
  <si>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</si>
  <si>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</si>
  <si>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</si>
  <si>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</si>
  <si>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</si>
  <si>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</si>
  <si>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</si>
  <si>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</si>
  <si>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</si>
  <si>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</si>
  <si>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</si>
  <si>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</si>
  <si>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</si>
  <si>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</si>
  <si>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</si>
  <si>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</si>
  <si>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</si>
  <si>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</si>
  <si>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</si>
  <si>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</si>
  <si>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</si>
  <si>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</si>
  <si>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</si>
  <si>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</si>
  <si>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</si>
  <si>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</si>
  <si>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</si>
  <si>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</si>
  <si>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</si>
  <si>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</si>
  <si>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</si>
  <si>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</si>
  <si>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</si>
  <si>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</si>
  <si>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</si>
  <si>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</si>
  <si>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</si>
  <si>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</si>
  <si>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</si>
  <si>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</si>
  <si>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</si>
  <si>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</si>
  <si>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</si>
  <si>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</si>
  <si>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</si>
  <si>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</si>
  <si>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</si>
  <si>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</si>
  <si>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</si>
  <si>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</si>
  <si>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</si>
  <si>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</si>
  <si>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</si>
  <si>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</si>
  <si>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</si>
  <si>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</si>
  <si>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</si>
  <si>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</si>
  <si>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</si>
  <si>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</si>
  <si>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</si>
  <si>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</si>
  <si>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</si>
  <si>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</si>
  <si>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</si>
  <si>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</si>
  <si>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</si>
  <si>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</si>
  <si>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</si>
  <si>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</si>
  <si>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</si>
  <si>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</si>
  <si>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</si>
  <si>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</si>
  <si>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</si>
  <si>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</si>
  <si>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</si>
  <si>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</si>
  <si>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</si>
  <si>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</si>
  <si>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</si>
  <si>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</si>
  <si>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</si>
  <si>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</si>
  <si>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</si>
  <si>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</si>
  <si>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</si>
  <si>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</si>
  <si>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</si>
  <si>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</si>
  <si>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</si>
  <si>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</si>
  <si>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</si>
  <si>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</si>
  <si>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</si>
  <si>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</si>
  <si>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</si>
  <si>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</si>
  <si>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</si>
  <si>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</si>
  <si>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</si>
  <si>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</si>
  <si>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</si>
  <si>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</si>
  <si>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</si>
  <si>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</si>
  <si>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</si>
  <si>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</si>
  <si>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</si>
  <si>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</si>
  <si>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</si>
  <si>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</si>
  <si>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</si>
  <si>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</si>
  <si>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</si>
  <si>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</si>
  <si>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</si>
  <si>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</si>
  <si>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</si>
  <si>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</si>
  <si>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</si>
  <si>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</si>
  <si>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</si>
  <si>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</si>
  <si>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</si>
  <si>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</si>
  <si>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</si>
  <si>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</si>
  <si>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</si>
  <si>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</si>
  <si>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</si>
  <si>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</si>
  <si>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</si>
  <si>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</si>
  <si>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</si>
  <si>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</si>
  <si>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</si>
  <si>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</si>
  <si>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</si>
  <si>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</si>
  <si>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</si>
  <si>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</si>
  <si>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</si>
  <si>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</si>
  <si>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</si>
  <si>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</si>
  <si>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</si>
  <si>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</si>
  <si>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</si>
  <si>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</si>
  <si>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</si>
  <si>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</si>
  <si>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</si>
  <si>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</si>
  <si>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</si>
  <si>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</si>
  <si>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</si>
  <si>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</si>
  <si>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</si>
  <si>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</si>
  <si>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</si>
  <si>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</si>
  <si>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</si>
  <si>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</si>
  <si>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</si>
  <si>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</si>
  <si>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</si>
  <si>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</si>
  <si>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</si>
  <si>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</si>
  <si>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</si>
  <si>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</si>
  <si>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</si>
  <si>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</si>
  <si>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</si>
  <si>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</si>
  <si>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</si>
  <si>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</si>
  <si>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</si>
  <si>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</si>
  <si>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</si>
  <si>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</si>
  <si>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</si>
  <si>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</si>
  <si>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</si>
  <si>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</si>
  <si>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</si>
  <si>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</si>
  <si>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</si>
  <si>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</si>
  <si>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</si>
  <si>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</si>
  <si>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</si>
  <si>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</si>
  <si>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</si>
  <si>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</si>
  <si>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</si>
  <si>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</si>
  <si>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</si>
  <si>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</si>
  <si>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</si>
  <si>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</si>
  <si>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</si>
  <si>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</si>
  <si>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</si>
  <si>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</si>
  <si>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</si>
  <si>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</si>
  <si>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</si>
  <si>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</si>
  <si>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</si>
  <si>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</si>
  <si>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</si>
  <si>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</si>
  <si>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</si>
  <si>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</si>
  <si>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</si>
  <si>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</si>
  <si>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</si>
  <si>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</si>
  <si>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</si>
  <si>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</si>
  <si>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</si>
  <si>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</si>
  <si>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</si>
  <si>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</si>
  <si>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</si>
  <si>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</si>
  <si>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</si>
  <si>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</si>
  <si>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</si>
  <si>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</si>
  <si>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</si>
  <si>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</si>
  <si>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</si>
  <si>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</si>
  <si>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</si>
  <si>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</si>
  <si>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</si>
  <si>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</si>
  <si>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</si>
  <si>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</si>
  <si>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</si>
  <si>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</si>
  <si>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</si>
  <si>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</si>
  <si>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</si>
  <si>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</si>
  <si>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</si>
  <si>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</si>
  <si>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</si>
  <si>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</si>
  <si>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</si>
  <si>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</si>
  <si>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</si>
  <si>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</si>
  <si>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</si>
  <si>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</si>
  <si>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</si>
  <si>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</si>
  <si>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</si>
  <si>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</si>
  <si>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</si>
  <si>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</si>
  <si>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</si>
  <si>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</si>
  <si>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</si>
  <si>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</si>
  <si>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</si>
  <si>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</si>
  <si>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</si>
  <si>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</si>
  <si>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</si>
  <si>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</si>
  <si>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</si>
  <si>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</si>
  <si>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</si>
  <si>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</si>
  <si>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</si>
  <si>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</si>
  <si>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</si>
  <si>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</si>
  <si>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</si>
  <si>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</si>
  <si>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</si>
  <si>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</si>
  <si>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</si>
  <si>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</si>
  <si>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</si>
  <si>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</si>
  <si>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</si>
  <si>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</si>
  <si>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</si>
  <si>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</si>
  <si>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</si>
  <si>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</si>
  <si>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</si>
  <si>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</si>
  <si>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</si>
  <si>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</si>
  <si>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</si>
  <si>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</si>
  <si>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</si>
  <si>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</si>
  <si>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</si>
  <si>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</si>
  <si>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</si>
  <si>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</si>
  <si>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</si>
  <si>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</si>
  <si>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</si>
  <si>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</si>
  <si>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</si>
  <si>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</si>
  <si>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</si>
  <si>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</si>
  <si>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</si>
  <si>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</si>
  <si>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</si>
  <si>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</si>
  <si>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</si>
  <si>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</si>
  <si>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</si>
  <si>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</si>
  <si>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</si>
  <si>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</si>
  <si>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</si>
  <si>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</si>
  <si>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</si>
  <si>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</si>
  <si>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</si>
  <si>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</si>
  <si>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</si>
  <si>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</si>
  <si>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</si>
  <si>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</si>
  <si>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</si>
  <si>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</si>
  <si>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</si>
  <si>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</si>
  <si>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</si>
  <si>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</si>
  <si>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</si>
  <si>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</si>
  <si>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</si>
  <si>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</si>
  <si>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</si>
  <si>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</si>
  <si>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</si>
  <si>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</si>
  <si>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</si>
  <si>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</si>
  <si>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</si>
  <si>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</si>
  <si>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</si>
  <si>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</si>
  <si>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</si>
  <si>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</si>
  <si>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</si>
  <si>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</si>
  <si>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</si>
  <si>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</si>
  <si>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</si>
  <si>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</si>
  <si>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</si>
  <si>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</si>
  <si>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</si>
  <si>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</si>
  <si>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</si>
  <si>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</si>
  <si>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</si>
  <si>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</si>
  <si>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</si>
  <si>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</si>
  <si>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</si>
  <si>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</si>
  <si>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</si>
  <si>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</si>
  <si>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</si>
  <si>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</si>
  <si>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</si>
  <si>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</si>
  <si>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</si>
  <si>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</si>
  <si>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</si>
  <si>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</si>
  <si>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</si>
  <si>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</si>
  <si>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</si>
  <si>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</si>
  <si>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</si>
  <si>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</si>
  <si>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</si>
  <si>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</si>
  <si>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</si>
  <si>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</si>
  <si>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</si>
  <si>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</si>
  <si>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</si>
  <si>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</si>
  <si>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</si>
  <si>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</si>
  <si>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</si>
  <si>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</si>
  <si>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</si>
  <si>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</si>
  <si>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</si>
  <si>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</si>
  <si>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</si>
  <si>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</si>
  <si>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</si>
  <si>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</si>
  <si>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</si>
  <si>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</si>
  <si>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</si>
  <si>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</si>
  <si>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</si>
  <si>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</si>
  <si>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</si>
  <si>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</si>
  <si>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</si>
  <si>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</si>
  <si>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</si>
  <si>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</si>
  <si>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</si>
  <si>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</si>
  <si>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</si>
  <si>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</si>
  <si>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</si>
  <si>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</si>
  <si>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</si>
  <si>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</si>
  <si>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</si>
  <si>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</si>
  <si>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</si>
  <si>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</si>
  <si>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</si>
  <si>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</si>
  <si>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</si>
  <si>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</si>
  <si>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</si>
  <si>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</si>
  <si>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</si>
  <si>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</si>
  <si>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</si>
  <si>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</si>
  <si>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</si>
  <si>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</si>
  <si>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</si>
  <si>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</si>
  <si>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</si>
  <si>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</si>
  <si>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</si>
  <si>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</si>
  <si>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</si>
  <si>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</si>
  <si>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</si>
  <si>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</si>
  <si>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</si>
  <si>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</si>
  <si>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</si>
  <si>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</si>
  <si>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</si>
  <si>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</si>
  <si>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</si>
  <si>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</si>
  <si>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</si>
  <si>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</si>
  <si>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</si>
  <si>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</si>
  <si>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</si>
  <si>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</si>
  <si>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</si>
  <si>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</si>
  <si>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</si>
  <si>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</si>
  <si>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</si>
  <si>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</si>
  <si>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</si>
  <si>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</si>
  <si>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</si>
  <si>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</si>
  <si>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</si>
  <si>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</si>
  <si>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</si>
  <si>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</si>
  <si>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</si>
  <si>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</si>
  <si>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</si>
  <si>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</si>
  <si>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</si>
  <si>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</si>
  <si>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</si>
  <si>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</si>
  <si>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</si>
  <si>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</si>
  <si>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</si>
  <si>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</si>
  <si>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</si>
  <si>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</si>
  <si>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</si>
  <si>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</si>
  <si>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</si>
  <si>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</si>
  <si>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</si>
  <si>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</si>
  <si>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</si>
  <si>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</si>
  <si>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</si>
  <si>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</si>
  <si>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</si>
  <si>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</si>
  <si>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</si>
  <si>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</si>
  <si>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</si>
  <si>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</si>
  <si>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</si>
  <si>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</si>
  <si>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</si>
  <si>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</si>
  <si>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</si>
  <si>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</si>
  <si>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</si>
  <si>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</si>
  <si>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</si>
  <si>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</si>
  <si>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</si>
  <si>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</si>
  <si>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</si>
  <si>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</si>
  <si>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</si>
  <si>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</si>
  <si>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</si>
  <si>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</si>
  <si>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</si>
  <si>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</si>
  <si>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</si>
  <si>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</si>
  <si>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</si>
  <si>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</si>
  <si>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</si>
  <si>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</si>
  <si>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</si>
  <si>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</si>
  <si>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</si>
  <si>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</si>
  <si>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</si>
  <si>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</si>
  <si>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</si>
  <si>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</si>
  <si>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</si>
  <si>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</si>
  <si>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</si>
  <si>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</si>
  <si>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</si>
  <si>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</si>
  <si>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</si>
  <si>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</si>
  <si>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</si>
  <si>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</si>
  <si>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</si>
  <si>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</si>
  <si>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</si>
  <si>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</si>
  <si>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</si>
  <si>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</si>
  <si>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</si>
  <si>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</si>
  <si>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</si>
  <si>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</si>
  <si>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</si>
  <si>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</si>
  <si>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</si>
  <si>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</si>
  <si>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</si>
  <si>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</si>
  <si>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</si>
  <si>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</si>
  <si>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</si>
  <si>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</si>
  <si>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</si>
  <si>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</si>
  <si>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</si>
  <si>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</si>
  <si>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</si>
  <si>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</si>
  <si>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</si>
  <si>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</si>
  <si>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</si>
  <si>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</si>
  <si>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</si>
  <si>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</si>
  <si>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</si>
  <si>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</si>
  <si>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</si>
  <si>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</si>
  <si>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</si>
  <si>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</si>
  <si>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</si>
  <si>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</si>
  <si>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</si>
  <si>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</si>
  <si>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</si>
  <si>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</si>
  <si>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</si>
  <si>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</si>
  <si>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</si>
  <si>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</si>
  <si>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</si>
  <si>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</si>
  <si>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</si>
  <si>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</si>
  <si>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</si>
  <si>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</si>
  <si>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</si>
  <si>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</si>
  <si>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</si>
  <si>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</si>
  <si>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</si>
  <si>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</si>
  <si>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</si>
  <si>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</si>
  <si>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</si>
  <si>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</si>
  <si>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</si>
  <si>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</si>
  <si>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</si>
  <si>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</si>
  <si>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</si>
  <si>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</si>
  <si>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</si>
  <si>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</si>
  <si>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</si>
  <si>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</si>
  <si>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</si>
  <si>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</si>
  <si>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</si>
  <si>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</si>
  <si>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</si>
  <si>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</si>
  <si>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</si>
  <si>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</si>
  <si>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</si>
  <si>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</si>
  <si>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</si>
  <si>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</si>
  <si>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</si>
  <si>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</si>
  <si>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</si>
  <si>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</si>
  <si>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</si>
  <si>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</si>
  <si>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</si>
  <si>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</si>
  <si>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</si>
  <si>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</si>
  <si>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</si>
  <si>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</si>
  <si>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</si>
  <si>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</si>
  <si>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</si>
  <si>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</si>
  <si>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</si>
  <si>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</si>
  <si>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</si>
  <si>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</si>
  <si>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</si>
  <si>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</si>
  <si>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</si>
  <si>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</si>
  <si>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</si>
  <si>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</si>
  <si>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</si>
  <si>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</si>
  <si>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</si>
  <si>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</si>
  <si>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</si>
  <si>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</si>
  <si>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</si>
  <si>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</si>
  <si>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</si>
  <si>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</si>
  <si>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</si>
  <si>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</si>
  <si>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</si>
  <si>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</si>
  <si>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</si>
  <si>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</si>
  <si>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</si>
  <si>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</si>
  <si>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</si>
  <si>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</si>
  <si>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</si>
  <si>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</si>
  <si>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</si>
  <si>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</si>
  <si>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</si>
  <si>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</si>
  <si>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</si>
  <si>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</si>
  <si>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</si>
  <si>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</si>
  <si>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</si>
  <si>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</si>
  <si>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</si>
  <si>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</si>
  <si>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</si>
  <si>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</si>
  <si>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</si>
  <si>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</si>
  <si>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</si>
  <si>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</si>
  <si>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</si>
  <si>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</si>
  <si>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</si>
  <si>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</si>
  <si>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</si>
  <si>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</si>
  <si>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</si>
  <si>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</si>
  <si>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</si>
  <si>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</si>
  <si>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</si>
  <si>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</si>
  <si>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</si>
  <si>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</si>
  <si>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</si>
  <si>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</si>
  <si>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</si>
  <si>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</si>
  <si>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</si>
  <si>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</si>
  <si>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</si>
  <si>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</si>
  <si>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</si>
  <si>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</si>
  <si>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</si>
  <si>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</si>
  <si>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</si>
  <si>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</si>
  <si>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</si>
  <si>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</si>
  <si>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</si>
  <si>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</si>
  <si>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</si>
  <si>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</si>
  <si>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</si>
  <si>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</si>
  <si>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</si>
  <si>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</si>
  <si>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</si>
  <si>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</si>
  <si>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</si>
  <si>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</si>
  <si>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</si>
  <si>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</si>
  <si>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</si>
  <si>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</si>
  <si>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</si>
  <si>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</si>
  <si>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</si>
  <si>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</si>
  <si>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</si>
  <si>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</si>
  <si>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</si>
  <si>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</si>
  <si>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</si>
  <si>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</si>
  <si>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</si>
  <si>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</si>
  <si>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</si>
  <si>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</si>
  <si>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</si>
  <si>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</si>
  <si>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</si>
  <si>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</si>
  <si>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</si>
  <si>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</si>
  <si>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</si>
  <si>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</si>
  <si>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</si>
  <si>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</si>
  <si>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</si>
  <si>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</si>
  <si>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</si>
  <si>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</si>
  <si>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</si>
  <si>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</si>
  <si>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</si>
  <si>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</si>
  <si>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</si>
  <si>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</si>
  <si>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</si>
  <si>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</si>
  <si>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</si>
  <si>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</si>
  <si>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</si>
  <si>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</si>
  <si>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</si>
  <si>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</si>
  <si>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</si>
  <si>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</si>
  <si>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</si>
  <si>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</si>
  <si>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</si>
  <si>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</si>
  <si>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</si>
  <si>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</si>
  <si>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</si>
  <si>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</si>
  <si>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</si>
  <si>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</si>
  <si>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</si>
  <si>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</si>
  <si>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</si>
  <si>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</si>
  <si>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</si>
  <si>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</si>
  <si>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</si>
  <si>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</si>
  <si>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</si>
  <si>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</si>
  <si>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</si>
  <si>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</si>
  <si>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</si>
  <si>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</si>
  <si>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</si>
  <si>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</si>
  <si>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</si>
  <si>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</si>
  <si>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</si>
  <si>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</si>
  <si>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</si>
  <si>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</si>
  <si>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</si>
  <si>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</si>
  <si>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</si>
  <si>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</si>
  <si>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</si>
  <si>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</si>
  <si>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</si>
  <si>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</si>
  <si>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</si>
  <si>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</si>
  <si>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</si>
  <si>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</si>
  <si>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</si>
  <si>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</si>
  <si>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</si>
  <si>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</si>
  <si>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</si>
  <si>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</si>
  <si>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</si>
  <si>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</si>
  <si>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</si>
  <si>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</si>
  <si>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</si>
  <si>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</si>
  <si>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</si>
  <si>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</si>
  <si>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</si>
  <si>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</si>
  <si>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</si>
  <si>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</si>
  <si>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</si>
  <si>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</si>
  <si>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</si>
  <si>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</si>
  <si>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</si>
  <si>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</si>
  <si>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</si>
  <si>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</si>
  <si>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</si>
  <si>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</si>
  <si>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</si>
  <si>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</si>
  <si>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</si>
  <si>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</si>
  <si>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</si>
  <si>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</si>
  <si>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</si>
  <si>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</si>
  <si>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</si>
  <si>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</si>
  <si>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</si>
  <si>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</si>
  <si>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</si>
  <si>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</si>
  <si>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</si>
  <si>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</si>
  <si>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</si>
  <si>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</si>
  <si>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</si>
  <si>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</si>
  <si>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</si>
  <si>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</si>
  <si>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</si>
  <si>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</si>
  <si>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</si>
  <si>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</si>
  <si>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</si>
  <si>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</si>
  <si>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</si>
  <si>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</si>
  <si>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</si>
  <si>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</si>
  <si>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</si>
  <si>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</si>
  <si>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</si>
  <si>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</si>
  <si>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</si>
  <si>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</si>
  <si>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</si>
  <si>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</si>
  <si>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</si>
  <si>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</si>
  <si>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</si>
  <si>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</si>
  <si>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</si>
  <si>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</si>
  <si>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</si>
  <si>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</si>
  <si>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</si>
  <si>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</si>
  <si>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</si>
  <si>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</si>
  <si>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</si>
  <si>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</si>
  <si>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</si>
  <si>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</si>
  <si>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</si>
  <si>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</si>
  <si>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</si>
  <si>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</si>
  <si>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</si>
  <si>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</si>
  <si>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</si>
  <si>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</si>
  <si>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</si>
  <si>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</si>
  <si>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</si>
  <si>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</si>
  <si>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</si>
  <si>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</si>
  <si>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</si>
  <si>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</si>
  <si>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</si>
  <si>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</si>
  <si>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</si>
  <si>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</si>
  <si>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</si>
  <si>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</si>
  <si>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</si>
  <si>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</si>
  <si>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</si>
  <si>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</si>
  <si>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</si>
  <si>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</si>
  <si>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</si>
  <si>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</si>
  <si>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</si>
  <si>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</si>
  <si>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</si>
  <si>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</si>
  <si>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</si>
  <si>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</si>
  <si>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</si>
  <si>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</si>
  <si>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</si>
  <si>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</si>
  <si>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</si>
  <si>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</si>
  <si>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</si>
  <si>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</si>
  <si>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</si>
  <si>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</si>
  <si>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</si>
  <si>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</si>
  <si>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</si>
  <si>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</si>
  <si>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</si>
  <si>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</si>
  <si>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</si>
  <si>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</si>
  <si>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</si>
  <si>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</si>
  <si>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</si>
  <si>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</si>
  <si>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</si>
  <si>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</si>
  <si>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</si>
  <si>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</si>
  <si>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</si>
  <si>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</si>
  <si>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</si>
  <si>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</si>
  <si>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</si>
  <si>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</si>
  <si>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</si>
  <si>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</si>
  <si>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</si>
  <si>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</si>
  <si>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</si>
  <si>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</si>
  <si>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</si>
  <si>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</si>
  <si>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</si>
  <si>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</si>
  <si>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</si>
  <si>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</si>
  <si>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</si>
  <si>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</si>
  <si>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</si>
  <si>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</si>
  <si>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</si>
  <si>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</si>
  <si>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</si>
  <si>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</si>
  <si>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</si>
  <si>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</si>
  <si>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</si>
  <si>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</si>
  <si>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</si>
  <si>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</si>
  <si>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</si>
  <si>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</si>
  <si>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</si>
  <si>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</si>
  <si>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</si>
  <si>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</si>
  <si>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</si>
  <si>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</si>
  <si>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</si>
  <si>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</si>
  <si>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</si>
  <si>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</si>
  <si>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</si>
  <si>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</si>
  <si>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</si>
  <si>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</si>
  <si>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</si>
  <si>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</si>
  <si>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</si>
  <si>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</si>
  <si>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</si>
  <si>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</si>
  <si>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</si>
  <si>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</si>
  <si>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</si>
  <si>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</si>
  <si>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</si>
  <si>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</si>
  <si>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</si>
  <si>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</si>
  <si>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</si>
  <si>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</si>
  <si>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</si>
  <si>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</si>
  <si>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</si>
  <si>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</si>
  <si>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</si>
  <si>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</si>
  <si>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</si>
  <si>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</si>
  <si>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</si>
  <si>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</si>
  <si>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</si>
  <si>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</si>
  <si>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</si>
  <si>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</si>
  <si>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</si>
  <si>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</si>
  <si>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</si>
  <si>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</si>
  <si>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</si>
  <si>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</si>
  <si>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</si>
  <si>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</si>
  <si>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</si>
  <si>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</si>
  <si>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</si>
  <si>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</si>
  <si>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</si>
  <si>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</si>
  <si>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</si>
  <si>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</si>
  <si>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</si>
  <si>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</si>
  <si>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</si>
  <si>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</si>
  <si>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</si>
  <si>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</si>
  <si>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</si>
  <si>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</si>
  <si>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</si>
  <si>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</si>
  <si>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</si>
  <si>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</si>
  <si>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</si>
  <si>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</si>
  <si>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</si>
  <si>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</si>
  <si>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</si>
  <si>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</si>
  <si>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</si>
  <si>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</si>
  <si>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</si>
  <si>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</si>
  <si>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</si>
  <si>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</si>
  <si>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</si>
  <si>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</si>
  <si>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</si>
  <si>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</si>
  <si>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</si>
  <si>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</si>
  <si>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</si>
  <si>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</si>
  <si>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</si>
  <si>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</si>
  <si>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</si>
  <si>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</si>
  <si>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</si>
  <si>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</si>
  <si>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</si>
  <si>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</si>
  <si>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</si>
  <si>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</si>
  <si>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</si>
  <si>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</si>
  <si>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</si>
  <si>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</si>
  <si>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</si>
  <si>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</si>
  <si>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</si>
  <si>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</si>
  <si>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</si>
  <si>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</si>
  <si>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</si>
  <si>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</si>
  <si>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</si>
  <si>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</si>
  <si>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</si>
  <si>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</si>
  <si>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</si>
  <si>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</si>
  <si>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</si>
  <si>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</si>
  <si>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</si>
  <si>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</si>
  <si>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</si>
  <si>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</si>
  <si>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</si>
  <si>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</si>
  <si>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</si>
  <si>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</si>
  <si>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</si>
  <si>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</si>
  <si>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</si>
  <si>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</si>
  <si>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</si>
  <si>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</si>
  <si>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</si>
  <si>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</si>
  <si>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</si>
  <si>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</si>
  <si>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</si>
  <si>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</si>
  <si>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</si>
  <si>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</si>
  <si>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</si>
  <si>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</si>
  <si>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</si>
  <si>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</si>
  <si>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</si>
  <si>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</si>
  <si>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</si>
  <si>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</si>
  <si>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</si>
  <si>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</si>
  <si>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</si>
  <si>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</si>
  <si>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</si>
  <si>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</si>
  <si>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</si>
  <si>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</si>
  <si>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</si>
  <si>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</si>
  <si>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</si>
  <si>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</si>
  <si>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</si>
  <si>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</si>
  <si>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</si>
  <si>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</si>
  <si>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</si>
  <si>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</si>
  <si>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</si>
  <si>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</si>
  <si>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</si>
  <si>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</si>
  <si>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</si>
  <si>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</si>
  <si>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</si>
  <si>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</si>
  <si>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</si>
  <si>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</si>
  <si>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</si>
  <si>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</si>
  <si>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</si>
  <si>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</si>
  <si>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</si>
  <si>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</si>
  <si>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</si>
  <si>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</si>
  <si>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</si>
  <si>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</si>
  <si>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</si>
  <si>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</si>
  <si>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</si>
  <si>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</si>
  <si>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</si>
  <si>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</si>
  <si>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</si>
  <si>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</si>
  <si>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</si>
  <si>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</si>
  <si>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</si>
  <si>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</si>
  <si>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</si>
  <si>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</si>
  <si>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</si>
  <si>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</si>
  <si>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</si>
  <si>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</si>
  <si>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</si>
  <si>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</si>
  <si>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</si>
  <si>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</si>
  <si>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</si>
  <si>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</si>
  <si>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</si>
  <si>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</si>
  <si>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</si>
  <si>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</si>
  <si>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</si>
  <si>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</si>
  <si>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</si>
  <si>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</si>
  <si>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</si>
  <si>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</si>
  <si>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</si>
  <si>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</si>
  <si>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</si>
  <si>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</si>
  <si>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</si>
  <si>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</si>
  <si>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</si>
  <si>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</si>
  <si>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</si>
  <si>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</si>
  <si>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</si>
  <si>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</si>
  <si>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</si>
  <si>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</si>
  <si>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</si>
  <si>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</si>
  <si>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</si>
  <si>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</si>
  <si>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</si>
  <si>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</si>
  <si>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</si>
  <si>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</si>
  <si>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</si>
  <si>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</si>
  <si>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</si>
  <si>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</si>
  <si>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</si>
  <si>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</si>
  <si>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</si>
  <si>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</si>
  <si>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</si>
  <si>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</si>
  <si>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</si>
  <si>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</si>
  <si>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</si>
  <si>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</si>
  <si>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</si>
  <si>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</si>
  <si>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</si>
  <si>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</si>
  <si>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</si>
  <si>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</si>
  <si>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</si>
  <si>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</si>
  <si>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</si>
  <si>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</si>
  <si>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</si>
  <si>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</si>
  <si>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</si>
  <si>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</si>
  <si>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</si>
  <si>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</si>
  <si>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</si>
  <si>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</si>
  <si>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</si>
  <si>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</si>
  <si>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</si>
  <si>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</si>
  <si>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</si>
  <si>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</si>
  <si>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</si>
  <si>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</si>
  <si>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</si>
  <si>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</si>
  <si>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</si>
  <si>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</si>
  <si>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</si>
  <si>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</si>
  <si>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</si>
  <si>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</si>
  <si>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</si>
  <si>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</si>
  <si>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</si>
  <si>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</si>
  <si>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</si>
  <si>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</si>
  <si>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</si>
  <si>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</si>
  <si>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</si>
  <si>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</si>
  <si>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</si>
  <si>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</si>
  <si>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</si>
  <si>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</si>
  <si>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</si>
  <si>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</si>
  <si>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</si>
  <si>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</si>
  <si>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</si>
  <si>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</si>
  <si>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</si>
  <si>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</si>
  <si>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</si>
  <si>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</si>
  <si>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</si>
  <si>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</si>
  <si>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</si>
  <si>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</si>
  <si>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</si>
  <si>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</si>
  <si>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</si>
  <si>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</si>
  <si>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</si>
  <si>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</si>
  <si>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</si>
  <si>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</si>
  <si>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</si>
  <si>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</si>
  <si>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</si>
  <si>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</si>
  <si>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</si>
  <si>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</si>
  <si>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</si>
  <si>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</si>
  <si>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</si>
  <si>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</si>
  <si>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</si>
  <si>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</si>
  <si>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</si>
  <si>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</si>
  <si>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</si>
  <si>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</si>
  <si>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</si>
  <si>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</si>
  <si>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</si>
  <si>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</si>
  <si>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</si>
  <si>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</si>
  <si>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</si>
  <si>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</si>
  <si>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</si>
  <si>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</si>
  <si>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</si>
  <si>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</si>
  <si>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</si>
  <si>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</si>
  <si>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</si>
  <si>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</si>
  <si>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</si>
  <si>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</si>
  <si>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</si>
  <si>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</si>
  <si>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</si>
  <si>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</si>
  <si>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</si>
  <si>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</si>
  <si>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</si>
  <si>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</si>
  <si>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</si>
  <si>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</si>
  <si>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</si>
  <si>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</si>
  <si>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</si>
  <si>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</si>
  <si>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</si>
  <si>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</si>
  <si>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</si>
  <si>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</si>
  <si>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</si>
  <si>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</si>
  <si>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</si>
  <si>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</si>
  <si>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</si>
  <si>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</si>
  <si>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</si>
  <si>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</si>
  <si>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</si>
  <si>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</si>
  <si>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</si>
  <si>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</si>
  <si>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</si>
  <si>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</si>
  <si>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</si>
  <si>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</si>
  <si>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</si>
  <si>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</si>
  <si>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</si>
  <si>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</si>
  <si>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</si>
  <si>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</si>
  <si>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</si>
  <si>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</si>
  <si>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</si>
  <si>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</si>
  <si>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</si>
  <si>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</si>
  <si>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</si>
  <si>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</si>
  <si>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</si>
  <si>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</si>
  <si>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</si>
  <si>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</si>
  <si>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</si>
  <si>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</si>
  <si>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</si>
  <si>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</si>
  <si>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</si>
  <si>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</si>
  <si>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</si>
  <si>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</si>
  <si>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</si>
  <si>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</si>
  <si>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</si>
  <si>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</si>
  <si>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</si>
  <si>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</si>
  <si>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</si>
  <si>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</si>
  <si>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</si>
  <si>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</si>
  <si>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</si>
  <si>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</si>
  <si>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</si>
  <si>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</si>
  <si>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</si>
  <si>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</si>
  <si>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</si>
  <si>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</si>
  <si>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</si>
  <si>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</si>
  <si>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</si>
  <si>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</si>
  <si>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</si>
  <si>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</si>
  <si>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</si>
  <si>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</si>
  <si>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</si>
  <si>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</si>
  <si>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</si>
  <si>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</si>
  <si>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</si>
  <si>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</si>
  <si>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</si>
  <si>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</si>
  <si>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</si>
  <si>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</si>
  <si>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</si>
  <si>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</si>
  <si>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</si>
  <si>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</si>
  <si>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</si>
  <si>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</si>
  <si>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</si>
  <si>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</si>
  <si>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</si>
  <si>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</si>
  <si>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</si>
  <si>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</si>
  <si>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</si>
  <si>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</si>
  <si>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</si>
  <si>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</si>
  <si>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</si>
  <si>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</si>
  <si>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</si>
  <si>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</si>
  <si>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</si>
  <si>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</si>
  <si>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</si>
  <si>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</si>
  <si>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</si>
  <si>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</si>
  <si>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</si>
  <si>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</si>
  <si>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</si>
  <si>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</si>
  <si>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</si>
  <si>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</si>
  <si>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</si>
  <si>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</si>
  <si>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</si>
  <si>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</si>
  <si>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</si>
  <si>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</si>
  <si>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</si>
  <si>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</si>
  <si>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</si>
  <si>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</si>
  <si>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</si>
  <si>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</si>
  <si>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</si>
  <si>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</si>
  <si>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</si>
  <si>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</si>
  <si>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</si>
  <si>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</si>
  <si>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</si>
  <si>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</si>
  <si>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</si>
  <si>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</si>
  <si>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</si>
  <si>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</si>
  <si>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</si>
  <si>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</si>
  <si>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</si>
  <si>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</si>
  <si>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</si>
  <si>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</si>
  <si>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</si>
  <si>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</si>
  <si>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</si>
  <si>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</si>
  <si>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</si>
  <si>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</si>
  <si>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</si>
  <si>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</si>
  <si>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</si>
  <si>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</si>
  <si>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</si>
  <si>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</si>
  <si>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</si>
  <si>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</si>
  <si>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</si>
  <si>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</si>
  <si>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</si>
  <si>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</si>
  <si>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</si>
  <si>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</si>
  <si>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</si>
  <si>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</si>
  <si>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</si>
  <si>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</si>
  <si>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</si>
  <si>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</si>
  <si>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</si>
  <si>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</si>
  <si>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</si>
  <si>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</si>
  <si>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</si>
  <si>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</si>
  <si>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</si>
  <si>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</si>
  <si>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</si>
  <si>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</si>
  <si>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</si>
  <si>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</si>
  <si>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</si>
  <si>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</si>
  <si>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</si>
  <si>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</si>
  <si>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</si>
  <si>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</si>
  <si>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</si>
  <si>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</si>
  <si>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</si>
  <si>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</si>
  <si>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</si>
  <si>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</si>
  <si>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</si>
  <si>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</si>
  <si>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</si>
  <si>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</si>
  <si>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</si>
  <si>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</si>
  <si>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</si>
  <si>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</si>
  <si>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</si>
  <si>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</si>
  <si>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</si>
  <si>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</si>
  <si>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</si>
  <si>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</si>
  <si>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</si>
  <si>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</si>
  <si>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</si>
  <si>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</si>
  <si>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</si>
  <si>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</si>
  <si>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</si>
  <si>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</si>
  <si>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</si>
  <si>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</si>
  <si>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</si>
  <si>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</si>
  <si>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</si>
  <si>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</si>
  <si>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</si>
  <si>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</si>
  <si>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</si>
  <si>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</si>
  <si>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</si>
  <si>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</si>
  <si>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</si>
  <si>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</si>
  <si>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</si>
  <si>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</si>
  <si>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</si>
  <si>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</si>
  <si>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</si>
  <si>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</si>
  <si>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</si>
  <si>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</si>
  <si>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</si>
  <si>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</si>
  <si>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</si>
  <si>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</si>
  <si>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</si>
  <si>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</si>
  <si>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</si>
  <si>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</si>
  <si>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</si>
  <si>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</si>
  <si>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</si>
  <si>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</si>
  <si>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</si>
  <si>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</si>
  <si>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</si>
  <si>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</si>
  <si>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</si>
  <si>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</si>
  <si>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</si>
  <si>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</si>
  <si>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</si>
  <si>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</si>
  <si>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</si>
  <si>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</si>
  <si>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</si>
  <si>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</si>
  <si>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</si>
  <si>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</si>
  <si>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</si>
  <si>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</si>
  <si>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</si>
  <si>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</si>
  <si>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</si>
  <si>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</si>
  <si>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</si>
  <si>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</si>
  <si>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</si>
  <si>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</si>
  <si>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</si>
  <si>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</si>
  <si>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</si>
  <si>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</si>
  <si>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</si>
  <si>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</si>
  <si>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</si>
  <si>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</si>
  <si>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</si>
  <si>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</si>
  <si>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</si>
  <si>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</si>
  <si>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</si>
  <si>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</si>
  <si>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</si>
  <si>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</si>
  <si>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</si>
  <si>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</si>
  <si>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</si>
  <si>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</si>
  <si>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</si>
  <si>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</si>
  <si>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</si>
  <si>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</si>
  <si>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</si>
  <si>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</si>
  <si>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</si>
  <si>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</si>
  <si>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</si>
  <si>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</si>
  <si>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</si>
  <si>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</si>
  <si>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</si>
  <si>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</si>
  <si>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</si>
  <si>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</si>
  <si>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</si>
  <si>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</si>
  <si>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</si>
  <si>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</si>
  <si>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</si>
  <si>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</si>
  <si>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</si>
  <si>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</si>
  <si>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</si>
  <si>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</si>
  <si>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</si>
  <si>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</si>
  <si>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</si>
  <si>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</si>
  <si>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</si>
  <si>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</si>
  <si>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</si>
  <si>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</si>
  <si>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</si>
  <si>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</si>
  <si>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</si>
  <si>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</si>
  <si>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</si>
  <si>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</si>
  <si>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</si>
  <si>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</si>
  <si>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</si>
  <si>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</si>
  <si>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</si>
  <si>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</si>
  <si>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</si>
  <si>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</si>
  <si>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</si>
  <si>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</si>
  <si>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</si>
  <si>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</si>
  <si>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</si>
  <si>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</si>
  <si>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</si>
  <si>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</si>
  <si>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</si>
  <si>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</si>
  <si>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</si>
  <si>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</si>
  <si>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</si>
  <si>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</si>
  <si>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</si>
  <si>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</si>
  <si>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</si>
  <si>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</si>
  <si>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</si>
  <si>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</si>
  <si>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</si>
  <si>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</si>
  <si>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</si>
  <si>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</si>
  <si>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</si>
  <si>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</si>
  <si>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</si>
  <si>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</si>
  <si>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</si>
  <si>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</si>
  <si>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</si>
  <si>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</si>
  <si>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</si>
  <si>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</si>
  <si>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</si>
  <si>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</si>
  <si>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</si>
  <si>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</si>
  <si>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</si>
  <si>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</si>
  <si>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</si>
  <si>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</si>
  <si>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</si>
  <si>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</si>
  <si>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</si>
  <si>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</si>
  <si>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</si>
  <si>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</si>
  <si>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</si>
  <si>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</si>
  <si>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</si>
  <si>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</si>
  <si>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</si>
  <si>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</si>
  <si>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</si>
  <si>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</si>
  <si>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</si>
  <si>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</si>
  <si>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</si>
  <si>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</si>
  <si>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</si>
  <si>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</si>
  <si>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</si>
  <si>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</si>
  <si>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</si>
  <si>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</si>
  <si>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</si>
  <si>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</si>
  <si>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</si>
  <si>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</si>
  <si>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</si>
  <si>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</si>
  <si>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</si>
  <si>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</si>
  <si>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</si>
  <si>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</si>
  <si>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</si>
  <si>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</si>
  <si>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</si>
  <si>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</si>
  <si>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</si>
  <si>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</si>
  <si>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</si>
  <si>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</si>
  <si>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</si>
  <si>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</si>
  <si>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</si>
  <si>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</si>
  <si>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</si>
  <si>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</si>
  <si>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</si>
  <si>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</si>
  <si>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</si>
  <si>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</si>
  <si>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</si>
  <si>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</si>
  <si>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</si>
  <si>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</si>
  <si>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</si>
  <si>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</si>
  <si>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</si>
  <si>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</si>
  <si>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</si>
  <si>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</si>
  <si>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</si>
  <si>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</si>
  <si>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</si>
  <si>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</si>
  <si>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</si>
  <si>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</si>
  <si>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</si>
  <si>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</si>
  <si>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</si>
  <si>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</si>
  <si>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</si>
  <si>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</si>
  <si>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</si>
  <si>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</si>
  <si>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</si>
  <si>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</si>
  <si>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</si>
  <si>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</si>
  <si>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</si>
  <si>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</si>
  <si>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</si>
  <si>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</si>
  <si>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</si>
  <si>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</si>
  <si>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</si>
  <si>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</si>
  <si>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</si>
  <si>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</si>
  <si>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</si>
  <si>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</si>
  <si>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</si>
  <si>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</si>
  <si>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</si>
  <si>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</si>
  <si>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</si>
  <si>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</si>
  <si>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</si>
  <si>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</si>
  <si>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</si>
  <si>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</si>
  <si>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</si>
  <si>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</si>
  <si>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</si>
  <si>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</si>
  <si>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</si>
  <si>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</si>
  <si>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</si>
  <si>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</si>
  <si>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</si>
  <si>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</si>
  <si>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</si>
  <si>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</si>
  <si>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</si>
  <si>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</si>
  <si>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</si>
  <si>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</si>
  <si>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</si>
  <si>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</si>
  <si>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</si>
  <si>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</si>
  <si>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</si>
  <si>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</si>
  <si>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</si>
  <si>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</si>
  <si>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</si>
  <si>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</si>
  <si>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</si>
  <si>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</si>
  <si>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</si>
  <si>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</si>
  <si>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</si>
  <si>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</si>
  <si>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</si>
  <si>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</si>
  <si>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</si>
  <si>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</si>
  <si>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</si>
  <si>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</si>
  <si>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</si>
  <si>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</si>
  <si>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</si>
  <si>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</si>
  <si>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</si>
  <si>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</si>
  <si>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</si>
  <si>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</si>
  <si>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</si>
  <si>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</si>
  <si>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</si>
  <si>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</si>
  <si>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</si>
  <si>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</si>
  <si>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</si>
  <si>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</si>
  <si>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</si>
  <si>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</si>
  <si>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</si>
  <si>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</si>
  <si>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</si>
  <si>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</si>
  <si>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</si>
  <si>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</si>
  <si>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</si>
  <si>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</si>
  <si>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</si>
  <si>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</si>
  <si>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</si>
  <si>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</si>
  <si>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</si>
  <si>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</si>
  <si>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</si>
  <si>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</si>
  <si>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</si>
  <si>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</si>
  <si>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</si>
  <si>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</si>
  <si>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</si>
  <si>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</si>
  <si>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</si>
  <si>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</si>
  <si>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</si>
  <si>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</si>
  <si>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</si>
  <si>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</si>
  <si>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</si>
  <si>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</si>
  <si>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</si>
  <si>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</si>
  <si>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</si>
  <si>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</si>
  <si>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</si>
  <si>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</si>
  <si>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</si>
  <si>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</si>
  <si>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</si>
  <si>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</si>
  <si>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</si>
  <si>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</si>
  <si>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</si>
  <si>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</si>
  <si>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</si>
  <si>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</si>
  <si>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</si>
  <si>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</si>
  <si>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</si>
  <si>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</si>
  <si>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</si>
  <si>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</si>
  <si>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</si>
  <si>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</si>
  <si>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</si>
  <si>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</si>
  <si>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</si>
  <si>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</si>
  <si>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</si>
  <si>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</si>
  <si>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</si>
  <si>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</si>
  <si>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</si>
  <si>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</si>
  <si>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</si>
  <si>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</si>
  <si>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</si>
  <si>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</si>
  <si>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</si>
  <si>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</si>
  <si>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</si>
  <si>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</si>
  <si>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</si>
  <si>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</si>
  <si>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</si>
  <si>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</si>
  <si>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</si>
  <si>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</si>
  <si>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</si>
  <si>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</si>
  <si>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</si>
  <si>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</si>
  <si>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</si>
  <si>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</si>
  <si>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</si>
  <si>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</si>
  <si>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</si>
  <si>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</si>
  <si>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</si>
  <si>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</si>
  <si>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</si>
  <si>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</si>
  <si>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</si>
  <si>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</si>
  <si>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</si>
  <si>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</si>
  <si>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</si>
  <si>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</si>
  <si>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</si>
  <si>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</si>
  <si>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</si>
  <si>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</si>
  <si>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</si>
  <si>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</si>
  <si>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</si>
  <si>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</si>
  <si>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</si>
  <si>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</si>
  <si>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</si>
  <si>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</si>
  <si>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</si>
  <si>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</si>
  <si>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</si>
  <si>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</si>
  <si>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</si>
  <si>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</si>
  <si>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</si>
  <si>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</si>
  <si>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</si>
  <si>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</si>
  <si>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</si>
  <si>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</si>
  <si>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</si>
  <si>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</si>
  <si>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</si>
  <si>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</si>
  <si>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</si>
  <si>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</si>
  <si>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</si>
  <si>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</si>
  <si>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</si>
  <si>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</si>
  <si>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</si>
  <si>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</si>
  <si>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</si>
  <si>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</si>
  <si>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</si>
  <si>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</si>
  <si>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</si>
  <si>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</si>
  <si>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</si>
  <si>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</si>
  <si>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</si>
  <si>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</si>
  <si>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</si>
  <si>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</si>
  <si>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</si>
  <si>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</si>
  <si>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</si>
  <si>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</si>
  <si>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</si>
  <si>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</si>
  <si>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</si>
  <si>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</si>
  <si>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</si>
  <si>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</si>
  <si>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</si>
  <si>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</si>
  <si>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</si>
  <si>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</si>
  <si>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</si>
  <si>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</si>
  <si>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</si>
  <si>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</si>
  <si>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</si>
  <si>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</si>
  <si>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</si>
  <si>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</si>
  <si>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</si>
  <si>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</si>
  <si>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</si>
  <si>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</si>
  <si>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</si>
  <si>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</si>
  <si>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</si>
  <si>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</si>
  <si>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</si>
  <si>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</si>
  <si>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</si>
  <si>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</si>
  <si>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</si>
  <si>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</si>
  <si>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</si>
  <si>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</si>
  <si>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</si>
  <si>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</si>
  <si>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</si>
  <si>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</si>
  <si>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</si>
  <si>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</si>
  <si>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</si>
  <si>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</si>
  <si>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</si>
  <si>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</si>
  <si>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</si>
  <si>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</si>
  <si>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</si>
  <si>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</si>
  <si>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</si>
  <si>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</si>
  <si>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</si>
  <si>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</si>
  <si>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</si>
  <si>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</si>
  <si>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</si>
  <si>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</si>
  <si>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</si>
  <si>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</si>
  <si>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</si>
  <si>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</si>
  <si>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</si>
  <si>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</si>
  <si>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</si>
  <si>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</si>
  <si>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</si>
  <si>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</si>
  <si>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</si>
  <si>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</si>
  <si>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</si>
  <si>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</si>
  <si>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</si>
  <si>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</si>
  <si>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</si>
  <si>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</si>
  <si>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</si>
  <si>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</si>
  <si>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</si>
  <si>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</si>
  <si>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</si>
  <si>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</si>
  <si>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</si>
  <si>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</si>
  <si>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</si>
  <si>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</si>
  <si>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</si>
  <si>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</si>
  <si>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</si>
  <si>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</si>
  <si>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</si>
  <si>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</si>
  <si>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</si>
  <si>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</si>
  <si>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</si>
  <si>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</si>
  <si>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</si>
  <si>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</si>
  <si>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</si>
  <si>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</si>
  <si>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</si>
  <si>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</si>
  <si>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</si>
  <si>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</si>
  <si>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</si>
  <si>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</si>
  <si>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</si>
  <si>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</si>
  <si>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</si>
  <si>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</si>
  <si>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</si>
  <si>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</si>
  <si>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</si>
  <si>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</si>
  <si>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</si>
  <si>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</si>
  <si>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</si>
  <si>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</si>
  <si>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</si>
  <si>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</si>
  <si>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</si>
  <si>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</si>
  <si>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</si>
  <si>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</si>
  <si>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</si>
  <si>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</si>
  <si>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</si>
  <si>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</si>
  <si>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</si>
  <si>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</si>
  <si>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</si>
  <si>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</si>
  <si>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</si>
  <si>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</si>
  <si>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</si>
  <si>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</si>
  <si>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</si>
  <si>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</si>
  <si>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</si>
  <si>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</si>
  <si>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</si>
  <si>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</si>
  <si>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</si>
  <si>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</si>
  <si>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</si>
  <si>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</si>
  <si>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</si>
  <si>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</si>
  <si>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</si>
  <si>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</si>
  <si>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</si>
  <si>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</si>
  <si>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</si>
  <si>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</si>
  <si>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</si>
  <si>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</si>
  <si>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</si>
  <si>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</si>
  <si>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</si>
  <si>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</si>
  <si>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</si>
  <si>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</si>
  <si>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</si>
  <si>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</si>
  <si>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</si>
  <si>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</si>
  <si>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</si>
  <si>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</si>
  <si>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</si>
  <si>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</si>
  <si>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</si>
  <si>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</si>
  <si>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</si>
  <si>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</si>
  <si>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</si>
  <si>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</si>
  <si>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</si>
  <si>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</si>
  <si>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</si>
  <si>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</si>
  <si>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</si>
  <si>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</si>
  <si>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</si>
  <si>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</si>
  <si>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</si>
  <si>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</si>
  <si>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</si>
  <si>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</si>
  <si>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</si>
  <si>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</si>
  <si>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</si>
  <si>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</si>
  <si>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</si>
  <si>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</si>
  <si>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</si>
  <si>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</si>
  <si>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</si>
  <si>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</si>
  <si>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</si>
  <si>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</si>
  <si>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</si>
  <si>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</si>
  <si>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</si>
  <si>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</si>
  <si>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</si>
  <si>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</si>
  <si>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</si>
  <si>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</si>
  <si>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</si>
  <si>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</si>
  <si>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</si>
  <si>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</si>
  <si>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土地证</t>
    <phoneticPr fontId="134" type="noConversion"/>
  </si>
  <si>
    <t>证号</t>
  </si>
  <si>
    <t>土地使用权人</t>
  </si>
  <si>
    <t>序号</t>
  </si>
  <si>
    <t>序号</t>
    <phoneticPr fontId="134" type="noConversion"/>
  </si>
  <si>
    <t>座落</t>
  </si>
  <si>
    <t>地类（用途）</t>
  </si>
  <si>
    <t>使用权面积</t>
  </si>
  <si>
    <t>房地产权证</t>
  </si>
  <si>
    <t>房地产权证号</t>
  </si>
  <si>
    <t>房屋所有权人</t>
  </si>
  <si>
    <t>房屋坐落</t>
  </si>
  <si>
    <t>规划用途</t>
  </si>
  <si>
    <t>总层数/所在楼层</t>
  </si>
  <si>
    <t>建筑面积</t>
  </si>
  <si>
    <t>办公用房</t>
  </si>
  <si>
    <t>地上</t>
  </si>
  <si>
    <t>地下</t>
  </si>
  <si>
    <t>办公</t>
    <phoneticPr fontId="7" type="noConversion"/>
  </si>
  <si>
    <t>仓储</t>
    <phoneticPr fontId="7" type="noConversion"/>
  </si>
  <si>
    <t>成新度</t>
  </si>
  <si>
    <t>外部</t>
    <phoneticPr fontId="134" type="noConversion"/>
  </si>
  <si>
    <t>楼栋</t>
  </si>
  <si>
    <t>楼层</t>
  </si>
  <si>
    <t>出租情况</t>
  </si>
  <si>
    <t>租户名称</t>
  </si>
  <si>
    <t>合同面积</t>
  </si>
  <si>
    <t>合同日</t>
  </si>
  <si>
    <t>年租金（元）</t>
  </si>
  <si>
    <t>（平方米）</t>
  </si>
  <si>
    <t>起始日</t>
  </si>
  <si>
    <t>合计</t>
  </si>
  <si>
    <t>租金</t>
  </si>
  <si>
    <t>产业服务费</t>
  </si>
  <si>
    <t>物业费</t>
  </si>
  <si>
    <t>写字楼</t>
  </si>
  <si>
    <t>北京嘀嘀无限科技发展有限公司</t>
  </si>
  <si>
    <t>2023.3.17</t>
  </si>
  <si>
    <t>2022.7.31</t>
  </si>
  <si>
    <t>2021.8.1</t>
  </si>
  <si>
    <t>3层</t>
  </si>
  <si>
    <t>北京尚东吉米科技发展有限公司</t>
  </si>
  <si>
    <t>2017.12.1</t>
  </si>
  <si>
    <t>2032.11.30</t>
  </si>
  <si>
    <t>1层大堂</t>
  </si>
  <si>
    <t>库房</t>
  </si>
  <si>
    <t>倍升互联（北京）科技有限公司</t>
  </si>
  <si>
    <t>2020.5.1</t>
  </si>
  <si>
    <t>2022.12.31</t>
  </si>
  <si>
    <t>2020.10.15</t>
  </si>
  <si>
    <t>仓储用房已出租面积</t>
    <phoneticPr fontId="134" type="noConversion"/>
  </si>
  <si>
    <t>合计</t>
    <phoneticPr fontId="134" type="noConversion"/>
  </si>
  <si>
    <t>分摊土地面积</t>
    <phoneticPr fontId="134" type="noConversion"/>
  </si>
  <si>
    <t>容积率</t>
    <phoneticPr fontId="134" type="noConversion"/>
  </si>
  <si>
    <t>收益法</t>
  </si>
  <si>
    <t>钢混</t>
  </si>
  <si>
    <t>非生产用房</t>
  </si>
  <si>
    <t>否</t>
  </si>
  <si>
    <t>押一</t>
  </si>
  <si>
    <t>收益法仓储</t>
  </si>
  <si>
    <t>收益法仓储</t>
    <phoneticPr fontId="16" type="noConversion"/>
  </si>
  <si>
    <t>比较法-办公</t>
  </si>
  <si>
    <t>收益法（汇总）</t>
  </si>
  <si>
    <t>项目模式</t>
  </si>
  <si>
    <t>售价</t>
  </si>
  <si>
    <t>自定义容积率</t>
  </si>
  <si>
    <t>A区</t>
  </si>
  <si>
    <t>B区</t>
  </si>
  <si>
    <t>小计</t>
  </si>
  <si>
    <t>下沉商业</t>
  </si>
  <si>
    <t>下沉商业用房</t>
    <phoneticPr fontId="134" type="noConversion"/>
  </si>
  <si>
    <t>地下车库、仓储</t>
    <phoneticPr fontId="134" type="noConversion"/>
  </si>
  <si>
    <t>车库、仓储</t>
    <phoneticPr fontId="134" type="noConversion"/>
  </si>
  <si>
    <t>现状用途</t>
    <phoneticPr fontId="134" type="noConversion"/>
  </si>
  <si>
    <t>办公、商业</t>
    <phoneticPr fontId="134" type="noConversion"/>
  </si>
  <si>
    <t>办公、商业用房已出租面积</t>
    <phoneticPr fontId="134" type="noConversion"/>
  </si>
  <si>
    <r>
      <t>1</t>
    </r>
    <r>
      <rPr>
        <sz val="11"/>
        <color theme="1"/>
        <rFont val="宋体"/>
        <family val="3"/>
        <charset val="134"/>
        <scheme val="minor"/>
      </rPr>
      <t>3（-2）</t>
    </r>
    <phoneticPr fontId="134" type="noConversion"/>
  </si>
  <si>
    <t>钻石大厦</t>
    <phoneticPr fontId="3" type="noConversion"/>
  </si>
  <si>
    <t>2021年1季度</t>
    <phoneticPr fontId="3" type="noConversion"/>
  </si>
  <si>
    <t>正常</t>
  </si>
  <si>
    <t>办公</t>
    <phoneticPr fontId="31" type="noConversion"/>
  </si>
  <si>
    <t>科教</t>
    <phoneticPr fontId="31" type="noConversion"/>
  </si>
  <si>
    <r>
      <t>40-50</t>
    </r>
    <r>
      <rPr>
        <sz val="11"/>
        <rFont val="宋体"/>
        <family val="2"/>
        <charset val="134"/>
      </rPr>
      <t>（含）</t>
    </r>
    <phoneticPr fontId="31" type="noConversion"/>
  </si>
  <si>
    <r>
      <t>30-40</t>
    </r>
    <r>
      <rPr>
        <sz val="11"/>
        <rFont val="宋体"/>
        <family val="2"/>
        <charset val="134"/>
      </rPr>
      <t>（含）</t>
    </r>
    <phoneticPr fontId="31" type="noConversion"/>
  </si>
  <si>
    <r>
      <t>30-40</t>
    </r>
    <r>
      <rPr>
        <sz val="11"/>
        <color rgb="FF000000"/>
        <rFont val="宋体"/>
        <family val="2"/>
        <charset val="134"/>
      </rPr>
      <t>（含）</t>
    </r>
    <phoneticPr fontId="31" type="noConversion"/>
  </si>
  <si>
    <t>较好</t>
  </si>
  <si>
    <t>一般</t>
  </si>
  <si>
    <t>独栋办公楼</t>
  </si>
  <si>
    <t>独栋办公楼</t>
    <phoneticPr fontId="31" type="noConversion"/>
  </si>
  <si>
    <t>钢混</t>
    <phoneticPr fontId="31" type="noConversion"/>
  </si>
  <si>
    <t>精装修</t>
  </si>
  <si>
    <t>精装修</t>
    <phoneticPr fontId="31" type="noConversion"/>
  </si>
  <si>
    <t>专业物业</t>
  </si>
  <si>
    <t>专业物业</t>
    <phoneticPr fontId="31" type="noConversion"/>
  </si>
  <si>
    <t>精装</t>
  </si>
  <si>
    <t>普装</t>
  </si>
  <si>
    <t>简装</t>
  </si>
  <si>
    <t>毛坯</t>
  </si>
  <si>
    <t>标准层高</t>
  </si>
  <si>
    <t>标准层高</t>
    <phoneticPr fontId="31" type="noConversion"/>
  </si>
  <si>
    <t>地下面积占比</t>
    <phoneticPr fontId="31" type="noConversion"/>
  </si>
  <si>
    <r>
      <t>0-10%</t>
    </r>
    <r>
      <rPr>
        <sz val="11"/>
        <color rgb="FF000000"/>
        <rFont val="华文细黑"/>
        <family val="2"/>
        <charset val="134"/>
      </rPr>
      <t>（含）</t>
    </r>
    <phoneticPr fontId="31" type="noConversion"/>
  </si>
  <si>
    <r>
      <t>10%-20%</t>
    </r>
    <r>
      <rPr>
        <sz val="11"/>
        <color rgb="FF000000"/>
        <rFont val="宋体"/>
        <family val="2"/>
        <charset val="134"/>
      </rPr>
      <t>（含）</t>
    </r>
    <phoneticPr fontId="31" type="noConversion"/>
  </si>
  <si>
    <r>
      <t>20%-30%</t>
    </r>
    <r>
      <rPr>
        <sz val="11"/>
        <color rgb="FF000000"/>
        <rFont val="宋体"/>
        <family val="2"/>
        <charset val="134"/>
      </rPr>
      <t>（含）</t>
    </r>
    <phoneticPr fontId="31" type="noConversion"/>
  </si>
  <si>
    <r>
      <t>30%-40%</t>
    </r>
    <r>
      <rPr>
        <sz val="11"/>
        <color rgb="FF000000"/>
        <rFont val="宋体"/>
        <family val="2"/>
        <charset val="134"/>
      </rPr>
      <t>（含）</t>
    </r>
    <phoneticPr fontId="31" type="noConversion"/>
  </si>
  <si>
    <t>七通</t>
  </si>
  <si>
    <t>高速路</t>
    <phoneticPr fontId="31" type="noConversion"/>
  </si>
  <si>
    <t>快速路</t>
    <phoneticPr fontId="31" type="noConversion"/>
  </si>
  <si>
    <t>主干道</t>
    <phoneticPr fontId="31" type="noConversion"/>
  </si>
  <si>
    <t>次干道</t>
  </si>
  <si>
    <t>次干道</t>
    <phoneticPr fontId="31" type="noConversion"/>
  </si>
  <si>
    <t xml:space="preserve">支路 </t>
    <phoneticPr fontId="31" type="noConversion"/>
  </si>
  <si>
    <t>内部道路</t>
  </si>
  <si>
    <t>内部道路</t>
    <phoneticPr fontId="31" type="noConversion"/>
  </si>
  <si>
    <t>金隅科技园</t>
    <phoneticPr fontId="3" type="noConversion"/>
  </si>
  <si>
    <r>
      <t>40-50</t>
    </r>
    <r>
      <rPr>
        <sz val="11"/>
        <color rgb="FF000000"/>
        <rFont val="宋体"/>
        <family val="2"/>
        <charset val="134"/>
      </rPr>
      <t>（含）</t>
    </r>
    <phoneticPr fontId="31" type="noConversion"/>
  </si>
  <si>
    <t>2022年3季度</t>
    <phoneticPr fontId="3" type="noConversion"/>
  </si>
  <si>
    <t>2022年4季度</t>
    <phoneticPr fontId="3" type="noConversion"/>
  </si>
  <si>
    <t>智谷大厦</t>
    <phoneticPr fontId="3" type="noConversion"/>
  </si>
  <si>
    <t>科研</t>
  </si>
  <si>
    <t>科研</t>
    <phoneticPr fontId="31" type="noConversion"/>
  </si>
  <si>
    <t>总价</t>
  </si>
  <si>
    <t>京海国用（2011出）第5374号</t>
    <phoneticPr fontId="134" type="noConversion"/>
  </si>
  <si>
    <t>北京杰伟科技发展有限公司</t>
    <phoneticPr fontId="134" type="noConversion"/>
  </si>
  <si>
    <t>北京市海淀区中关村软件园C9地块杰伟研发中心用地</t>
    <phoneticPr fontId="134" type="noConversion"/>
  </si>
  <si>
    <t>科教用地、仓储用地、其他商服用地</t>
    <phoneticPr fontId="134" type="noConversion"/>
  </si>
  <si>
    <t>科教、地下车库、地下仓储：2061-6-30</t>
    <phoneticPr fontId="134" type="noConversion"/>
  </si>
  <si>
    <t>X京房权证海字第455735号</t>
    <phoneticPr fontId="134" type="noConversion"/>
  </si>
  <si>
    <t>东北旺西路8号院34号楼</t>
    <phoneticPr fontId="134" type="noConversion"/>
  </si>
  <si>
    <t>研发</t>
    <phoneticPr fontId="134" type="noConversion"/>
  </si>
  <si>
    <t>X京房权证海字第455736号</t>
  </si>
  <si>
    <t>东北旺西路8号院35号楼</t>
    <phoneticPr fontId="134" type="noConversion"/>
  </si>
  <si>
    <t>X京房权证海字第455737号</t>
  </si>
  <si>
    <t>东北旺西路8号院37号楼</t>
    <phoneticPr fontId="134" type="noConversion"/>
  </si>
  <si>
    <t>X京房权证海字第468725号</t>
    <phoneticPr fontId="134" type="noConversion"/>
  </si>
  <si>
    <t>东北旺西路8号院38号楼</t>
    <phoneticPr fontId="134" type="noConversion"/>
  </si>
  <si>
    <t>员工餐厅、厨房、员工活动室、设备用房、库房、车库</t>
    <phoneticPr fontId="134" type="noConversion"/>
  </si>
  <si>
    <t>0（-2）</t>
    <phoneticPr fontId="134" type="noConversion"/>
  </si>
  <si>
    <t>杰伟科技项目租赁明细表</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</si>
  <si>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</si>
  <si>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</si>
  <si>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</si>
  <si>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</si>
  <si>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2018.3.18</t>
  </si>
  <si>
    <t>2-5层</t>
  </si>
  <si>
    <t>2018.6.26</t>
  </si>
  <si>
    <t>2023.6.25</t>
  </si>
  <si>
    <t>105、107</t>
  </si>
  <si>
    <t>1层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</si>
  <si>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</si>
  <si>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</si>
  <si>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</si>
  <si>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</si>
  <si>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</si>
  <si>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</si>
  <si>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</si>
  <si>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</si>
  <si>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</si>
  <si>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</si>
  <si>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</si>
  <si>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</si>
  <si>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</si>
  <si>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</si>
  <si>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</si>
  <si>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</si>
  <si>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</si>
  <si>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</si>
  <si>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</si>
  <si>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</si>
  <si>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</si>
  <si>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</si>
  <si>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</si>
  <si>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</si>
  <si>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</si>
  <si>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</si>
  <si>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</si>
  <si>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</si>
  <si>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</si>
  <si>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</si>
  <si>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</si>
  <si>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</si>
  <si>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北京市海淀人民政府上地街道办事处</t>
  </si>
  <si>
    <t>2019.9.1</t>
  </si>
  <si>
    <t>2022.8.31</t>
  </si>
  <si>
    <t>北京优品酷卖科技有限公司</t>
  </si>
  <si>
    <t>2021.4.24</t>
  </si>
  <si>
    <t>2024.4.25</t>
  </si>
  <si>
    <t>北京炫彩名扬图文设计有限公司</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</si>
  <si>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</si>
  <si>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</si>
  <si>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</si>
  <si>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</si>
  <si>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</si>
  <si>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</si>
  <si>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</si>
  <si>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</si>
  <si>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</si>
  <si>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</si>
  <si>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</si>
  <si>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</si>
  <si>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</si>
  <si>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</si>
  <si>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</si>
  <si>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</si>
  <si>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2020.4.26</t>
  </si>
  <si>
    <t>B2-01-06</t>
  </si>
  <si>
    <t>2020.6.26</t>
  </si>
  <si>
    <t>B2-08</t>
  </si>
  <si>
    <t>B2-09</t>
  </si>
  <si>
    <t>北京爱满满餐饮管理有限公司</t>
  </si>
  <si>
    <t>2021.7.1</t>
  </si>
  <si>
    <t>2022.6.30</t>
  </si>
  <si>
    <t>34号楼</t>
    <phoneticPr fontId="134" type="noConversion"/>
  </si>
  <si>
    <t>35号楼</t>
    <phoneticPr fontId="134" type="noConversion"/>
  </si>
  <si>
    <t>37号楼</t>
    <phoneticPr fontId="134" type="noConversion"/>
  </si>
  <si>
    <t>38号楼</t>
    <phoneticPr fontId="134" type="noConversion"/>
  </si>
  <si>
    <t>仓储（商业）</t>
  </si>
  <si>
    <t>仓储（商业）</t>
    <phoneticPr fontId="7" type="noConversion"/>
  </si>
  <si>
    <t>收益法仓储 (2)</t>
  </si>
  <si>
    <t>收益法仓储 (2)</t>
    <phoneticPr fontId="16" type="noConversion"/>
  </si>
  <si>
    <t>商办</t>
    <phoneticPr fontId="134" type="noConversion"/>
  </si>
  <si>
    <t>地下商业</t>
    <phoneticPr fontId="134" type="noConversion"/>
  </si>
  <si>
    <t>仓储</t>
    <phoneticPr fontId="134" type="noConversion"/>
  </si>
  <si>
    <t>本次评估面积</t>
    <phoneticPr fontId="134" type="noConversion"/>
  </si>
  <si>
    <t>租赁台账范围</t>
    <phoneticPr fontId="134" type="noConversion"/>
  </si>
  <si>
    <t>34号楼</t>
    <phoneticPr fontId="134" type="noConversion"/>
  </si>
  <si>
    <t>35号楼</t>
    <phoneticPr fontId="134" type="noConversion"/>
  </si>
  <si>
    <t>37号楼</t>
    <phoneticPr fontId="134" type="noConversion"/>
  </si>
  <si>
    <t>38号楼商业</t>
    <phoneticPr fontId="134" type="noConversion"/>
  </si>
  <si>
    <t>38号楼仓储</t>
    <phoneticPr fontId="134" type="noConversion"/>
  </si>
  <si>
    <t>分摊土地面积</t>
    <phoneticPr fontId="134" type="noConversion"/>
  </si>
  <si>
    <t>合计</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</si>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</sst>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0.00_);\(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color indexed="8"/>
      <name val="华文细黑"/>
      <family val="3"/>
      <charset val="134"/>
    </font>
    <font>
      <b/>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1"/>
      <color rgb="FF000000"/>
      <name val="宋体"/>
      <family val="2"/>
      <charset val="134"/>
    </font>
    <font>
      <sz val="11"/>
      <name val="宋体"/>
      <family val="2"/>
      <charset val="134"/>
    </font>
    <font>
      <sz val="11"/>
      <color rgb="FF000000"/>
      <name val="华文细黑"/>
      <family val="2"/>
      <charset val="134"/>
    </font>
    <font>
      <sz val="11"/>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0" xfId="0" applyFont="1" applyAlignment="1">
      <alignment horizontal="left" vertical="center" wrapText="1"/>
    </xf>
    <xf numFmtId="0" fontId="271" fillId="0" borderId="0" xfId="0" applyFont="1" applyAlignment="1">
      <alignment horizontal="left" vertical="center"/>
    </xf>
    <xf numFmtId="0" fontId="271" fillId="0" borderId="0" xfId="0" applyFont="1" applyAlignment="1">
      <alignment horizontal="right" vertical="center"/>
    </xf>
    <xf numFmtId="0" fontId="273" fillId="0" borderId="0" xfId="0" applyFont="1" applyAlignment="1">
      <alignment horizontal="left" vertical="center"/>
    </xf>
    <xf numFmtId="9" fontId="273" fillId="0" borderId="0" xfId="0" applyNumberFormat="1" applyFont="1" applyAlignment="1">
      <alignment horizontal="left" vertical="center"/>
    </xf>
    <xf numFmtId="0" fontId="95" fillId="0" borderId="0" xfId="10">
      <alignment vertical="center"/>
    </xf>
    <xf numFmtId="0" fontId="272" fillId="0" borderId="176" xfId="0" applyFont="1" applyBorder="1" applyAlignment="1">
      <alignment horizontal="left" vertical="center"/>
    </xf>
    <xf numFmtId="0" fontId="271" fillId="5" borderId="0" xfId="0" applyFont="1" applyFill="1" applyAlignment="1">
      <alignment horizontal="left" vertical="center"/>
    </xf>
    <xf numFmtId="0" fontId="277" fillId="0" borderId="51"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7" fillId="0" borderId="5" xfId="0" applyFont="1" applyBorder="1" applyAlignment="1" applyProtection="1">
      <alignment horizontal="center" vertical="center" wrapText="1"/>
      <protection locked="0"/>
    </xf>
    <xf numFmtId="0" fontId="271" fillId="0" borderId="0" xfId="19" applyFont="1" applyAlignment="1">
      <alignment horizontal="left" vertical="center" wrapText="1"/>
    </xf>
    <xf numFmtId="0" fontId="274" fillId="0" borderId="60" xfId="19" applyFont="1" applyBorder="1" applyAlignment="1">
      <alignment horizontal="center" vertical="center"/>
    </xf>
    <xf numFmtId="0" fontId="95" fillId="0" borderId="0" xfId="19">
      <alignment vertical="center"/>
    </xf>
    <xf numFmtId="0" fontId="275" fillId="0" borderId="178" xfId="19" applyFont="1" applyBorder="1" applyAlignment="1">
      <alignment horizontal="center" vertical="center"/>
    </xf>
    <xf numFmtId="0" fontId="275" fillId="0" borderId="7" xfId="19" applyFont="1" applyBorder="1" applyAlignment="1">
      <alignment horizontal="center" vertical="center"/>
    </xf>
    <xf numFmtId="0" fontId="275" fillId="0" borderId="176" xfId="19" applyFont="1" applyBorder="1" applyAlignment="1">
      <alignment horizontal="center" vertical="center"/>
    </xf>
    <xf numFmtId="43" fontId="275" fillId="0" borderId="176" xfId="19" applyNumberFormat="1" applyFont="1" applyBorder="1" applyAlignment="1">
      <alignment horizontal="center" vertical="center" wrapText="1"/>
    </xf>
    <xf numFmtId="14" fontId="275" fillId="0" borderId="7" xfId="19" applyNumberFormat="1" applyFont="1" applyBorder="1" applyAlignment="1" applyProtection="1">
      <alignment vertical="center" wrapText="1"/>
      <protection locked="0"/>
    </xf>
    <xf numFmtId="0" fontId="275" fillId="5" borderId="7" xfId="19" applyFont="1" applyFill="1" applyBorder="1" applyAlignment="1">
      <alignment horizontal="center" vertical="center"/>
    </xf>
    <xf numFmtId="14" fontId="275" fillId="0" borderId="176" xfId="19" applyNumberFormat="1" applyFont="1" applyBorder="1" applyAlignment="1" applyProtection="1">
      <alignment vertical="center" wrapText="1"/>
      <protection locked="0"/>
    </xf>
    <xf numFmtId="198" fontId="275" fillId="0" borderId="176" xfId="19" applyNumberFormat="1" applyFont="1" applyBorder="1" applyAlignment="1">
      <alignment horizontal="center" vertical="center"/>
    </xf>
    <xf numFmtId="43" fontId="275" fillId="0" borderId="176" xfId="19" applyNumberFormat="1" applyFont="1" applyBorder="1" applyAlignment="1">
      <alignment horizontal="center" vertical="center"/>
    </xf>
    <xf numFmtId="0" fontId="95" fillId="0" borderId="176" xfId="19" applyBorder="1" applyAlignment="1">
      <alignment horizontal="center" vertical="center"/>
    </xf>
    <xf numFmtId="14" fontId="275" fillId="0" borderId="178" xfId="19" applyNumberFormat="1" applyFont="1" applyBorder="1" applyAlignment="1" applyProtection="1">
      <alignment vertical="center" wrapText="1"/>
      <protection locked="0"/>
    </xf>
    <xf numFmtId="0" fontId="274" fillId="0" borderId="7" xfId="19" applyFont="1" applyBorder="1" applyAlignment="1">
      <alignment horizontal="center" vertical="center"/>
    </xf>
    <xf numFmtId="14" fontId="275" fillId="0" borderId="7" xfId="19" applyNumberFormat="1" applyFont="1" applyBorder="1" applyProtection="1">
      <alignment vertical="center"/>
      <protection locked="0"/>
    </xf>
    <xf numFmtId="0" fontId="96" fillId="0" borderId="3" xfId="19" applyFont="1" applyBorder="1" applyAlignment="1">
      <alignment horizontal="center" vertical="center"/>
    </xf>
    <xf numFmtId="197" fontId="96" fillId="0" borderId="176" xfId="19" applyNumberFormat="1" applyFont="1" applyBorder="1">
      <alignment vertical="center"/>
    </xf>
    <xf numFmtId="0" fontId="95" fillId="0" borderId="0" xfId="19" applyAlignment="1">
      <alignment horizontal="center" vertical="center"/>
    </xf>
    <xf numFmtId="197" fontId="95" fillId="0" borderId="0" xfId="19" applyNumberFormat="1">
      <alignment vertical="center"/>
    </xf>
    <xf numFmtId="43" fontId="95" fillId="0" borderId="0" xfId="19" applyNumberFormat="1">
      <alignment vertical="center"/>
    </xf>
    <xf numFmtId="43" fontId="274" fillId="0" borderId="176" xfId="19" applyNumberFormat="1" applyFont="1" applyBorder="1" applyAlignment="1">
      <alignment horizontal="center" vertical="center"/>
    </xf>
    <xf numFmtId="14" fontId="274" fillId="0" borderId="176" xfId="19" applyNumberFormat="1" applyFont="1" applyBorder="1" applyProtection="1">
      <alignment vertical="center"/>
      <protection locked="0"/>
    </xf>
    <xf numFmtId="198" fontId="274" fillId="0" borderId="176" xfId="19" applyNumberFormat="1" applyFont="1" applyBorder="1" applyAlignment="1">
      <alignment horizontal="center" vertical="center"/>
    </xf>
    <xf numFmtId="0" fontId="96" fillId="0" borderId="0" xfId="19" applyFont="1">
      <alignment vertical="center"/>
    </xf>
    <xf numFmtId="14" fontId="274" fillId="0" borderId="178" xfId="19" applyNumberFormat="1" applyFont="1" applyBorder="1" applyAlignment="1" applyProtection="1">
      <alignment vertical="center" wrapText="1"/>
      <protection locked="0"/>
    </xf>
    <xf numFmtId="0" fontId="96" fillId="0" borderId="176" xfId="19" applyFont="1" applyBorder="1" applyAlignment="1">
      <alignment horizontal="center" vertical="center"/>
    </xf>
    <xf numFmtId="14" fontId="274" fillId="0" borderId="54" xfId="19" applyNumberFormat="1" applyFont="1" applyBorder="1" applyProtection="1">
      <alignment vertical="center"/>
      <protection locked="0"/>
    </xf>
    <xf numFmtId="43" fontId="96" fillId="0" borderId="0" xfId="19" applyNumberFormat="1" applyFont="1">
      <alignment vertical="center"/>
    </xf>
    <xf numFmtId="0" fontId="275" fillId="10" borderId="178" xfId="19" applyFont="1" applyFill="1" applyBorder="1" applyAlignment="1">
      <alignment horizontal="center" vertical="center"/>
    </xf>
    <xf numFmtId="0" fontId="275" fillId="10" borderId="7" xfId="19" applyFont="1" applyFill="1" applyBorder="1" applyAlignment="1">
      <alignment horizontal="center" vertical="center"/>
    </xf>
    <xf numFmtId="14" fontId="275" fillId="10" borderId="7" xfId="19" applyNumberFormat="1" applyFont="1" applyFill="1" applyBorder="1" applyAlignment="1" applyProtection="1">
      <alignment vertical="center" wrapText="1"/>
      <protection locked="0"/>
    </xf>
    <xf numFmtId="14" fontId="275" fillId="10" borderId="178" xfId="19" applyNumberFormat="1" applyFont="1" applyFill="1" applyBorder="1" applyProtection="1">
      <alignment vertical="center"/>
      <protection locked="0"/>
    </xf>
    <xf numFmtId="0" fontId="95" fillId="10" borderId="176" xfId="19" applyFill="1" applyBorder="1" applyAlignment="1">
      <alignment horizontal="center" vertical="center"/>
    </xf>
    <xf numFmtId="198" fontId="275" fillId="10" borderId="176" xfId="19" applyNumberFormat="1" applyFont="1" applyFill="1" applyBorder="1" applyAlignment="1">
      <alignment horizontal="center" vertical="center"/>
    </xf>
    <xf numFmtId="43" fontId="275" fillId="10" borderId="176" xfId="19" applyNumberFormat="1" applyFont="1" applyFill="1" applyBorder="1" applyAlignment="1">
      <alignment horizontal="center" vertical="center"/>
    </xf>
    <xf numFmtId="43" fontId="95" fillId="10" borderId="0" xfId="19" applyNumberFormat="1" applyFill="1">
      <alignment vertical="center"/>
    </xf>
    <xf numFmtId="0" fontId="95" fillId="10" borderId="0" xfId="19" applyFill="1">
      <alignment vertical="center"/>
    </xf>
    <xf numFmtId="14" fontId="275" fillId="10" borderId="176" xfId="19" applyNumberFormat="1" applyFont="1" applyFill="1" applyBorder="1" applyProtection="1">
      <alignment vertical="center"/>
      <protection locked="0"/>
    </xf>
    <xf numFmtId="0" fontId="271" fillId="10" borderId="0" xfId="0" applyFont="1" applyFill="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4" fillId="0" borderId="4" xfId="19" applyFont="1" applyBorder="1" applyAlignment="1">
      <alignment horizontal="center" vertical="center"/>
    </xf>
    <xf numFmtId="0" fontId="274" fillId="0" borderId="60" xfId="19" applyFont="1" applyBorder="1" applyAlignment="1">
      <alignment horizontal="center" vertical="center"/>
    </xf>
    <xf numFmtId="0" fontId="274" fillId="0" borderId="7" xfId="19" applyFont="1" applyBorder="1" applyAlignment="1">
      <alignment horizontal="center" vertical="center"/>
    </xf>
    <xf numFmtId="0" fontId="96" fillId="0" borderId="5" xfId="19" applyFont="1" applyBorder="1" applyAlignment="1">
      <alignment horizontal="center" vertical="center"/>
    </xf>
    <xf numFmtId="0" fontId="96" fillId="0" borderId="54" xfId="19" applyFont="1" applyBorder="1" applyAlignment="1">
      <alignment horizontal="center" vertical="center"/>
    </xf>
    <xf numFmtId="0" fontId="96" fillId="0" borderId="3" xfId="19" applyFont="1" applyBorder="1" applyAlignment="1">
      <alignment horizontal="center" vertical="center"/>
    </xf>
    <xf numFmtId="0" fontId="275" fillId="0" borderId="178" xfId="19" applyFont="1" applyBorder="1" applyAlignment="1">
      <alignment horizontal="center" vertical="center"/>
    </xf>
    <xf numFmtId="0" fontId="275" fillId="0" borderId="3" xfId="19" applyFont="1" applyBorder="1" applyAlignment="1">
      <alignment horizontal="center" vertical="center"/>
    </xf>
    <xf numFmtId="43" fontId="275" fillId="0" borderId="5" xfId="19" applyNumberFormat="1" applyFont="1" applyBorder="1" applyAlignment="1">
      <alignment horizontal="center" vertical="center"/>
    </xf>
    <xf numFmtId="43" fontId="275" fillId="0" borderId="54" xfId="19" applyNumberFormat="1" applyFont="1" applyBorder="1" applyAlignment="1">
      <alignment horizontal="center" vertical="center"/>
    </xf>
    <xf numFmtId="43" fontId="275" fillId="0" borderId="3" xfId="19" applyNumberFormat="1" applyFont="1" applyBorder="1" applyAlignment="1">
      <alignment horizontal="center" vertical="center"/>
    </xf>
    <xf numFmtId="0" fontId="275" fillId="0" borderId="176" xfId="19" applyFont="1" applyBorder="1" applyAlignment="1">
      <alignment horizontal="center" vertical="center"/>
    </xf>
    <xf numFmtId="0" fontId="272" fillId="0" borderId="177" xfId="0" applyFont="1" applyBorder="1" applyAlignment="1">
      <alignment horizontal="left" vertical="center"/>
    </xf>
    <xf numFmtId="0" fontId="272" fillId="0" borderId="178" xfId="0" applyFont="1" applyBorder="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280"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3"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9</xdr:row>
      <xdr:rowOff>51689</xdr:rowOff>
    </xdr:from>
    <xdr:to>
      <xdr:col>3</xdr:col>
      <xdr:colOff>1495425</xdr:colOff>
      <xdr:row>31</xdr:row>
      <xdr:rowOff>28008</xdr:rowOff>
    </xdr:to>
    <xdr:pic>
      <xdr:nvPicPr>
        <xdr:cNvPr id="2" name="图片 1">
          <a:extLst>
            <a:ext uri="{FF2B5EF4-FFF2-40B4-BE49-F238E27FC236}">
              <a16:creationId xmlns:a16="http://schemas.microsoft.com/office/drawing/2014/main" xmlns="" id="{98197E3E-3424-1001-33FA-0D4D250F7AEF}"/>
            </a:ext>
          </a:extLst>
        </xdr:cNvPr>
        <xdr:cNvPicPr>
          <a:picLocks noChangeAspect="1"/>
        </xdr:cNvPicPr>
      </xdr:nvPicPr>
      <xdr:blipFill>
        <a:blip xmlns:r="http://schemas.openxmlformats.org/officeDocument/2006/relationships" r:embed="rId1"/>
        <a:stretch>
          <a:fillRect/>
        </a:stretch>
      </xdr:blipFill>
      <xdr:spPr>
        <a:xfrm>
          <a:off x="85725" y="2404364"/>
          <a:ext cx="6019800" cy="3957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a:extLst>
            <a:ext uri="{FF2B5EF4-FFF2-40B4-BE49-F238E27FC236}">
              <a16:creationId xmlns:a16="http://schemas.microsoft.com/office/drawing/2014/main" xmlns="" id="{D45F5912-2017-4F3C-B814-625C4B2EFC15}"/>
            </a:ext>
          </a:extLst>
        </xdr:cNvPr>
        <xdr:cNvPicPr>
          <a:picLocks noChangeAspect="1"/>
        </xdr:cNvPicPr>
      </xdr:nvPicPr>
      <xdr:blipFill>
        <a:blip xmlns:r="http://schemas.openxmlformats.org/officeDocument/2006/relationships" r:embed="rId1"/>
        <a:stretch>
          <a:fillRect/>
        </a:stretch>
      </xdr:blipFill>
      <xdr:spPr>
        <a:xfrm>
          <a:off x="957263" y="233363"/>
          <a:ext cx="2466667" cy="7961905"/>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a:extLst>
            <a:ext uri="{FF2B5EF4-FFF2-40B4-BE49-F238E27FC236}">
              <a16:creationId xmlns:a16="http://schemas.microsoft.com/office/drawing/2014/main" xmlns="" id="{662F3BE9-9DEA-4682-B680-3423186A70B8}"/>
            </a:ext>
          </a:extLst>
        </xdr:cNvPr>
        <xdr:cNvPicPr>
          <a:picLocks noChangeAspect="1"/>
        </xdr:cNvPicPr>
      </xdr:nvPicPr>
      <xdr:blipFill>
        <a:blip xmlns:r="http://schemas.openxmlformats.org/officeDocument/2006/relationships" r:embed="rId2"/>
        <a:stretch>
          <a:fillRect/>
        </a:stretch>
      </xdr:blipFill>
      <xdr:spPr>
        <a:xfrm>
          <a:off x="3810000" y="0"/>
          <a:ext cx="2395237" cy="8204761"/>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xmlns="" id="{A21839DE-D1BD-46D1-8446-D021A4BE6057}"/>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a:extLst>
            <a:ext uri="{FF2B5EF4-FFF2-40B4-BE49-F238E27FC236}">
              <a16:creationId xmlns:a16="http://schemas.microsoft.com/office/drawing/2014/main" xmlns="" id="{F1EC3028-817C-43F2-A8A4-F40460E2EA4C}"/>
            </a:ext>
          </a:extLst>
        </xdr:cNvPr>
        <xdr:cNvPicPr>
          <a:picLocks noChangeAspect="1"/>
        </xdr:cNvPicPr>
      </xdr:nvPicPr>
      <xdr:blipFill>
        <a:blip xmlns:r="http://schemas.openxmlformats.org/officeDocument/2006/relationships" r:embed="rId4"/>
        <a:stretch>
          <a:fillRect/>
        </a:stretch>
      </xdr:blipFill>
      <xdr:spPr>
        <a:xfrm>
          <a:off x="6562725" y="4191000"/>
          <a:ext cx="10914286" cy="3014287"/>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xmlns="" id="{B4C7F66A-87F1-4BE4-BBDB-280AD981B86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a:extLst>
            <a:ext uri="{FF2B5EF4-FFF2-40B4-BE49-F238E27FC236}">
              <a16:creationId xmlns:a16="http://schemas.microsoft.com/office/drawing/2014/main" xmlns="" id="{90AF526D-85D2-4A73-9947-2C3CAC606A53}"/>
            </a:ext>
          </a:extLst>
        </xdr:cNvPr>
        <xdr:cNvPicPr>
          <a:picLocks noChangeAspect="1"/>
        </xdr:cNvPicPr>
      </xdr:nvPicPr>
      <xdr:blipFill>
        <a:blip xmlns:r="http://schemas.openxmlformats.org/officeDocument/2006/relationships" r:embed="rId6"/>
        <a:stretch>
          <a:fillRect/>
        </a:stretch>
      </xdr:blipFill>
      <xdr:spPr>
        <a:xfrm>
          <a:off x="804862" y="8472487"/>
          <a:ext cx="5523805" cy="1557149"/>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a:extLst>
            <a:ext uri="{FF2B5EF4-FFF2-40B4-BE49-F238E27FC236}">
              <a16:creationId xmlns:a16="http://schemas.microsoft.com/office/drawing/2014/main" xmlns="" id="{54B89930-6301-40C4-802C-C109599CB886}"/>
            </a:ext>
          </a:extLst>
        </xdr:cNvPr>
        <xdr:cNvPicPr>
          <a:picLocks noChangeAspect="1"/>
        </xdr:cNvPicPr>
      </xdr:nvPicPr>
      <xdr:blipFill>
        <a:blip xmlns:r="http://schemas.openxmlformats.org/officeDocument/2006/relationships" r:embed="rId7"/>
        <a:stretch>
          <a:fillRect/>
        </a:stretch>
      </xdr:blipFill>
      <xdr:spPr>
        <a:xfrm>
          <a:off x="18516600" y="342900"/>
          <a:ext cx="17185700" cy="78095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a:extLst>
            <a:ext uri="{FF2B5EF4-FFF2-40B4-BE49-F238E27FC236}">
              <a16:creationId xmlns:a16="http://schemas.microsoft.com/office/drawing/2014/main" xmlns="" id="{8781CFE6-F46C-4C91-BB66-2E249F469417}"/>
            </a:ext>
          </a:extLst>
        </xdr:cNvPr>
        <xdr:cNvPicPr>
          <a:picLocks noChangeAspect="1"/>
        </xdr:cNvPicPr>
      </xdr:nvPicPr>
      <xdr:blipFill>
        <a:blip xmlns:r="http://schemas.openxmlformats.org/officeDocument/2006/relationships" r:embed="rId8"/>
        <a:stretch>
          <a:fillRect/>
        </a:stretch>
      </xdr:blipFill>
      <xdr:spPr>
        <a:xfrm>
          <a:off x="18516600" y="1371600"/>
          <a:ext cx="17157128" cy="761907"/>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a:extLst>
            <a:ext uri="{FF2B5EF4-FFF2-40B4-BE49-F238E27FC236}">
              <a16:creationId xmlns:a16="http://schemas.microsoft.com/office/drawing/2014/main" xmlns="" id="{B259BF39-CDFB-4136-8A76-4763A3A116DD}"/>
            </a:ext>
          </a:extLst>
        </xdr:cNvPr>
        <xdr:cNvPicPr>
          <a:picLocks noChangeAspect="1"/>
        </xdr:cNvPicPr>
      </xdr:nvPicPr>
      <xdr:blipFill>
        <a:blip xmlns:r="http://schemas.openxmlformats.org/officeDocument/2006/relationships" r:embed="rId9"/>
        <a:stretch>
          <a:fillRect/>
        </a:stretch>
      </xdr:blipFill>
      <xdr:spPr>
        <a:xfrm>
          <a:off x="18516600" y="2571750"/>
          <a:ext cx="9061897" cy="4857159"/>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a:extLst>
            <a:ext uri="{FF2B5EF4-FFF2-40B4-BE49-F238E27FC236}">
              <a16:creationId xmlns:a16="http://schemas.microsoft.com/office/drawing/2014/main" xmlns="" id="{95779D49-E0D6-2D27-871B-7F86705CF246}"/>
            </a:ext>
          </a:extLst>
        </xdr:cNvPr>
        <xdr:cNvPicPr>
          <a:picLocks noChangeAspect="1"/>
        </xdr:cNvPicPr>
      </xdr:nvPicPr>
      <xdr:blipFill>
        <a:blip xmlns:r="http://schemas.openxmlformats.org/officeDocument/2006/relationships" r:embed="rId10"/>
        <a:stretch>
          <a:fillRect/>
        </a:stretch>
      </xdr:blipFill>
      <xdr:spPr>
        <a:xfrm>
          <a:off x="18859500" y="7560469"/>
          <a:ext cx="6209524"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科研</v>
          </cell>
          <cell r="D64" t="str">
            <v>办公</v>
          </cell>
          <cell r="E64" t="str">
            <v>工业</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独栋办公</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t="str">
            <v>标准层高</v>
          </cell>
          <cell r="D119">
            <v>0</v>
          </cell>
          <cell r="E119">
            <v>0</v>
          </cell>
          <cell r="F119">
            <v>0</v>
          </cell>
          <cell r="G119">
            <v>0</v>
          </cell>
          <cell r="H119">
            <v>0</v>
          </cell>
          <cell r="I119">
            <v>0</v>
          </cell>
          <cell r="J119">
            <v>0</v>
          </cell>
          <cell r="K119">
            <v>0</v>
          </cell>
          <cell r="L119">
            <v>0</v>
          </cell>
          <cell r="M119">
            <v>0</v>
          </cell>
        </row>
        <row r="123">
          <cell r="B123" t="str">
            <v>内部装修</v>
          </cell>
          <cell r="C123" t="str">
            <v>精装</v>
          </cell>
          <cell r="D123" t="str">
            <v>普装</v>
          </cell>
          <cell r="E123" t="str">
            <v>简装</v>
          </cell>
          <cell r="F123" t="str">
            <v>毛坯</v>
          </cell>
          <cell r="G123">
            <v>0</v>
          </cell>
          <cell r="H123">
            <v>0</v>
          </cell>
          <cell r="I123">
            <v>0</v>
          </cell>
          <cell r="J123">
            <v>0</v>
          </cell>
          <cell r="K123">
            <v>0</v>
          </cell>
          <cell r="L123">
            <v>0</v>
          </cell>
          <cell r="M123">
            <v>0</v>
          </cell>
        </row>
      </sheetData>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估价对象为北京市房地产，为所有。根据《国有土地使用证》[]，估价对象（分摊）出让国有建设用地使用权面积为10084.67平方米，建筑面积为31274.16平方米。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估价对象为北京市房地产,属开发建设的，该项目尚在开发建设中。根据《国有土地使用证》[]，估价对象（分摊）出让国有建设用地使用权面积为10084.67平方米，规划建筑面积为31274.16平方米。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2022年12月31日</v>
      </c>
    </row>
    <row r="13" spans="1:2">
      <c r="A13" s="1119" t="s">
        <v>529</v>
      </c>
      <c r="B13" s="1120"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119754</v>
      </c>
    </row>
    <row r="21" spans="1:2">
      <c r="A21" s="1119" t="s">
        <v>537</v>
      </c>
      <c r="B21" s="1120">
        <f ca="1">'预评函-2'!D7</f>
        <v>38292</v>
      </c>
    </row>
    <row r="22" spans="1:2">
      <c r="A22" s="1119" t="s">
        <v>538</v>
      </c>
      <c r="B22" s="1120" t="str">
        <f ca="1">'预评函-2'!D6</f>
        <v>壹拾壹亿玖仟柒佰伍拾肆万元整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119754</v>
      </c>
    </row>
    <row r="31" spans="1:2">
      <c r="A31" s="1119" t="s">
        <v>576</v>
      </c>
      <c r="B31" s="1120">
        <f ca="1">'预评函-2'!D15</f>
        <v>38292</v>
      </c>
    </row>
    <row r="32" spans="1:2">
      <c r="A32" s="1119" t="s">
        <v>543</v>
      </c>
      <c r="B32" s="1120" t="str">
        <f ca="1">'预评函-2'!D14</f>
        <v>壹拾壹亿玖仟柒佰伍拾肆万元整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31274.160000000003</v>
      </c>
    </row>
    <row r="44" spans="1:2">
      <c r="A44" s="1119" t="s">
        <v>575</v>
      </c>
      <c r="B44" s="1120" t="str">
        <f>'预评函-3'!C2</f>
        <v>(分摊)土地面积</v>
      </c>
    </row>
    <row r="45" spans="1:2">
      <c r="A45" s="1119" t="s">
        <v>547</v>
      </c>
      <c r="B45" s="1120">
        <f>'预评函-3'!C4</f>
        <v>10084.67</v>
      </c>
    </row>
    <row r="46" spans="1:2">
      <c r="A46" s="1119" t="s">
        <v>573</v>
      </c>
      <c r="B46" s="1120" t="str">
        <f>'预评函-3'!D2</f>
        <v>出让国有建设用地使用权价值</v>
      </c>
    </row>
    <row r="47" spans="1:2">
      <c r="A47" s="1119" t="s">
        <v>548</v>
      </c>
      <c r="B47" s="1120">
        <f ca="1">'预评函-3'!D4</f>
        <v>85025</v>
      </c>
    </row>
    <row r="48" spans="1:2">
      <c r="A48" s="1119" t="s">
        <v>549</v>
      </c>
      <c r="B48" s="1120">
        <f ca="1">'预评函-3'!E4</f>
        <v>27187</v>
      </c>
    </row>
    <row r="49" spans="1:2">
      <c r="A49" s="1119" t="s">
        <v>550</v>
      </c>
      <c r="B49" s="1120" t="str">
        <f ca="1">'预评函-3'!D5</f>
        <v>捌亿伍仟零贰拾伍万元整</v>
      </c>
    </row>
    <row r="50" spans="1:2">
      <c r="A50" s="1119" t="s">
        <v>574</v>
      </c>
      <c r="B50" s="1120" t="str">
        <f>'预评函-3'!F2</f>
        <v>在建建筑物价值</v>
      </c>
    </row>
    <row r="51" spans="1:2">
      <c r="A51" s="1119" t="s">
        <v>551</v>
      </c>
      <c r="B51" s="1120">
        <f ca="1">'预评函-3'!F4</f>
        <v>34729</v>
      </c>
    </row>
    <row r="52" spans="1:2">
      <c r="A52" s="1119" t="s">
        <v>552</v>
      </c>
      <c r="B52" s="1120">
        <f ca="1">'预评函-3'!G4</f>
        <v>11105</v>
      </c>
    </row>
    <row r="53" spans="1:2">
      <c r="A53" s="1119" t="s">
        <v>580</v>
      </c>
      <c r="B53" s="1120" t="str">
        <f ca="1">'预评函-3'!F5</f>
        <v>叁亿肆仟柒佰贰拾玖万元整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3477</v>
      </c>
      <c r="C19" s="1442"/>
    </row>
    <row r="20" spans="1:3">
      <c r="A20" s="1441" t="s">
        <v>1048</v>
      </c>
      <c r="B20" s="1441" t="s">
        <v>3636</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447" t="s">
        <v>385</v>
      </c>
      <c r="C54" s="1445" t="s">
        <v>583</v>
      </c>
    </row>
    <row r="55" spans="1:4">
      <c r="A55" s="3258"/>
      <c r="B55" s="1447" t="s">
        <v>386</v>
      </c>
      <c r="C55" s="1445" t="s">
        <v>584</v>
      </c>
    </row>
    <row r="56" spans="1:4">
      <c r="A56" s="3258"/>
      <c r="B56" s="1447" t="s">
        <v>387</v>
      </c>
      <c r="C56" s="1445" t="s">
        <v>588</v>
      </c>
    </row>
    <row r="57" spans="1:4">
      <c r="A57" s="325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59" t="s">
        <v>2580</v>
      </c>
      <c r="J2" s="3259"/>
      <c r="K2" s="3259"/>
      <c r="L2" s="3259"/>
      <c r="M2" s="3259"/>
      <c r="N2" s="3259"/>
      <c r="O2" s="3259"/>
      <c r="P2" s="3259"/>
      <c r="Q2" s="3259"/>
      <c r="R2" s="3259"/>
    </row>
    <row r="3" spans="1:18">
      <c r="A3" s="2763" t="s">
        <v>2501</v>
      </c>
      <c r="B3" s="2764">
        <f>项目基本情况!D3</f>
        <v>44926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3.96</v>
      </c>
      <c r="D5" s="2768">
        <f>IF(ISERROR(ROUND(POWER(1+E5,A5-C5)*(POWER(1+E5,C5)-1)/(POWER(1+E5,A5)-1),3)),0,ROUND(POWER(1+E5,A5-C5)*(POWER(1+E5,C5)-1)/(POWER(1+E5,A5)-1),4))</f>
        <v>0.1817</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13.97</v>
      </c>
      <c r="D6" s="2768">
        <f>IF(ISERROR(ROUND(POWER(1+E6,A6-C6)*(POWER(1+E6,C6)-1)/(POWER(1+E6,A6)-1),3)),0,ROUND(POWER(1+E6,A6-C6)*(POWER(1+E6,C6)-1)/(POWER(1+E6,A6)-1),4))</f>
        <v>0.4909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33.99</v>
      </c>
      <c r="D7" s="2768">
        <f>IF(ISERROR(ROUND(POWER(1+E7,A7-C7)*(POWER(1+E7,C7)-1)/(POWER(1+E7,A7)-1),3)),0,ROUND(POWER(1+E7,A7-C7)*(POWER(1+E7,C7)-1)/(POWER(1+E7,A7)-1),4))</f>
        <v>0.78690000000000004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7" sqref="F3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44926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63"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64"/>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v>58987</v>
      </c>
      <c r="F13" s="803">
        <f>E13</f>
        <v>58987</v>
      </c>
      <c r="G13" s="803">
        <f>E13</f>
        <v>58987</v>
      </c>
      <c r="H13" s="803"/>
      <c r="I13" s="803"/>
      <c r="J13" s="2803"/>
      <c r="K13" s="2399"/>
      <c r="L13" s="2399"/>
      <c r="M13" s="2245"/>
      <c r="N13" s="1670"/>
      <c r="O13" s="2245"/>
      <c r="P13" s="2245"/>
      <c r="Q13" s="2245"/>
      <c r="AD13" s="1618"/>
    </row>
    <row r="14" spans="1:30">
      <c r="A14" s="1018"/>
      <c r="B14" s="2218" t="s">
        <v>2191</v>
      </c>
      <c r="C14" s="2219"/>
      <c r="D14" s="2219"/>
      <c r="E14" s="2219">
        <v>50</v>
      </c>
      <c r="F14" s="2219">
        <v>50</v>
      </c>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38.520000000000003</v>
      </c>
      <c r="F15" s="2221">
        <f>IF(A13="出让",IF(F13="","",ROUNDDOWN(MIN((F13-$D$3)/365,F14),2)),F14)</f>
        <v>38.520000000000003</v>
      </c>
      <c r="G15" s="2221">
        <f>IF(A13="出让",IF(G13="","",ROUNDDOWN(MIN((G13-$D$3)/365,G14),2)),G14)</f>
        <v>38.520000000000003</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70"/>
      <c r="C16" s="3271"/>
      <c r="D16" s="3272"/>
      <c r="E16" s="2222" t="s">
        <v>2194</v>
      </c>
      <c r="F16" s="3273"/>
      <c r="G16" s="3274"/>
      <c r="H16" s="3274"/>
      <c r="I16" s="3275"/>
      <c r="J16" s="2245"/>
      <c r="K16" s="2403"/>
      <c r="L16" s="1670"/>
      <c r="M16" s="1670"/>
      <c r="N16" s="2245"/>
      <c r="O16" s="1670"/>
      <c r="P16" s="2245"/>
      <c r="Q16" s="2245"/>
      <c r="R16" s="2245"/>
    </row>
    <row r="17" spans="1:28">
      <c r="A17" s="305" t="s">
        <v>2195</v>
      </c>
      <c r="B17" s="294" t="s">
        <v>2196</v>
      </c>
      <c r="C17" s="8">
        <f>'数据-汇总表'!E3</f>
        <v>31274.160000000003</v>
      </c>
      <c r="D17" s="1256" t="s">
        <v>2197</v>
      </c>
      <c r="E17" s="3276" t="s">
        <v>2198</v>
      </c>
      <c r="F17" s="3277"/>
      <c r="G17" s="3277"/>
      <c r="H17" s="3277"/>
      <c r="I17" s="327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10084.67</v>
      </c>
      <c r="D18" s="1029" t="s">
        <v>2201</v>
      </c>
      <c r="E18" s="3279" t="s">
        <v>2202</v>
      </c>
      <c r="F18" s="3280"/>
      <c r="G18" s="3280"/>
      <c r="H18" s="3280"/>
      <c r="I18" s="328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6" t="s">
        <v>2206</v>
      </c>
      <c r="C20" s="3267"/>
      <c r="D20" s="3268" t="s">
        <v>2207</v>
      </c>
      <c r="E20" s="3269"/>
      <c r="F20" s="2430" t="s">
        <v>1056</v>
      </c>
      <c r="G20" s="2442"/>
      <c r="H20" s="2442"/>
      <c r="I20" s="2442"/>
      <c r="J20" s="2245"/>
      <c r="K20" s="326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8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8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8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84"/>
      <c r="B30" s="294" t="s">
        <v>2218</v>
      </c>
      <c r="C30" s="3285"/>
      <c r="D30" s="3286"/>
      <c r="E30" s="2442"/>
      <c r="F30" s="2442"/>
      <c r="G30" s="2442"/>
      <c r="H30" s="2442"/>
      <c r="I30" s="2442"/>
      <c r="J30" s="2245"/>
      <c r="K30" s="2402"/>
      <c r="L30" s="2399"/>
      <c r="M30" s="2399"/>
      <c r="N30" s="2245"/>
      <c r="O30" s="1670"/>
      <c r="P30" s="2245"/>
      <c r="Q30" s="2245"/>
      <c r="R30" s="2245"/>
      <c r="S30" s="2245"/>
      <c r="T30" s="2245"/>
      <c r="U30" s="2245"/>
      <c r="V30" s="2245"/>
    </row>
    <row r="31" spans="1:28">
      <c r="A31" s="328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8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8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82" t="s">
        <v>2228</v>
      </c>
      <c r="T34" s="315" t="str">
        <f>NUMBERSTRING(7-K34,1)&amp;"通"</f>
        <v>七通</v>
      </c>
      <c r="U34" s="2245"/>
      <c r="V34" s="2245"/>
    </row>
    <row r="35" spans="1:30">
      <c r="A35" s="2236"/>
      <c r="B35" s="3282" t="s">
        <v>2229</v>
      </c>
      <c r="C35" s="3282"/>
      <c r="D35" s="3282"/>
      <c r="E35" s="328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303</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清单!G31</f>
        <v>10084.67</v>
      </c>
      <c r="B3" s="11">
        <f>IF(C3="否",G5-AT5,G5)</f>
        <v>31274.160000000003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31274.160000000003</v>
      </c>
      <c r="H5" s="13">
        <f t="shared" ref="H5:AT5" si="0">SUM(H13:H656)</f>
        <v>31274.160000000003</v>
      </c>
      <c r="I5" s="13">
        <f t="shared" si="0"/>
        <v>25919.38</v>
      </c>
      <c r="J5" s="13">
        <f t="shared" si="0"/>
        <v>0</v>
      </c>
      <c r="K5" s="13">
        <f t="shared" si="0"/>
        <v>3869.79</v>
      </c>
      <c r="L5" s="13">
        <f t="shared" si="0"/>
        <v>0</v>
      </c>
      <c r="M5" s="13">
        <f t="shared" si="0"/>
        <v>1484.9900000000002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31274.160000000003</v>
      </c>
      <c r="BA5" s="15">
        <f t="shared" si="1"/>
        <v>31274.160000000003</v>
      </c>
      <c r="BB5" s="15">
        <f t="shared" si="1"/>
        <v>25919.38</v>
      </c>
      <c r="BC5" s="15">
        <f t="shared" si="1"/>
        <v>3869.79</v>
      </c>
      <c r="BD5" s="15">
        <f t="shared" si="1"/>
        <v>1484.9900000000002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10084.67</v>
      </c>
      <c r="F6" s="13" t="s">
        <v>0</v>
      </c>
      <c r="G6" s="13" t="s">
        <v>1</v>
      </c>
      <c r="H6" s="17">
        <f>SUMIF(I$12:AB$12,"总值",I6:AB6)</f>
        <v>10084.67</v>
      </c>
      <c r="I6" s="13">
        <f t="shared" ref="I6:AB6" si="2">ROUND($A$3*I5/$B$3,2)</f>
        <v>8357.9699999999993</v>
      </c>
      <c r="J6" s="13">
        <f t="shared" si="2"/>
        <v>0</v>
      </c>
      <c r="K6" s="13">
        <f t="shared" si="2"/>
        <v>1247.8499999999999</v>
      </c>
      <c r="L6" s="13">
        <f t="shared" si="2"/>
        <v>0</v>
      </c>
      <c r="M6" s="13">
        <f t="shared" si="2"/>
        <v>478.85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10084.67</v>
      </c>
      <c r="AZ6" s="13" t="s">
        <v>2</v>
      </c>
      <c r="BA6" s="13">
        <f>ROUND($AY$6*BA5/$AZ$5,2)</f>
        <v>10084.67</v>
      </c>
      <c r="BB6" s="13">
        <f>ROUND($AY$6*BB5/$AZ$5,2)</f>
        <v>8357.9699999999993</v>
      </c>
      <c r="BC6" s="13">
        <f t="shared" ref="BC6:BH6" si="4">ROUND($AY$6*BC5/$AZ$5,2)</f>
        <v>1247.8499999999999</v>
      </c>
      <c r="BD6" s="13">
        <f t="shared" si="4"/>
        <v>478.85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t="s">
        <v>3434</v>
      </c>
      <c r="L9" s="761"/>
      <c r="M9" s="1491" t="s">
        <v>3434</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673</v>
      </c>
      <c r="L10" s="761"/>
      <c r="M10" s="1497" t="s">
        <v>3334</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39</v>
      </c>
      <c r="D13" s="1513" t="s">
        <v>3416</v>
      </c>
      <c r="E13" s="13">
        <f>IF($C$3="是",ROUND($A$3*G13/$B$3,2),ROUND($A$3*(G13-AT13)/$B$3,2))</f>
        <v>10084.67</v>
      </c>
      <c r="F13" s="29"/>
      <c r="G13" s="30">
        <f>H13+AC13+AT13</f>
        <v>31274.160000000003</v>
      </c>
      <c r="H13" s="17">
        <f>SUMIF(I$12:AB$12,"总值",I13:AB13)</f>
        <v>31274.160000000003</v>
      </c>
      <c r="I13" s="1514">
        <f>清单!G25+清单!G26+清单!G27</f>
        <v>25919.38</v>
      </c>
      <c r="J13" s="1514"/>
      <c r="K13" s="1514">
        <f>清单!G28</f>
        <v>3869.79</v>
      </c>
      <c r="L13" s="1514"/>
      <c r="M13" s="1514">
        <f>清单!G29</f>
        <v>1484.9900000000002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39</v>
      </c>
      <c r="AY13" s="1260">
        <f>ROUND($AY$6*AZ13/$AZ$5,2)</f>
        <v>10084.67</v>
      </c>
      <c r="AZ13" s="13">
        <f>BA13+BL13</f>
        <v>31274.160000000003</v>
      </c>
      <c r="BA13" s="13">
        <f>SUM(BB13:BK13)</f>
        <v>31274.160000000003</v>
      </c>
      <c r="BB13" s="13">
        <f>IF($D13="是",I13-J13,0)</f>
        <v>25919.38</v>
      </c>
      <c r="BC13" s="13">
        <f>IF($D13="是",K13-L13,0)</f>
        <v>3869.79</v>
      </c>
      <c r="BD13" s="13">
        <f>IF($D13="是",M13-N13,0)</f>
        <v>1484.9900000000002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F43" sqref="F4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8" t="s">
        <v>1131</v>
      </c>
      <c r="B2" s="3298"/>
      <c r="C2" s="3298"/>
      <c r="D2" s="748" t="s">
        <v>1107</v>
      </c>
      <c r="E2" s="1523" t="s">
        <v>1108</v>
      </c>
      <c r="F2" s="2439"/>
      <c r="G2" s="2432"/>
      <c r="H2" s="2433"/>
      <c r="I2" s="2146" t="s">
        <v>1132</v>
      </c>
      <c r="J2" s="2439"/>
      <c r="K2" s="2439"/>
      <c r="L2" s="2439"/>
      <c r="M2" s="2439"/>
      <c r="N2" s="2440"/>
      <c r="O2" s="2439"/>
      <c r="P2" s="2439"/>
    </row>
    <row r="3" spans="1:16" ht="15.75" thickBot="1">
      <c r="A3" s="3299" t="s">
        <v>1105</v>
      </c>
      <c r="B3" s="3299"/>
      <c r="C3" s="3299"/>
      <c r="D3" s="41">
        <f>'数据-基础表'!AY6</f>
        <v>10084.67</v>
      </c>
      <c r="E3" s="41">
        <f>'数据-基础表'!AZ5</f>
        <v>31274.160000000003</v>
      </c>
      <c r="F3" s="2439"/>
      <c r="G3" s="42"/>
      <c r="H3" s="43" t="s">
        <v>1106</v>
      </c>
      <c r="I3" s="802">
        <f>ROUND('数据-基础表'!B3/'数据-基础表'!A3,2)</f>
        <v>3.1</v>
      </c>
      <c r="J3" s="2439"/>
      <c r="K3" s="2439"/>
      <c r="L3" s="2439"/>
      <c r="M3" s="2439"/>
      <c r="N3" s="2440"/>
      <c r="O3" s="2439"/>
      <c r="P3" s="2439"/>
    </row>
    <row r="4" spans="1:16" ht="15">
      <c r="A4" s="3300"/>
      <c r="B4" s="3301"/>
      <c r="C4" s="3302"/>
      <c r="D4" s="1524" t="s">
        <v>1107</v>
      </c>
      <c r="E4" s="1525" t="s">
        <v>1108</v>
      </c>
      <c r="F4" s="2439"/>
      <c r="G4" s="2434" t="s">
        <v>1133</v>
      </c>
      <c r="H4" s="43" t="s">
        <v>1113</v>
      </c>
      <c r="I4" s="802">
        <f>ROUND(SUMIF('数据-基础表'!I9:AS9,"地上",'数据-基础表'!I5:AS5)/'数据-基础表'!A3,2)</f>
        <v>2.57</v>
      </c>
      <c r="J4" s="2439"/>
      <c r="K4" s="2439"/>
      <c r="L4" s="2439"/>
      <c r="M4" s="2439"/>
      <c r="N4" s="2440"/>
      <c r="O4" s="2439"/>
      <c r="P4" s="2439"/>
    </row>
    <row r="5" spans="1:16">
      <c r="A5" s="42" t="s">
        <v>1109</v>
      </c>
      <c r="B5" s="3303" t="s">
        <v>1110</v>
      </c>
      <c r="C5" s="3303"/>
      <c r="D5" s="43">
        <f>ROUND($D$3*E5/$E$3,2)</f>
        <v>0</v>
      </c>
      <c r="E5" s="44">
        <f>SUMIF('数据-基础表'!$11:$11,"住宅",'数据-基础表'!$5:$5)</f>
        <v>0</v>
      </c>
      <c r="F5" s="2439"/>
      <c r="G5" s="42"/>
      <c r="H5" s="43" t="s">
        <v>1106</v>
      </c>
      <c r="I5" s="802">
        <f>ROUND(E31/D31,2)</f>
        <v>3.1</v>
      </c>
      <c r="J5" s="2439"/>
      <c r="K5" s="2439"/>
      <c r="L5" s="2439"/>
      <c r="M5" s="2439"/>
      <c r="N5" s="2439"/>
      <c r="O5" s="2439"/>
      <c r="P5" s="2439"/>
    </row>
    <row r="6" spans="1:16" ht="15" thickBot="1">
      <c r="A6" s="1527"/>
      <c r="B6" s="3303" t="s">
        <v>1111</v>
      </c>
      <c r="C6" s="3303"/>
      <c r="D6" s="43">
        <f>ROUND($D$3*E6/$E$3,2)</f>
        <v>10084.67</v>
      </c>
      <c r="E6" s="44">
        <f>E3-E5</f>
        <v>31274.160000000003</v>
      </c>
      <c r="F6" s="2439"/>
      <c r="G6" s="1529" t="s">
        <v>1112</v>
      </c>
      <c r="H6" s="45" t="s">
        <v>1113</v>
      </c>
      <c r="I6" s="2435">
        <f>ROUND(F31/D31,2)</f>
        <v>2.57</v>
      </c>
      <c r="J6" s="2439"/>
      <c r="K6" s="2439"/>
      <c r="L6" s="2439"/>
      <c r="M6" s="2439"/>
      <c r="N6" s="2439"/>
      <c r="O6" s="2439"/>
      <c r="P6" s="2439"/>
    </row>
    <row r="7" spans="1:16" ht="15.75" thickBot="1">
      <c r="A7" s="3295"/>
      <c r="B7" s="3296"/>
      <c r="C7" s="3297"/>
      <c r="D7" s="1524" t="s">
        <v>1107</v>
      </c>
      <c r="E7" s="1528" t="s">
        <v>1114</v>
      </c>
      <c r="F7" s="2439"/>
      <c r="G7" s="2436" t="s">
        <v>1115</v>
      </c>
      <c r="H7" s="95"/>
      <c r="I7" s="2437">
        <v>1.95</v>
      </c>
      <c r="J7" s="2439"/>
      <c r="K7" s="2439"/>
      <c r="L7" s="2439"/>
      <c r="M7" s="2439"/>
      <c r="N7" s="2439"/>
      <c r="O7" s="2439"/>
      <c r="P7" s="2439"/>
    </row>
    <row r="8" spans="1:16">
      <c r="A8" s="42" t="s">
        <v>1116</v>
      </c>
      <c r="B8" s="45" t="s">
        <v>1117</v>
      </c>
      <c r="C8" s="43" t="s">
        <v>1118</v>
      </c>
      <c r="D8" s="43">
        <f t="shared" ref="D8:D15" si="0">ROUND($D$3*E8/$E$3,2)</f>
        <v>8357.9699999999993</v>
      </c>
      <c r="E8" s="46">
        <f>SUMIF('数据-基础表'!BB10:BK10,"地上",'数据-基础表'!BB5:BK5)</f>
        <v>25919.38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1247.8499999999999</v>
      </c>
      <c r="E10" s="46">
        <f>SUMPRODUCT(('数据-基础表'!BB10:BK10="地下")*('数据-基础表'!BB11:BK11="商业")*('数据-基础表'!BB5:BK5))</f>
        <v>3869.79</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478.85</v>
      </c>
      <c r="E12" s="46">
        <f>SUMPRODUCT(('数据-基础表'!BB10:BK10="地下")*('数据-基础表'!BB11:BK11="仓储")*('数据-基础表'!BB5:BK5))</f>
        <v>1484.9900000000002</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10084.67</v>
      </c>
      <c r="E16" s="48">
        <f>SUM(E8:E15)</f>
        <v>31274.160000000003</v>
      </c>
      <c r="F16" s="2439"/>
      <c r="G16" s="2439"/>
      <c r="H16" s="1531" t="s">
        <v>1135</v>
      </c>
      <c r="I16" s="1532"/>
      <c r="J16" s="1071"/>
      <c r="K16" s="3292" t="s">
        <v>1135</v>
      </c>
      <c r="L16" s="3293"/>
      <c r="M16" s="3293"/>
      <c r="N16" s="3293"/>
      <c r="O16" s="3293"/>
      <c r="P16" s="3294"/>
    </row>
    <row r="17" spans="1:19" ht="15">
      <c r="A17" s="1533" t="s">
        <v>1136</v>
      </c>
      <c r="B17" s="1534" t="s">
        <v>1137</v>
      </c>
      <c r="C17" s="1535" t="s">
        <v>1138</v>
      </c>
      <c r="D17" s="1536" t="s">
        <v>1126</v>
      </c>
      <c r="E17" s="1537" t="s">
        <v>1127</v>
      </c>
      <c r="F17" s="1538"/>
      <c r="G17" s="1539"/>
      <c r="H17" s="1540" t="s">
        <v>1139</v>
      </c>
      <c r="I17" s="1541" t="s">
        <v>1124</v>
      </c>
      <c r="J17" s="1071"/>
      <c r="K17" s="3289" t="s">
        <v>1140</v>
      </c>
      <c r="L17" s="3290"/>
      <c r="M17" s="3291"/>
      <c r="N17" s="3289" t="s">
        <v>1141</v>
      </c>
      <c r="O17" s="3290"/>
      <c r="P17" s="329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3435</v>
      </c>
      <c r="D19" s="43">
        <f>ROUND($D$3*E19/$E$3,2)</f>
        <v>8357.9699999999993</v>
      </c>
      <c r="E19" s="51">
        <f t="shared" ref="E19:E26" si="1">SUM(F19:G19)</f>
        <v>25919.38</v>
      </c>
      <c r="F19" s="2558">
        <f>'数据-基础表'!I13+'数据-基础表'!I14+'数据-基础表'!I15</f>
        <v>25919.38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8357.9699999999993</v>
      </c>
      <c r="S19" s="51">
        <f t="shared" si="5"/>
        <v>25919.38</v>
      </c>
    </row>
    <row r="20" spans="1:19">
      <c r="A20" s="1549"/>
      <c r="B20" s="45" t="s">
        <v>1153</v>
      </c>
      <c r="C20" s="3116" t="s">
        <v>3634</v>
      </c>
      <c r="D20" s="43">
        <f t="shared" ref="D20:D26" si="6">ROUND($D$3*E20/$E$3,2)</f>
        <v>1247.8499999999999</v>
      </c>
      <c r="E20" s="51">
        <f t="shared" si="1"/>
        <v>3869.79</v>
      </c>
      <c r="F20" s="2558"/>
      <c r="G20" s="1243">
        <f>'数据-基础表'!K13</f>
        <v>3869.79</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1247.8499999999999</v>
      </c>
      <c r="S20" s="51">
        <f t="shared" si="5"/>
        <v>3869.79</v>
      </c>
    </row>
    <row r="21" spans="1:19">
      <c r="A21" s="1549"/>
      <c r="B21" s="45" t="s">
        <v>1153</v>
      </c>
      <c r="C21" s="3116" t="s">
        <v>3436</v>
      </c>
      <c r="D21" s="43">
        <f t="shared" si="6"/>
        <v>478.85</v>
      </c>
      <c r="E21" s="51">
        <f t="shared" si="1"/>
        <v>1484.9900000000002</v>
      </c>
      <c r="F21" s="2558"/>
      <c r="G21" s="1243">
        <f>'数据-基础表'!M13</f>
        <v>1484.9900000000002</v>
      </c>
      <c r="H21" s="637">
        <f t="shared" si="7"/>
        <v>0</v>
      </c>
      <c r="I21" s="46">
        <f t="shared" si="2"/>
        <v>0</v>
      </c>
      <c r="J21" s="1071"/>
      <c r="K21" s="637">
        <f t="shared" si="3"/>
        <v>0</v>
      </c>
      <c r="L21" s="43">
        <f t="shared" si="4"/>
        <v>0</v>
      </c>
      <c r="M21" s="46">
        <f t="shared" si="8"/>
        <v>0</v>
      </c>
      <c r="N21" s="1550"/>
      <c r="O21" s="1551"/>
      <c r="P21" s="46">
        <f t="shared" si="9"/>
        <v>0</v>
      </c>
      <c r="R21" s="43">
        <f t="shared" si="5"/>
        <v>478.85</v>
      </c>
      <c r="S21" s="51">
        <f t="shared" si="5"/>
        <v>1484.9900000000002</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10084.67</v>
      </c>
      <c r="E27" s="1073">
        <f>IF(SUM(E19:E26)='数据-基础表'!BA5,SUM(E19:E26),IF(F27="地上面积有误","面积有误","地下面积有误"))</f>
        <v>31274.160000000003</v>
      </c>
      <c r="F27" s="1072">
        <f>IF(SUM(F19:F26)=E8,SUM(F19:F26),"地上面积有误")</f>
        <v>25919.38</v>
      </c>
      <c r="G27" s="1074">
        <f>SUM(G19:G26)</f>
        <v>5354.7800000000007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10084.67</v>
      </c>
      <c r="S27" s="43">
        <f>IF(SUM(S19:S26)=$E$3,SUM(S19:S26),SUM(S19:S26)&amp;"误差"&amp;ROUND(SUM(S19:S26)-E3,2))</f>
        <v>31274.160000000003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10084.67</v>
      </c>
      <c r="E31" s="643">
        <f>E27+E30</f>
        <v>31274.160000000003</v>
      </c>
      <c r="F31" s="644">
        <f>F27+F30</f>
        <v>25919.38</v>
      </c>
      <c r="G31" s="645">
        <f>G27+G30</f>
        <v>5354.7800000000007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6">
      <c r="D33" s="1558"/>
    </row>
    <row r="35" spans="4:6">
      <c r="F35" s="1522">
        <f>G31/E31</f>
        <v>0.17122058594059761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view="pageBreakPreview" topLeftCell="A10" zoomScaleNormal="100" zoomScaleSheetLayoutView="100" workbookViewId="0">
      <selection activeCell="K51" sqref="K51"/>
    </sheetView>
  </sheetViews>
  <sheetFormatPr defaultColWidth="9" defaultRowHeight="13.5"/>
  <cols>
    <col min="1" max="2" width="9" style="3180"/>
    <col min="3" max="3" width="15.75" style="3180" customWidth="1"/>
    <col min="4" max="4" width="9" style="3180"/>
    <col min="5" max="5" width="35.875" style="3180" customWidth="1"/>
    <col min="6" max="6" width="10.875" style="3180" customWidth="1"/>
    <col min="7" max="7" width="16.25" style="3180" customWidth="1"/>
    <col min="8" max="8" width="17.25" style="3180" customWidth="1"/>
    <col min="9" max="9" width="15.625" style="3196" customWidth="1"/>
    <col min="10" max="10" width="16.375" style="3196" customWidth="1"/>
    <col min="11" max="11" width="15.25" style="3196" customWidth="1"/>
    <col min="12" max="14" width="19.75" style="3180" customWidth="1"/>
    <col min="15" max="15" width="19.5" style="3180" bestFit="1" customWidth="1"/>
    <col min="16" max="16384" width="9" style="3180"/>
  </cols>
  <sheetData>
    <row r="1" spans="1:15" ht="13.5" customHeight="1">
      <c r="A1" s="3305" t="s">
        <v>3555</v>
      </c>
      <c r="B1" s="3305"/>
      <c r="C1" s="3305"/>
      <c r="D1" s="3305"/>
      <c r="E1" s="3305"/>
      <c r="F1" s="3305"/>
      <c r="G1" s="3305"/>
      <c r="H1" s="3305"/>
      <c r="I1" s="3305"/>
      <c r="J1" s="3305"/>
      <c r="K1" s="3305"/>
      <c r="L1" s="3305"/>
      <c r="M1" s="3305"/>
      <c r="N1" s="3305"/>
    </row>
    <row r="2" spans="1:15" ht="13.5" customHeight="1">
      <c r="A2" s="3310" t="s">
        <v>3420</v>
      </c>
      <c r="B2" s="3310" t="s">
        <v>3439</v>
      </c>
      <c r="C2" s="3310" t="s">
        <v>3440</v>
      </c>
      <c r="D2" s="3310" t="s">
        <v>3441</v>
      </c>
      <c r="E2" s="3310" t="s">
        <v>3442</v>
      </c>
      <c r="F2" s="3182" t="s">
        <v>3443</v>
      </c>
      <c r="G2" s="3311" t="s">
        <v>3444</v>
      </c>
      <c r="H2" s="3311"/>
      <c r="I2" s="3312" t="s">
        <v>3556</v>
      </c>
      <c r="J2" s="3313"/>
      <c r="K2" s="3314"/>
      <c r="L2" s="3315" t="s">
        <v>3445</v>
      </c>
      <c r="M2" s="3315"/>
      <c r="N2" s="3315"/>
    </row>
    <row r="3" spans="1:15" ht="27">
      <c r="A3" s="3310"/>
      <c r="B3" s="3310"/>
      <c r="C3" s="3310"/>
      <c r="D3" s="3310"/>
      <c r="E3" s="3310"/>
      <c r="F3" s="3182" t="s">
        <v>3446</v>
      </c>
      <c r="G3" s="3182" t="s">
        <v>3447</v>
      </c>
      <c r="H3" s="3182" t="s">
        <v>2503</v>
      </c>
      <c r="I3" s="3184" t="s">
        <v>3557</v>
      </c>
      <c r="J3" s="3184" t="s">
        <v>3558</v>
      </c>
      <c r="K3" s="3184" t="s">
        <v>3559</v>
      </c>
      <c r="L3" s="3183" t="s">
        <v>3449</v>
      </c>
      <c r="M3" s="3183" t="s">
        <v>3450</v>
      </c>
      <c r="N3" s="3183" t="s">
        <v>3451</v>
      </c>
    </row>
    <row r="4" spans="1:15">
      <c r="A4" s="3181">
        <v>1</v>
      </c>
      <c r="B4" s="3182">
        <v>34</v>
      </c>
      <c r="C4" s="3182">
        <v>34</v>
      </c>
      <c r="D4" s="3182" t="s">
        <v>3452</v>
      </c>
      <c r="E4" s="3185" t="s">
        <v>3453</v>
      </c>
      <c r="F4" s="3186">
        <v>11211.23</v>
      </c>
      <c r="G4" s="3187" t="s">
        <v>3560</v>
      </c>
      <c r="H4" s="3187" t="s">
        <v>3454</v>
      </c>
      <c r="I4" s="3188">
        <v>6.04</v>
      </c>
      <c r="J4" s="3188"/>
      <c r="K4" s="3188">
        <v>25</v>
      </c>
      <c r="L4" s="3189">
        <v>26189433.239999998</v>
      </c>
      <c r="M4" s="3189">
        <v>0</v>
      </c>
      <c r="N4" s="3189">
        <v>3363369</v>
      </c>
    </row>
    <row r="5" spans="1:15">
      <c r="A5" s="3181">
        <v>2</v>
      </c>
      <c r="B5" s="3182">
        <v>35</v>
      </c>
      <c r="C5" s="3182" t="s">
        <v>3561</v>
      </c>
      <c r="D5" s="3182" t="s">
        <v>3452</v>
      </c>
      <c r="E5" s="3185" t="s">
        <v>3453</v>
      </c>
      <c r="F5" s="3186">
        <v>10482.049999999999</v>
      </c>
      <c r="G5" s="3187" t="s">
        <v>3562</v>
      </c>
      <c r="H5" s="3187" t="s">
        <v>3563</v>
      </c>
      <c r="I5" s="3190">
        <v>6.04</v>
      </c>
      <c r="J5" s="3188"/>
      <c r="K5" s="3188">
        <v>25</v>
      </c>
      <c r="L5" s="3189">
        <v>24141733.440000001</v>
      </c>
      <c r="M5" s="3189">
        <v>0</v>
      </c>
      <c r="N5" s="3189">
        <v>3144615</v>
      </c>
    </row>
    <row r="6" spans="1:15">
      <c r="A6" s="3181">
        <v>3</v>
      </c>
      <c r="B6" s="3182">
        <v>35</v>
      </c>
      <c r="C6" s="3182" t="s">
        <v>3564</v>
      </c>
      <c r="D6" s="3182" t="s">
        <v>673</v>
      </c>
      <c r="E6" s="3185" t="s">
        <v>3463</v>
      </c>
      <c r="F6" s="3182">
        <v>853.39</v>
      </c>
      <c r="G6" s="3191" t="s">
        <v>3464</v>
      </c>
      <c r="H6" s="3191" t="s">
        <v>3465</v>
      </c>
      <c r="I6" s="3190">
        <v>5.25</v>
      </c>
      <c r="J6" s="3188"/>
      <c r="K6" s="3188">
        <v>38</v>
      </c>
      <c r="L6" s="3189">
        <v>1499032.92</v>
      </c>
      <c r="M6" s="3189">
        <v>0</v>
      </c>
      <c r="N6" s="3189">
        <v>356717.02</v>
      </c>
    </row>
    <row r="7" spans="1:15">
      <c r="A7" s="3181">
        <v>4</v>
      </c>
      <c r="B7" s="3182">
        <v>37</v>
      </c>
      <c r="C7" s="3182" t="s">
        <v>3565</v>
      </c>
      <c r="D7" s="3182" t="s">
        <v>3452</v>
      </c>
      <c r="E7" s="3185" t="s">
        <v>3458</v>
      </c>
      <c r="F7" s="3182">
        <v>5751.21</v>
      </c>
      <c r="G7" s="3191" t="s">
        <v>3459</v>
      </c>
      <c r="H7" s="3191" t="s">
        <v>3460</v>
      </c>
      <c r="I7" s="3190">
        <v>1.5</v>
      </c>
      <c r="J7" s="3188">
        <v>2</v>
      </c>
      <c r="K7" s="3188"/>
      <c r="L7" s="3189">
        <v>3148787.4</v>
      </c>
      <c r="M7" s="3189">
        <v>0</v>
      </c>
      <c r="N7" s="3189">
        <v>4198383.3600000003</v>
      </c>
    </row>
    <row r="8" spans="1:15">
      <c r="A8" s="3181">
        <v>5</v>
      </c>
      <c r="B8" s="3182">
        <v>37</v>
      </c>
      <c r="C8" s="3182" t="s">
        <v>3457</v>
      </c>
      <c r="D8" s="3182" t="s">
        <v>3452</v>
      </c>
      <c r="E8" s="3185" t="s">
        <v>3566</v>
      </c>
      <c r="F8" s="3182">
        <v>1643.47</v>
      </c>
      <c r="G8" s="3191" t="s">
        <v>3567</v>
      </c>
      <c r="H8" s="3191" t="s">
        <v>3568</v>
      </c>
      <c r="I8" s="3190">
        <v>4</v>
      </c>
      <c r="J8" s="3188">
        <v>2.6</v>
      </c>
      <c r="K8" s="3188">
        <v>30</v>
      </c>
      <c r="L8" s="3189">
        <v>2399466.2400000002</v>
      </c>
      <c r="M8" s="3189">
        <v>1559652.36</v>
      </c>
      <c r="N8" s="3189">
        <v>591649.19999999995</v>
      </c>
    </row>
    <row r="9" spans="1:15">
      <c r="A9" s="3181">
        <v>6</v>
      </c>
      <c r="B9" s="3182">
        <v>37</v>
      </c>
      <c r="C9" s="3182" t="s">
        <v>3569</v>
      </c>
      <c r="D9" s="3182" t="s">
        <v>3452</v>
      </c>
      <c r="E9" s="3185" t="s">
        <v>3453</v>
      </c>
      <c r="F9" s="3182">
        <v>663.69</v>
      </c>
      <c r="G9" s="3191" t="s">
        <v>3570</v>
      </c>
      <c r="H9" s="3191" t="s">
        <v>3571</v>
      </c>
      <c r="I9" s="3190">
        <v>4</v>
      </c>
      <c r="J9" s="3188">
        <v>2.78</v>
      </c>
      <c r="K9" s="3188">
        <v>25</v>
      </c>
      <c r="L9" s="3189">
        <v>645991.6</v>
      </c>
      <c r="M9" s="3189">
        <v>448964.16</v>
      </c>
      <c r="N9" s="3189">
        <v>132738</v>
      </c>
    </row>
    <row r="10" spans="1:15">
      <c r="A10" s="3181">
        <v>7</v>
      </c>
      <c r="B10" s="3182">
        <v>37</v>
      </c>
      <c r="C10" s="3182" t="s">
        <v>3572</v>
      </c>
      <c r="D10" s="3182" t="s">
        <v>3452</v>
      </c>
      <c r="E10" s="3185" t="s">
        <v>3573</v>
      </c>
      <c r="F10" s="3182">
        <v>989.94</v>
      </c>
      <c r="G10" s="3187" t="s">
        <v>3574</v>
      </c>
      <c r="H10" s="3187" t="s">
        <v>3575</v>
      </c>
      <c r="I10" s="3190">
        <v>5.98</v>
      </c>
      <c r="J10" s="3188"/>
      <c r="K10" s="3188">
        <v>25</v>
      </c>
      <c r="L10" s="3189">
        <v>360123.68</v>
      </c>
      <c r="M10" s="3189">
        <v>0</v>
      </c>
      <c r="N10" s="3189">
        <v>49497</v>
      </c>
    </row>
    <row r="11" spans="1:15">
      <c r="A11" s="3181">
        <v>8</v>
      </c>
      <c r="B11" s="3182">
        <v>37</v>
      </c>
      <c r="C11" s="3182" t="s">
        <v>3576</v>
      </c>
      <c r="D11" s="3182" t="s">
        <v>3452</v>
      </c>
      <c r="E11" s="3185" t="s">
        <v>3577</v>
      </c>
      <c r="F11" s="3182">
        <v>1399.79</v>
      </c>
      <c r="G11" s="3191" t="s">
        <v>3456</v>
      </c>
      <c r="H11" s="3191" t="s">
        <v>3455</v>
      </c>
      <c r="I11" s="3190">
        <v>4</v>
      </c>
      <c r="J11" s="3188">
        <v>1.01</v>
      </c>
      <c r="K11" s="3188">
        <v>30</v>
      </c>
      <c r="L11" s="3189">
        <v>1021846.68</v>
      </c>
      <c r="M11" s="3189">
        <v>255461.7</v>
      </c>
      <c r="N11" s="3189">
        <v>255951.6</v>
      </c>
    </row>
    <row r="12" spans="1:15">
      <c r="A12" s="3181">
        <v>9</v>
      </c>
      <c r="B12" s="3182">
        <v>37</v>
      </c>
      <c r="C12" s="3182" t="s">
        <v>3578</v>
      </c>
      <c r="D12" s="3182" t="s">
        <v>3452</v>
      </c>
      <c r="E12" s="3185" t="s">
        <v>3579</v>
      </c>
      <c r="F12" s="3182">
        <v>255</v>
      </c>
      <c r="G12" s="3191" t="s">
        <v>3456</v>
      </c>
      <c r="H12" s="3191" t="s">
        <v>3455</v>
      </c>
      <c r="I12" s="3190">
        <v>4</v>
      </c>
      <c r="J12" s="3188">
        <v>1.01</v>
      </c>
      <c r="K12" s="3188">
        <v>30</v>
      </c>
      <c r="L12" s="3189">
        <v>186150</v>
      </c>
      <c r="M12" s="3189">
        <v>46537.5</v>
      </c>
      <c r="N12" s="3189">
        <v>46626.78</v>
      </c>
    </row>
    <row r="13" spans="1:15" s="3202" customFormat="1">
      <c r="A13" s="3304"/>
      <c r="B13" s="3305"/>
      <c r="C13" s="3305"/>
      <c r="D13" s="3305"/>
      <c r="E13" s="3306"/>
      <c r="F13" s="3192">
        <f>SUM(F4:F12)</f>
        <v>33249.769999999997</v>
      </c>
      <c r="G13" s="3203"/>
      <c r="H13" s="3203"/>
      <c r="I13" s="3204"/>
      <c r="J13" s="3201"/>
      <c r="K13" s="3201"/>
      <c r="L13" s="3199">
        <f>SUM(L4:L12)</f>
        <v>59592565.200000003</v>
      </c>
      <c r="M13" s="3199">
        <f t="shared" ref="M13:N13" si="0">SUM(M4:M12)</f>
        <v>2310615.7200000002</v>
      </c>
      <c r="N13" s="3199">
        <f t="shared" si="0"/>
        <v>12139546.959999997</v>
      </c>
      <c r="O13" s="3206">
        <f>L13+M13+N13</f>
        <v>74042727.879999995</v>
      </c>
    </row>
    <row r="14" spans="1:15">
      <c r="A14" s="3181">
        <v>1</v>
      </c>
      <c r="B14" s="3182">
        <v>35</v>
      </c>
      <c r="C14" s="3182">
        <v>101</v>
      </c>
      <c r="D14" s="3182" t="s">
        <v>673</v>
      </c>
      <c r="E14" s="3193" t="s">
        <v>3580</v>
      </c>
      <c r="F14" s="3182">
        <v>120.46</v>
      </c>
      <c r="G14" s="3191" t="s">
        <v>3581</v>
      </c>
      <c r="H14" s="3191" t="s">
        <v>3582</v>
      </c>
      <c r="I14" s="3190">
        <v>9.26</v>
      </c>
      <c r="J14" s="3188"/>
      <c r="K14" s="3188">
        <v>38</v>
      </c>
      <c r="L14" s="3189">
        <v>407142.72</v>
      </c>
      <c r="M14" s="3189">
        <v>0</v>
      </c>
      <c r="N14" s="3189">
        <v>54929.760000000002</v>
      </c>
    </row>
    <row r="15" spans="1:15">
      <c r="A15" s="3181">
        <v>2</v>
      </c>
      <c r="B15" s="3182">
        <v>35</v>
      </c>
      <c r="C15" s="3182">
        <v>102</v>
      </c>
      <c r="D15" s="3182" t="s">
        <v>673</v>
      </c>
      <c r="E15" s="3193" t="s">
        <v>3583</v>
      </c>
      <c r="F15" s="3182">
        <v>80</v>
      </c>
      <c r="G15" s="3191" t="s">
        <v>3581</v>
      </c>
      <c r="H15" s="3191" t="s">
        <v>3582</v>
      </c>
      <c r="I15" s="3190">
        <v>9.26</v>
      </c>
      <c r="J15" s="3188"/>
      <c r="K15" s="3188">
        <v>38</v>
      </c>
      <c r="L15" s="3189">
        <v>270392.03999999998</v>
      </c>
      <c r="M15" s="3189">
        <v>0</v>
      </c>
      <c r="N15" s="3189">
        <v>36480</v>
      </c>
    </row>
    <row r="16" spans="1:15">
      <c r="A16" s="3181">
        <v>3</v>
      </c>
      <c r="B16" s="3182">
        <v>35</v>
      </c>
      <c r="C16" s="3182">
        <v>103</v>
      </c>
      <c r="D16" s="3182" t="s">
        <v>673</v>
      </c>
      <c r="E16" s="3185" t="s">
        <v>3584</v>
      </c>
      <c r="F16" s="3182">
        <v>424.31</v>
      </c>
      <c r="G16" s="3191" t="s">
        <v>3585</v>
      </c>
      <c r="H16" s="3191" t="s">
        <v>3586</v>
      </c>
      <c r="I16" s="3190">
        <v>11.61</v>
      </c>
      <c r="J16" s="3188"/>
      <c r="K16" s="3188">
        <v>38</v>
      </c>
      <c r="L16" s="3189">
        <v>1672242.81</v>
      </c>
      <c r="M16" s="3189">
        <v>0</v>
      </c>
      <c r="N16" s="3189">
        <v>177361.58</v>
      </c>
    </row>
    <row r="17" spans="1:15">
      <c r="A17" s="3181">
        <v>4</v>
      </c>
      <c r="B17" s="3182">
        <v>35</v>
      </c>
      <c r="C17" s="3182">
        <v>104</v>
      </c>
      <c r="D17" s="3182" t="s">
        <v>673</v>
      </c>
      <c r="E17" s="3185" t="s">
        <v>3463</v>
      </c>
      <c r="F17" s="3182">
        <v>282.62</v>
      </c>
      <c r="G17" s="3191" t="s">
        <v>3464</v>
      </c>
      <c r="H17" s="3191" t="s">
        <v>3465</v>
      </c>
      <c r="I17" s="3190">
        <v>6.75</v>
      </c>
      <c r="J17" s="3188"/>
      <c r="K17" s="3188">
        <v>38</v>
      </c>
      <c r="L17" s="3189">
        <v>732839.58</v>
      </c>
      <c r="M17" s="3189">
        <v>0</v>
      </c>
      <c r="N17" s="3189">
        <v>118135.16</v>
      </c>
    </row>
    <row r="18" spans="1:15">
      <c r="A18" s="3181">
        <v>5</v>
      </c>
      <c r="B18" s="3182">
        <v>35</v>
      </c>
      <c r="C18" s="3182">
        <v>108</v>
      </c>
      <c r="D18" s="3182" t="s">
        <v>673</v>
      </c>
      <c r="E18" s="3185" t="s">
        <v>3453</v>
      </c>
      <c r="F18" s="3182">
        <v>156.6</v>
      </c>
      <c r="G18" s="3191" t="s">
        <v>3587</v>
      </c>
      <c r="H18" s="3191" t="s">
        <v>3588</v>
      </c>
      <c r="I18" s="3190">
        <v>4</v>
      </c>
      <c r="J18" s="3188">
        <v>4.75</v>
      </c>
      <c r="K18" s="3188">
        <v>38</v>
      </c>
      <c r="L18" s="3189">
        <v>95265</v>
      </c>
      <c r="M18" s="3189">
        <v>113127.2</v>
      </c>
      <c r="N18" s="3189">
        <v>29754</v>
      </c>
    </row>
    <row r="19" spans="1:15">
      <c r="A19" s="3181">
        <v>6</v>
      </c>
      <c r="B19" s="3182">
        <v>35</v>
      </c>
      <c r="C19" s="3182">
        <v>117</v>
      </c>
      <c r="D19" s="3182" t="s">
        <v>673</v>
      </c>
      <c r="E19" s="3185" t="s">
        <v>3589</v>
      </c>
      <c r="F19" s="3182">
        <v>113.69</v>
      </c>
      <c r="G19" s="3191" t="s">
        <v>3590</v>
      </c>
      <c r="H19" s="3191" t="s">
        <v>3591</v>
      </c>
      <c r="I19" s="3190">
        <v>11.75</v>
      </c>
      <c r="J19" s="3188"/>
      <c r="K19" s="3188">
        <v>38</v>
      </c>
      <c r="L19" s="3189">
        <v>526595.04</v>
      </c>
      <c r="M19" s="3189">
        <v>0</v>
      </c>
      <c r="N19" s="3189">
        <v>51842.64</v>
      </c>
    </row>
    <row r="20" spans="1:15">
      <c r="A20" s="3181">
        <v>7</v>
      </c>
      <c r="B20" s="3182">
        <v>35</v>
      </c>
      <c r="C20" s="3182">
        <v>116</v>
      </c>
      <c r="D20" s="3182" t="s">
        <v>673</v>
      </c>
      <c r="E20" s="3185" t="s">
        <v>3592</v>
      </c>
      <c r="F20" s="3182">
        <v>322.19</v>
      </c>
      <c r="G20" s="3191" t="s">
        <v>3593</v>
      </c>
      <c r="H20" s="3191" t="s">
        <v>3594</v>
      </c>
      <c r="I20" s="3190">
        <v>5.75</v>
      </c>
      <c r="J20" s="3188"/>
      <c r="K20" s="3188">
        <v>38</v>
      </c>
      <c r="L20" s="3189">
        <v>730378.96</v>
      </c>
      <c r="M20" s="3189">
        <v>0</v>
      </c>
      <c r="N20" s="3189">
        <v>146918.64000000001</v>
      </c>
    </row>
    <row r="21" spans="1:15">
      <c r="A21" s="3181">
        <v>8</v>
      </c>
      <c r="B21" s="3182">
        <v>37</v>
      </c>
      <c r="C21" s="3182">
        <v>102</v>
      </c>
      <c r="D21" s="3182" t="s">
        <v>673</v>
      </c>
      <c r="E21" s="3185" t="s">
        <v>3463</v>
      </c>
      <c r="F21" s="3182">
        <v>222.12</v>
      </c>
      <c r="G21" s="3191" t="s">
        <v>3595</v>
      </c>
      <c r="H21" s="3191" t="s">
        <v>3596</v>
      </c>
      <c r="I21" s="3190">
        <v>4</v>
      </c>
      <c r="J21" s="3188">
        <v>3.52</v>
      </c>
      <c r="K21" s="3188">
        <v>45</v>
      </c>
      <c r="L21" s="3189">
        <v>324295.2</v>
      </c>
      <c r="M21" s="3189">
        <v>336459.89</v>
      </c>
      <c r="N21" s="3189">
        <v>119944.8</v>
      </c>
    </row>
    <row r="22" spans="1:15">
      <c r="A22" s="3181">
        <v>9</v>
      </c>
      <c r="B22" s="3182">
        <v>37</v>
      </c>
      <c r="C22" s="3182">
        <v>104</v>
      </c>
      <c r="D22" s="3182" t="s">
        <v>673</v>
      </c>
      <c r="E22" s="3185" t="s">
        <v>3597</v>
      </c>
      <c r="F22" s="3182">
        <v>124.72</v>
      </c>
      <c r="G22" s="3191" t="s">
        <v>3595</v>
      </c>
      <c r="H22" s="3191" t="s">
        <v>3596</v>
      </c>
      <c r="I22" s="3190">
        <v>4</v>
      </c>
      <c r="J22" s="3188">
        <v>1.02</v>
      </c>
      <c r="K22" s="3188">
        <v>45</v>
      </c>
      <c r="L22" s="3189">
        <v>182091.24</v>
      </c>
      <c r="M22" s="3189">
        <v>46431.6</v>
      </c>
      <c r="N22" s="3189">
        <v>67348.800000000003</v>
      </c>
    </row>
    <row r="23" spans="1:15">
      <c r="A23" s="3181">
        <v>10</v>
      </c>
      <c r="B23" s="3182">
        <v>37</v>
      </c>
      <c r="C23" s="3182" t="s">
        <v>3461</v>
      </c>
      <c r="D23" s="3182" t="s">
        <v>673</v>
      </c>
      <c r="E23" s="3185" t="s">
        <v>3598</v>
      </c>
      <c r="F23" s="3182">
        <v>155.6</v>
      </c>
      <c r="G23" s="3191" t="s">
        <v>3599</v>
      </c>
      <c r="H23" s="3191" t="s">
        <v>3600</v>
      </c>
      <c r="I23" s="3188"/>
      <c r="J23" s="3188"/>
      <c r="K23" s="3188">
        <v>38</v>
      </c>
      <c r="L23" s="3189"/>
      <c r="M23" s="3189"/>
      <c r="N23" s="3189"/>
    </row>
    <row r="24" spans="1:15">
      <c r="A24" s="3181">
        <v>11</v>
      </c>
      <c r="B24" s="3182">
        <v>37</v>
      </c>
      <c r="C24" s="3182">
        <v>103</v>
      </c>
      <c r="D24" s="3182" t="s">
        <v>673</v>
      </c>
      <c r="E24" s="3185" t="s">
        <v>3601</v>
      </c>
      <c r="F24" s="3182">
        <v>187.3</v>
      </c>
      <c r="G24" s="3191" t="s">
        <v>3602</v>
      </c>
      <c r="H24" s="3191" t="s">
        <v>3603</v>
      </c>
      <c r="I24" s="3190">
        <v>4</v>
      </c>
      <c r="J24" s="3188">
        <v>6.2</v>
      </c>
      <c r="K24" s="3188">
        <v>45</v>
      </c>
      <c r="L24" s="3189">
        <v>273458.03999999998</v>
      </c>
      <c r="M24" s="3189">
        <v>423859.92</v>
      </c>
      <c r="N24" s="3189">
        <v>101142</v>
      </c>
    </row>
    <row r="25" spans="1:15" s="3215" customFormat="1">
      <c r="A25" s="3207">
        <v>12</v>
      </c>
      <c r="B25" s="3208">
        <v>38</v>
      </c>
      <c r="C25" s="3208">
        <v>104</v>
      </c>
      <c r="D25" s="3208" t="s">
        <v>673</v>
      </c>
      <c r="E25" s="3209" t="s">
        <v>3604</v>
      </c>
      <c r="F25" s="3208">
        <v>113.23</v>
      </c>
      <c r="G25" s="3210" t="s">
        <v>3466</v>
      </c>
      <c r="H25" s="3210" t="s">
        <v>3605</v>
      </c>
      <c r="I25" s="3211">
        <v>4</v>
      </c>
      <c r="J25" s="3212">
        <v>1.02</v>
      </c>
      <c r="K25" s="3212">
        <v>45</v>
      </c>
      <c r="L25" s="3213">
        <v>165315.84</v>
      </c>
      <c r="M25" s="3213">
        <v>42153.84</v>
      </c>
      <c r="N25" s="3213">
        <v>61144.2</v>
      </c>
      <c r="O25" s="3214">
        <f>L25+M25+N25</f>
        <v>268613.88</v>
      </c>
    </row>
    <row r="26" spans="1:15" s="3215" customFormat="1">
      <c r="A26" s="3207">
        <v>13</v>
      </c>
      <c r="B26" s="3208">
        <v>38</v>
      </c>
      <c r="C26" s="3208" t="s">
        <v>3606</v>
      </c>
      <c r="D26" s="3208" t="s">
        <v>673</v>
      </c>
      <c r="E26" s="3209" t="s">
        <v>3453</v>
      </c>
      <c r="F26" s="3208">
        <v>2901.62</v>
      </c>
      <c r="G26" s="3210" t="s">
        <v>3607</v>
      </c>
      <c r="H26" s="3210" t="s">
        <v>3563</v>
      </c>
      <c r="I26" s="3211">
        <v>6.33</v>
      </c>
      <c r="J26" s="3212"/>
      <c r="K26" s="3212">
        <v>38</v>
      </c>
      <c r="L26" s="3213">
        <v>7821389.2400000002</v>
      </c>
      <c r="M26" s="3213">
        <v>0</v>
      </c>
      <c r="N26" s="3213">
        <v>1543661.84</v>
      </c>
      <c r="O26" s="3214">
        <f t="shared" ref="O26:O29" si="1">L26+M26+N26</f>
        <v>9365051.0800000001</v>
      </c>
    </row>
    <row r="27" spans="1:15" s="3215" customFormat="1">
      <c r="A27" s="3207">
        <v>14</v>
      </c>
      <c r="B27" s="3208">
        <v>38</v>
      </c>
      <c r="C27" s="3208">
        <v>106</v>
      </c>
      <c r="D27" s="3208" t="s">
        <v>673</v>
      </c>
      <c r="E27" s="3209" t="s">
        <v>3608</v>
      </c>
      <c r="F27" s="3208">
        <v>258.14999999999998</v>
      </c>
      <c r="G27" s="3210" t="s">
        <v>3609</v>
      </c>
      <c r="H27" s="3210" t="s">
        <v>3610</v>
      </c>
      <c r="I27" s="3211">
        <v>4</v>
      </c>
      <c r="J27" s="3212">
        <v>5.74</v>
      </c>
      <c r="K27" s="3212">
        <v>58.46</v>
      </c>
      <c r="L27" s="3213">
        <v>310848.59999999998</v>
      </c>
      <c r="M27" s="3213">
        <v>446067.72</v>
      </c>
      <c r="N27" s="3213">
        <v>149360.64000000001</v>
      </c>
      <c r="O27" s="3214">
        <f t="shared" si="1"/>
        <v>906276.96</v>
      </c>
    </row>
    <row r="28" spans="1:15" s="3215" customFormat="1">
      <c r="A28" s="3207">
        <v>15</v>
      </c>
      <c r="B28" s="3208">
        <v>38</v>
      </c>
      <c r="C28" s="3208">
        <v>107</v>
      </c>
      <c r="D28" s="3208" t="s">
        <v>673</v>
      </c>
      <c r="E28" s="3209" t="s">
        <v>3611</v>
      </c>
      <c r="F28" s="3208">
        <v>308.31</v>
      </c>
      <c r="G28" s="3210" t="s">
        <v>3612</v>
      </c>
      <c r="H28" s="3210" t="s">
        <v>3613</v>
      </c>
      <c r="I28" s="3211">
        <v>7.44</v>
      </c>
      <c r="J28" s="3212"/>
      <c r="K28" s="3212">
        <v>38</v>
      </c>
      <c r="L28" s="3213">
        <v>209311.65</v>
      </c>
      <c r="M28" s="3213">
        <v>0</v>
      </c>
      <c r="N28" s="3213">
        <v>35147.339999999997</v>
      </c>
      <c r="O28" s="3214">
        <f t="shared" si="1"/>
        <v>244458.99</v>
      </c>
    </row>
    <row r="29" spans="1:15" s="3215" customFormat="1">
      <c r="A29" s="3207">
        <v>16</v>
      </c>
      <c r="B29" s="3208">
        <v>38</v>
      </c>
      <c r="C29" s="3208">
        <v>110</v>
      </c>
      <c r="D29" s="3208" t="s">
        <v>673</v>
      </c>
      <c r="E29" s="3209" t="s">
        <v>3614</v>
      </c>
      <c r="F29" s="3208">
        <v>267.98</v>
      </c>
      <c r="G29" s="3210" t="s">
        <v>3615</v>
      </c>
      <c r="H29" s="3210" t="s">
        <v>3616</v>
      </c>
      <c r="I29" s="3211">
        <v>4</v>
      </c>
      <c r="J29" s="3212">
        <v>2.52</v>
      </c>
      <c r="K29" s="3212">
        <v>45</v>
      </c>
      <c r="L29" s="3213">
        <v>390804.43</v>
      </c>
      <c r="M29" s="3213">
        <v>265251.27</v>
      </c>
      <c r="N29" s="3213">
        <v>144709.20000000001</v>
      </c>
      <c r="O29" s="3214">
        <f t="shared" si="1"/>
        <v>800764.89999999991</v>
      </c>
    </row>
    <row r="30" spans="1:15" s="3215" customFormat="1">
      <c r="A30" s="3207">
        <v>17</v>
      </c>
      <c r="B30" s="3208">
        <v>38</v>
      </c>
      <c r="C30" s="3208">
        <v>120</v>
      </c>
      <c r="D30" s="3208" t="s">
        <v>673</v>
      </c>
      <c r="E30" s="3209" t="s">
        <v>3617</v>
      </c>
      <c r="F30" s="3208">
        <v>20.5</v>
      </c>
      <c r="G30" s="3216" t="s">
        <v>3618</v>
      </c>
      <c r="H30" s="3216" t="s">
        <v>3619</v>
      </c>
      <c r="I30" s="3212"/>
      <c r="J30" s="3212"/>
      <c r="K30" s="3212">
        <v>38</v>
      </c>
      <c r="L30" s="3213"/>
      <c r="M30" s="3213"/>
      <c r="N30" s="3213"/>
      <c r="O30" s="3214">
        <f>L30+M30+N30</f>
        <v>0</v>
      </c>
    </row>
    <row r="31" spans="1:15" s="3202" customFormat="1">
      <c r="A31" s="3304"/>
      <c r="B31" s="3305"/>
      <c r="C31" s="3305"/>
      <c r="D31" s="3305"/>
      <c r="E31" s="3306"/>
      <c r="F31" s="3192">
        <f>SUM(F14:F30)</f>
        <v>6059.4</v>
      </c>
      <c r="G31" s="3200"/>
      <c r="H31" s="3200"/>
      <c r="I31" s="3201"/>
      <c r="J31" s="3201"/>
      <c r="K31" s="3201"/>
      <c r="L31" s="3199">
        <f>SUM(L14:L30)</f>
        <v>14112370.390000001</v>
      </c>
      <c r="M31" s="3199">
        <f t="shared" ref="M31:N31" si="2">SUM(M14:M30)</f>
        <v>1673351.44</v>
      </c>
      <c r="N31" s="3199">
        <f t="shared" si="2"/>
        <v>2837880.6</v>
      </c>
      <c r="O31" s="3206">
        <f>L31+M31+N31</f>
        <v>18623602.43</v>
      </c>
    </row>
    <row r="32" spans="1:15" s="3215" customFormat="1">
      <c r="A32" s="3207">
        <v>1</v>
      </c>
      <c r="B32" s="3208">
        <v>38</v>
      </c>
      <c r="C32" s="3208" t="s">
        <v>3620</v>
      </c>
      <c r="D32" s="3208" t="s">
        <v>3462</v>
      </c>
      <c r="E32" s="3209" t="s">
        <v>3463</v>
      </c>
      <c r="F32" s="3208">
        <v>27.69</v>
      </c>
      <c r="G32" s="3216" t="s">
        <v>3621</v>
      </c>
      <c r="H32" s="3216" t="s">
        <v>3465</v>
      </c>
      <c r="I32" s="3211">
        <v>4.5</v>
      </c>
      <c r="J32" s="3212"/>
      <c r="K32" s="3212"/>
      <c r="L32" s="3213">
        <v>30320.560000000001</v>
      </c>
      <c r="M32" s="3213">
        <v>0</v>
      </c>
      <c r="N32" s="3213">
        <v>0</v>
      </c>
    </row>
    <row r="33" spans="1:15" s="3215" customFormat="1">
      <c r="A33" s="3207">
        <v>2</v>
      </c>
      <c r="B33" s="3208">
        <v>38</v>
      </c>
      <c r="C33" s="3208" t="s">
        <v>3622</v>
      </c>
      <c r="D33" s="3208" t="s">
        <v>3462</v>
      </c>
      <c r="E33" s="3209" t="s">
        <v>3453</v>
      </c>
      <c r="F33" s="3208">
        <v>1400.38</v>
      </c>
      <c r="G33" s="3216" t="s">
        <v>3623</v>
      </c>
      <c r="H33" s="3216" t="s">
        <v>3454</v>
      </c>
      <c r="I33" s="3211">
        <v>4.5</v>
      </c>
      <c r="J33" s="3212"/>
      <c r="K33" s="3212"/>
      <c r="L33" s="3213">
        <v>0</v>
      </c>
      <c r="M33" s="3213">
        <v>0</v>
      </c>
      <c r="N33" s="3213">
        <v>2300124.15</v>
      </c>
    </row>
    <row r="34" spans="1:15" s="3215" customFormat="1">
      <c r="A34" s="3207">
        <v>3</v>
      </c>
      <c r="B34" s="3208">
        <v>38</v>
      </c>
      <c r="C34" s="3208" t="s">
        <v>3624</v>
      </c>
      <c r="D34" s="3208" t="s">
        <v>3462</v>
      </c>
      <c r="E34" s="3209" t="s">
        <v>3463</v>
      </c>
      <c r="F34" s="3208">
        <v>18.46</v>
      </c>
      <c r="G34" s="3216" t="s">
        <v>3464</v>
      </c>
      <c r="H34" s="3216" t="s">
        <v>3465</v>
      </c>
      <c r="I34" s="3211">
        <v>4.5</v>
      </c>
      <c r="J34" s="3212"/>
      <c r="K34" s="3212"/>
      <c r="L34" s="3213">
        <v>20213.68</v>
      </c>
      <c r="M34" s="3213">
        <v>0</v>
      </c>
      <c r="N34" s="3213">
        <v>0</v>
      </c>
    </row>
    <row r="35" spans="1:15" s="3215" customFormat="1">
      <c r="A35" s="3207">
        <v>4</v>
      </c>
      <c r="B35" s="3208">
        <v>38</v>
      </c>
      <c r="C35" s="3208" t="s">
        <v>3625</v>
      </c>
      <c r="D35" s="3208" t="s">
        <v>3462</v>
      </c>
      <c r="E35" s="3209" t="s">
        <v>3626</v>
      </c>
      <c r="F35" s="3208">
        <v>38.46</v>
      </c>
      <c r="G35" s="3216" t="s">
        <v>3627</v>
      </c>
      <c r="H35" s="3216" t="s">
        <v>3628</v>
      </c>
      <c r="I35" s="3211">
        <v>4.5</v>
      </c>
      <c r="J35" s="3211"/>
      <c r="K35" s="3211"/>
      <c r="L35" s="3213"/>
      <c r="M35" s="3213"/>
      <c r="N35" s="3213"/>
    </row>
    <row r="36" spans="1:15" s="3202" customFormat="1">
      <c r="A36" s="3304"/>
      <c r="B36" s="3305"/>
      <c r="C36" s="3305"/>
      <c r="D36" s="3305"/>
      <c r="E36" s="3305"/>
      <c r="F36" s="3179">
        <f>SUM(F32:F35)</f>
        <v>1484.9900000000002</v>
      </c>
      <c r="G36" s="3205"/>
      <c r="H36" s="3205"/>
      <c r="I36" s="3194"/>
      <c r="J36" s="3194"/>
      <c r="K36" s="3194"/>
      <c r="L36" s="3199">
        <f>SUM(L32:L35)</f>
        <v>50534.240000000005</v>
      </c>
      <c r="M36" s="3199">
        <f t="shared" ref="M36:N36" si="3">SUM(M32:M35)</f>
        <v>0</v>
      </c>
      <c r="N36" s="3199">
        <f t="shared" si="3"/>
        <v>2300124.15</v>
      </c>
      <c r="O36" s="3206">
        <f>L36+M36+N36</f>
        <v>2350658.39</v>
      </c>
    </row>
    <row r="37" spans="1:15">
      <c r="A37" s="3307" t="s">
        <v>3448</v>
      </c>
      <c r="B37" s="3308"/>
      <c r="C37" s="3308"/>
      <c r="D37" s="3308"/>
      <c r="E37" s="3308"/>
      <c r="F37" s="3308"/>
      <c r="G37" s="3308"/>
      <c r="H37" s="3308"/>
      <c r="I37" s="3309"/>
      <c r="J37" s="3194"/>
      <c r="K37" s="3194"/>
      <c r="L37" s="3195">
        <f>L13+L31+L36</f>
        <v>73755469.829999998</v>
      </c>
      <c r="M37" s="3195">
        <f t="shared" ref="M37:N37" si="4">M13+M31+M36</f>
        <v>3983967.16</v>
      </c>
      <c r="N37" s="3195">
        <f t="shared" si="4"/>
        <v>17277551.709999997</v>
      </c>
      <c r="O37" s="3197">
        <f>L37+M37+N37</f>
        <v>95016988.699999988</v>
      </c>
    </row>
    <row r="38" spans="1:15">
      <c r="N38" s="3197"/>
    </row>
    <row r="39" spans="1:15">
      <c r="L39" s="3197"/>
    </row>
    <row r="40" spans="1:15">
      <c r="B40" s="3180" t="s">
        <v>3629</v>
      </c>
      <c r="C40" s="3180">
        <f>F4</f>
        <v>11211.23</v>
      </c>
      <c r="D40" s="3180" t="s">
        <v>3637</v>
      </c>
      <c r="E40" s="3198">
        <f>O13+O31-O25-O26-O27-O28-O29</f>
        <v>81081164.500000015</v>
      </c>
      <c r="F40" s="3198">
        <f>E40/(C40+C41+C42)/365</f>
        <v>6.2681733346443638</v>
      </c>
    </row>
    <row r="41" spans="1:15">
      <c r="B41" s="3180" t="s">
        <v>3630</v>
      </c>
      <c r="C41" s="3180">
        <f>F5+F6+F14+F15+F16+F17+F18+F19+F20</f>
        <v>12835.31</v>
      </c>
      <c r="D41" s="3180" t="s">
        <v>3638</v>
      </c>
      <c r="E41" s="3198">
        <f>O25+O26+O27+O28+O29</f>
        <v>11585165.810000002</v>
      </c>
      <c r="F41" s="3198">
        <f>E41/(F25+F26+F27+F28+F29+F30)/365</f>
        <v>8.2020420491473356</v>
      </c>
      <c r="N41" s="3198"/>
    </row>
    <row r="42" spans="1:15">
      <c r="B42" s="3180" t="s">
        <v>3631</v>
      </c>
      <c r="C42" s="3180">
        <f>F7+F8+F9+F10+F11+F12+F21+F22+F23+F24</f>
        <v>11392.840000000002</v>
      </c>
      <c r="D42" s="3180" t="s">
        <v>3639</v>
      </c>
      <c r="E42" s="3198">
        <f>O36</f>
        <v>2350658.39</v>
      </c>
      <c r="F42" s="3198">
        <f>E42/F36/365</f>
        <v>4.3368372666501047</v>
      </c>
      <c r="N42" s="3198"/>
    </row>
    <row r="43" spans="1:15">
      <c r="B43" s="3180" t="s">
        <v>3632</v>
      </c>
      <c r="C43" s="3180">
        <f>F25+F26+F27+F28+F29+F30+F32+F33+F34+F35</f>
        <v>5354.7800000000007</v>
      </c>
    </row>
    <row r="44" spans="1:15">
      <c r="C44" s="3180">
        <f>SUM(C40:C43)</f>
        <v>40794.160000000003</v>
      </c>
    </row>
    <row r="46" spans="1:15">
      <c r="C46" s="3180">
        <f>C43/C44</f>
        <v>0.13126339652538502</v>
      </c>
    </row>
  </sheetData>
  <autoFilter ref="A2:N37"/>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34"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O28" sqref="O28"/>
    </sheetView>
  </sheetViews>
  <sheetFormatPr defaultRowHeight="14.25"/>
  <cols>
    <col min="1" max="1" width="9.75" style="3164" customWidth="1"/>
    <col min="2" max="2" width="25.875" style="3164" customWidth="1"/>
    <col min="3" max="3" width="24.875" style="3164" customWidth="1"/>
    <col min="4" max="4" width="20.5" style="3164" customWidth="1"/>
    <col min="5" max="5" width="16.875" style="3164" customWidth="1"/>
    <col min="6" max="6" width="17.125" style="3164" customWidth="1"/>
    <col min="7" max="16384" width="9" style="3164"/>
  </cols>
  <sheetData>
    <row r="1" spans="1:12">
      <c r="A1" s="3164" t="s">
        <v>3417</v>
      </c>
    </row>
    <row r="2" spans="1:12">
      <c r="A2" s="3164" t="s">
        <v>3421</v>
      </c>
      <c r="B2" s="3163" t="s">
        <v>3418</v>
      </c>
      <c r="C2" s="3164" t="s">
        <v>3419</v>
      </c>
      <c r="D2" s="3163" t="s">
        <v>3422</v>
      </c>
      <c r="E2" s="3163" t="s">
        <v>3423</v>
      </c>
      <c r="F2" s="3163" t="s">
        <v>2503</v>
      </c>
      <c r="G2" s="3163" t="s">
        <v>3424</v>
      </c>
      <c r="I2" s="3169"/>
      <c r="J2" s="3169" t="s">
        <v>3490</v>
      </c>
      <c r="K2" s="3169" t="s">
        <v>3483</v>
      </c>
      <c r="L2" s="3169" t="s">
        <v>3484</v>
      </c>
    </row>
    <row r="3" spans="1:12" ht="35.25" customHeight="1">
      <c r="A3" s="3164">
        <v>1</v>
      </c>
      <c r="B3" s="3178" t="s">
        <v>3539</v>
      </c>
      <c r="C3" s="3178" t="s">
        <v>3540</v>
      </c>
      <c r="D3" s="3178" t="s">
        <v>3541</v>
      </c>
      <c r="E3" s="3178" t="s">
        <v>3542</v>
      </c>
      <c r="F3" s="3178" t="s">
        <v>3543</v>
      </c>
      <c r="G3" s="3178">
        <v>13315.65</v>
      </c>
      <c r="I3" s="3169" t="s">
        <v>3433</v>
      </c>
      <c r="J3" s="3169" t="s">
        <v>3491</v>
      </c>
      <c r="K3" s="3169">
        <v>24052.41</v>
      </c>
      <c r="L3" s="3169">
        <v>25919.38</v>
      </c>
    </row>
    <row r="4" spans="1:12" ht="17.25" customHeight="1">
      <c r="A4" s="3163" t="s">
        <v>3425</v>
      </c>
      <c r="I4" s="3169" t="s">
        <v>3485</v>
      </c>
      <c r="J4" s="3169"/>
      <c r="K4" s="3169">
        <f>K3</f>
        <v>24052.41</v>
      </c>
      <c r="L4" s="3169">
        <f>L3</f>
        <v>25919.38</v>
      </c>
    </row>
    <row r="5" spans="1:12" ht="20.25" customHeight="1">
      <c r="A5" s="3163" t="s">
        <v>3420</v>
      </c>
      <c r="B5" s="3163" t="s">
        <v>3426</v>
      </c>
      <c r="C5" s="3163" t="s">
        <v>3427</v>
      </c>
      <c r="D5" s="3163" t="s">
        <v>3428</v>
      </c>
      <c r="E5" s="3163" t="s">
        <v>3429</v>
      </c>
      <c r="F5" s="3163" t="s">
        <v>3430</v>
      </c>
      <c r="G5" s="3163" t="s">
        <v>3431</v>
      </c>
      <c r="I5" s="3316" t="s">
        <v>3434</v>
      </c>
      <c r="J5" s="3169" t="s">
        <v>3486</v>
      </c>
      <c r="K5" s="3169">
        <v>6180.34</v>
      </c>
      <c r="L5" s="3169">
        <v>7128.3</v>
      </c>
    </row>
    <row r="6" spans="1:12" ht="15.75" customHeight="1">
      <c r="A6" s="3163">
        <v>1</v>
      </c>
      <c r="B6" s="3178" t="s">
        <v>3544</v>
      </c>
      <c r="C6" s="3178" t="s">
        <v>3540</v>
      </c>
      <c r="D6" s="3178" t="s">
        <v>3545</v>
      </c>
      <c r="E6" s="3178" t="s">
        <v>3546</v>
      </c>
      <c r="F6" s="3178">
        <v>5</v>
      </c>
      <c r="G6" s="3178">
        <v>9490.98</v>
      </c>
      <c r="I6" s="3317"/>
      <c r="J6" s="3169" t="s">
        <v>3489</v>
      </c>
      <c r="K6" s="3169">
        <v>3774.75</v>
      </c>
      <c r="L6" s="3169">
        <v>8246.2800000000007</v>
      </c>
    </row>
    <row r="7" spans="1:12" ht="16.5" customHeight="1">
      <c r="A7" s="3163">
        <v>2</v>
      </c>
      <c r="B7" s="3178" t="s">
        <v>3547</v>
      </c>
      <c r="C7" s="3178" t="s">
        <v>3540</v>
      </c>
      <c r="D7" s="3178" t="s">
        <v>3548</v>
      </c>
      <c r="E7" s="3178" t="s">
        <v>3546</v>
      </c>
      <c r="F7" s="3178">
        <v>5</v>
      </c>
      <c r="G7" s="3178">
        <v>9996.02</v>
      </c>
      <c r="I7" s="3169" t="s">
        <v>3485</v>
      </c>
      <c r="J7" s="3169"/>
      <c r="K7" s="3169">
        <f>K5+K6</f>
        <v>9955.09</v>
      </c>
      <c r="L7" s="3169">
        <f>L5+L6</f>
        <v>15374.580000000002</v>
      </c>
    </row>
    <row r="8" spans="1:12" ht="12" customHeight="1">
      <c r="A8" s="3163">
        <v>3</v>
      </c>
      <c r="B8" s="3178" t="s">
        <v>3549</v>
      </c>
      <c r="C8" s="3178" t="s">
        <v>3540</v>
      </c>
      <c r="D8" s="3178" t="s">
        <v>3550</v>
      </c>
      <c r="E8" s="3178" t="s">
        <v>3546</v>
      </c>
      <c r="F8" s="3178">
        <v>5</v>
      </c>
      <c r="G8" s="3178">
        <v>6432.38</v>
      </c>
      <c r="I8" s="3169" t="s">
        <v>3448</v>
      </c>
      <c r="J8" s="3169"/>
      <c r="K8" s="3169">
        <f>K4+K7</f>
        <v>34007.5</v>
      </c>
      <c r="L8" s="3169">
        <f>L4+L7</f>
        <v>41293.960000000006</v>
      </c>
    </row>
    <row r="9" spans="1:12" ht="39.75" customHeight="1">
      <c r="A9" s="3163">
        <v>4</v>
      </c>
      <c r="B9" s="3178" t="s">
        <v>3551</v>
      </c>
      <c r="C9" s="3178" t="s">
        <v>3540</v>
      </c>
      <c r="D9" s="3178" t="s">
        <v>3552</v>
      </c>
      <c r="E9" s="3178" t="s">
        <v>3553</v>
      </c>
      <c r="F9" s="3178" t="s">
        <v>3554</v>
      </c>
      <c r="G9" s="3178">
        <v>15374.58</v>
      </c>
    </row>
    <row r="10" spans="1:12">
      <c r="G10" s="3164">
        <f>SUM(G6:G9)</f>
        <v>41293.96</v>
      </c>
    </row>
    <row r="11" spans="1:12">
      <c r="F11" s="3163" t="s">
        <v>3432</v>
      </c>
      <c r="G11" s="3164">
        <f>G6+G7+G8</f>
        <v>25919.38</v>
      </c>
      <c r="J11" s="3166" t="s">
        <v>3392</v>
      </c>
      <c r="K11" s="3166">
        <f>G10</f>
        <v>41293.96</v>
      </c>
      <c r="L11" s="3166">
        <f>ROUND((K12*L12+K13*L13)/K11,0)</f>
        <v>3245</v>
      </c>
    </row>
    <row r="12" spans="1:12">
      <c r="F12" s="3163" t="s">
        <v>3487</v>
      </c>
      <c r="G12" s="3164">
        <v>7128.3</v>
      </c>
      <c r="J12" s="3165" t="s">
        <v>3393</v>
      </c>
      <c r="K12" s="3164">
        <f>G11</f>
        <v>25919.38</v>
      </c>
      <c r="L12" s="3164">
        <v>2500</v>
      </c>
    </row>
    <row r="13" spans="1:12">
      <c r="E13" s="3164">
        <f>G9/G10</f>
        <v>0.37232031028266604</v>
      </c>
      <c r="F13" s="3163" t="s">
        <v>3488</v>
      </c>
      <c r="G13" s="3164">
        <f>G10-G11-G12</f>
        <v>8246.2799999999988</v>
      </c>
      <c r="J13" s="3165" t="s">
        <v>3394</v>
      </c>
      <c r="K13" s="3164">
        <f>G9</f>
        <v>15374.58</v>
      </c>
      <c r="L13" s="3164">
        <v>4500</v>
      </c>
    </row>
    <row r="14" spans="1:12">
      <c r="J14" s="3166" t="s">
        <v>3396</v>
      </c>
      <c r="K14" s="3166"/>
      <c r="L14" s="3166">
        <v>400</v>
      </c>
    </row>
    <row r="15" spans="1:12">
      <c r="F15" s="3164" t="s">
        <v>3470</v>
      </c>
      <c r="G15" s="3164">
        <f>(G6+G7+G8)/G3</f>
        <v>1.9465350921659852</v>
      </c>
      <c r="J15" s="3166" t="s">
        <v>3395</v>
      </c>
      <c r="K15" s="3166"/>
      <c r="L15" s="3166">
        <v>1000</v>
      </c>
    </row>
    <row r="16" spans="1:12">
      <c r="J16" s="3166" t="s">
        <v>3438</v>
      </c>
      <c r="K16" s="3167">
        <v>0.05</v>
      </c>
      <c r="L16" s="3166">
        <f>ROUND((L11+L14+L15)*K16,0)</f>
        <v>232</v>
      </c>
    </row>
    <row r="17" spans="6:12">
      <c r="F17" s="3170" t="s">
        <v>3641</v>
      </c>
      <c r="L17" s="3164">
        <f>L11+L14+L15+L16</f>
        <v>4877</v>
      </c>
    </row>
    <row r="18" spans="6:12">
      <c r="F18" s="3164" t="s">
        <v>3492</v>
      </c>
      <c r="G18" s="3164">
        <f>杰伟科技租赁情况!F13+杰伟科技租赁情况!F31</f>
        <v>39309.17</v>
      </c>
    </row>
    <row r="19" spans="6:12">
      <c r="F19" s="3164" t="s">
        <v>3467</v>
      </c>
      <c r="G19" s="3164">
        <f>杰伟科技租赁情况!F36</f>
        <v>1484.9900000000002</v>
      </c>
    </row>
    <row r="20" spans="6:12">
      <c r="F20" s="3164" t="s">
        <v>3468</v>
      </c>
      <c r="G20" s="3164">
        <f>G18+G19</f>
        <v>40794.159999999996</v>
      </c>
    </row>
    <row r="21" spans="6:12">
      <c r="F21" s="3164" t="s">
        <v>3469</v>
      </c>
      <c r="G21" s="3164">
        <f>ROUND(G20/G10*G3,2)</f>
        <v>13154.48</v>
      </c>
    </row>
    <row r="24" spans="6:12">
      <c r="F24" s="3217" t="s">
        <v>3640</v>
      </c>
    </row>
    <row r="25" spans="6:12">
      <c r="F25" s="3164" t="s">
        <v>3642</v>
      </c>
      <c r="G25" s="3164">
        <f>G6</f>
        <v>9490.98</v>
      </c>
    </row>
    <row r="26" spans="6:12">
      <c r="F26" s="3164" t="s">
        <v>3643</v>
      </c>
      <c r="G26" s="3164">
        <f>G7</f>
        <v>9996.02</v>
      </c>
    </row>
    <row r="27" spans="6:12">
      <c r="F27" s="3164" t="s">
        <v>3644</v>
      </c>
      <c r="G27" s="3164">
        <f>G8</f>
        <v>6432.38</v>
      </c>
    </row>
    <row r="28" spans="6:12">
      <c r="F28" s="3164" t="s">
        <v>3645</v>
      </c>
      <c r="G28" s="3164">
        <f>杰伟科技租赁情况!F25+杰伟科技租赁情况!F26+杰伟科技租赁情况!F27+杰伟科技租赁情况!F28+杰伟科技租赁情况!F29+杰伟科技租赁情况!F30</f>
        <v>3869.79</v>
      </c>
    </row>
    <row r="29" spans="6:12">
      <c r="F29" s="3164" t="s">
        <v>3646</v>
      </c>
      <c r="G29" s="3164">
        <f>杰伟科技租赁情况!F36</f>
        <v>1484.9900000000002</v>
      </c>
    </row>
    <row r="30" spans="6:12">
      <c r="F30" s="3164" t="s">
        <v>3648</v>
      </c>
      <c r="G30" s="3164">
        <f>SUM(G25:G29)</f>
        <v>31274.160000000003</v>
      </c>
    </row>
    <row r="31" spans="6:12">
      <c r="F31" s="3164" t="s">
        <v>3647</v>
      </c>
      <c r="G31" s="3164">
        <f>ROUND(G30/G10*G3,2)</f>
        <v>10084.67</v>
      </c>
    </row>
  </sheetData>
  <mergeCells count="1">
    <mergeCell ref="I5:I6"/>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25" width="6.75" style="1561" customWidth="1"/>
    <col min="26" max="30" width="6.75" style="1561" hidden="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58987</v>
      </c>
      <c r="F6" s="61">
        <f>SUMIF(项目基本情况!C$12:I$12,C6,项目基本情况!C$15:I$15)</f>
        <v>38.520000000000003</v>
      </c>
      <c r="G6" s="62">
        <f>IF(ISERROR(ROUND(POWER(1+H6,D6-F6)*(POWER(1+H6,F6)-1)/(POWER(1+H6,D6)-1),3)),0,ROUND(POWER(1+H6,D6-F6)*(POWER(1+H6,F6)-1)/(POWER(1+H6,D6)-1),3))</f>
        <v>0.92800000000000005</v>
      </c>
      <c r="H6" s="691">
        <v>0.05</v>
      </c>
      <c r="I6" s="691">
        <v>5.5E-2</v>
      </c>
      <c r="J6" s="63">
        <v>7.4999999999999997E-2</v>
      </c>
      <c r="K6" s="970">
        <f>SUMIF('数据-汇总表'!C$19:C$33,A6,'数据-汇总表'!E$19:E$33)</f>
        <v>25919.38</v>
      </c>
      <c r="L6" s="692">
        <v>4800</v>
      </c>
      <c r="M6" s="64">
        <f t="shared" ref="M6:M14" si="0">ROUND(K6*L6/10000,0)</f>
        <v>12441</v>
      </c>
      <c r="N6" s="690">
        <v>0.89</v>
      </c>
      <c r="O6" s="64" t="str">
        <f>IF($N$5="成新度","——",ROUND(M6*N6,0))</f>
        <v>——</v>
      </c>
      <c r="P6" s="65" t="str">
        <f>IF($N$5="成新度","——",M6-O6)</f>
        <v>——</v>
      </c>
      <c r="Q6" s="693">
        <v>0.2</v>
      </c>
      <c r="R6" s="66">
        <f ca="1">SUMIF('数据-汇总表'!C$19:C$33,A6,'数据-汇总表'!R$19:R$27)</f>
        <v>8357.9699999999993</v>
      </c>
      <c r="S6" s="49">
        <f>IF('数据-汇总表'!$I$17="按面积比例",SUMIF('数据-汇总表'!C$19:C$33,A6,'数据-汇总表'!K$19:K$33),SUMIF('数据-汇总表'!C$19:C$33,A6,'数据-汇总表'!N$19:N$33))</f>
        <v>0</v>
      </c>
      <c r="T6" s="1092">
        <f>ROUND($L$14*S6/10000,0)</f>
        <v>0</v>
      </c>
      <c r="U6" s="3127">
        <v>6.7</v>
      </c>
      <c r="V6" s="67">
        <v>0.03</v>
      </c>
      <c r="W6" s="67">
        <v>0.05</v>
      </c>
      <c r="X6" s="979"/>
      <c r="Y6" s="68">
        <f>N6</f>
        <v>0.89</v>
      </c>
      <c r="Z6" s="69"/>
      <c r="AA6" s="63"/>
      <c r="AB6" s="63"/>
      <c r="AC6" s="979"/>
      <c r="AD6" s="70"/>
      <c r="AE6" s="980">
        <f ca="1">IF(AN6="",0,SUMIF(INDIRECT("'"&amp;AN6&amp;"'"&amp;"!E:E"),$AE$5,INDIRECT("'"&amp;AN6&amp;"'"&amp;"!F:F")))</f>
        <v>38.520000000000003</v>
      </c>
      <c r="AF6" s="74"/>
      <c r="AG6" s="130">
        <f>IF(AF6="",0,AE6-AF6)</f>
        <v>0</v>
      </c>
      <c r="AH6" s="71"/>
      <c r="AI6" s="73">
        <v>365</v>
      </c>
      <c r="AJ6" s="74"/>
      <c r="AK6" s="75">
        <v>0.01</v>
      </c>
      <c r="AL6" s="76">
        <v>1.5E-3</v>
      </c>
      <c r="AM6" s="77">
        <v>2.5000000000000001E-2</v>
      </c>
      <c r="AN6" s="1589" t="s">
        <v>3471</v>
      </c>
      <c r="AO6" s="50">
        <f ca="1">SUMIF(INDIRECT("'"&amp;AN6&amp;"'"&amp;"!A:A"),"总价",INDIRECT("'"&amp;AN6&amp;"'"&amp;"!B:B"))</f>
        <v>112314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仓储（商业）</v>
      </c>
      <c r="B7" s="1587" t="str">
        <f t="shared" ref="B7:B13" si="1">IF(A7=0,"","经营性")</f>
        <v>经营性</v>
      </c>
      <c r="C7" s="1588" t="s">
        <v>3334</v>
      </c>
      <c r="D7" s="805">
        <f>SUMIF(项目基本情况!C$12:I$12,C7,项目基本情况!C$14:I$14)</f>
        <v>50</v>
      </c>
      <c r="E7" s="804">
        <f>IF(B7="","",SUMIF(项目基本情况!C$12:I$12,C7,项目基本情况!C$13:I$13))</f>
        <v>58987</v>
      </c>
      <c r="F7" s="61">
        <f>SUMIF(项目基本情况!C$12:I$12,C7,项目基本情况!C$15:I$15)</f>
        <v>38.520000000000003</v>
      </c>
      <c r="G7" s="62">
        <f t="shared" ref="G7:G11" si="2">IF(ISERROR(ROUND(POWER(1+H7,D7-F7)*(POWER(1+H7,F7)-1)/(POWER(1+H7,D7)-1),3)),0,ROUND(POWER(1+H7,D7-F7)*(POWER(1+H7,F7)-1)/(POWER(1+H7,D7)-1),3))</f>
        <v>0.92800000000000005</v>
      </c>
      <c r="H7" s="691">
        <v>0.05</v>
      </c>
      <c r="I7" s="691">
        <v>5.5E-2</v>
      </c>
      <c r="J7" s="63">
        <v>7.4999999999999997E-2</v>
      </c>
      <c r="K7" s="970">
        <f>SUMIF('数据-汇总表'!C$19:C$33,A7,'数据-汇总表'!E$19:E$33)</f>
        <v>3869.79</v>
      </c>
      <c r="L7" s="692">
        <f>L6</f>
        <v>4800</v>
      </c>
      <c r="M7" s="64">
        <f t="shared" si="0"/>
        <v>1857</v>
      </c>
      <c r="N7" s="690">
        <f>N6</f>
        <v>0.89</v>
      </c>
      <c r="O7" s="64" t="str">
        <f t="shared" ref="O7:O14" si="3">IF($N$5="成新度","——",ROUND(M7*N7,0))</f>
        <v>——</v>
      </c>
      <c r="P7" s="65" t="str">
        <f t="shared" ref="P7:P14" si="4">IF($N$5="成新度","——",M7-O7)</f>
        <v>——</v>
      </c>
      <c r="Q7" s="693">
        <v>0.15</v>
      </c>
      <c r="R7" s="66">
        <f ca="1">SUMIF('数据-汇总表'!C$19:C$33,A7,'数据-汇总表'!R$19:R$27)</f>
        <v>1247.8499999999999</v>
      </c>
      <c r="S7" s="49">
        <f>IF('数据-汇总表'!$I$17="按面积比例",SUMIF('数据-汇总表'!C$19:C$33,A7,'数据-汇总表'!K$19:K$33),SUMIF('数据-汇总表'!C$19:C$33,A7,'数据-汇总表'!N$19:N$33))</f>
        <v>0</v>
      </c>
      <c r="T7" s="1092">
        <f t="shared" ref="T7:T13" si="5">ROUND($L$14*S7/10000,0)</f>
        <v>0</v>
      </c>
      <c r="U7" s="3127">
        <v>6</v>
      </c>
      <c r="V7" s="67">
        <v>0.03</v>
      </c>
      <c r="W7" s="67">
        <v>0.1</v>
      </c>
      <c r="X7" s="979"/>
      <c r="Y7" s="68">
        <f>N7</f>
        <v>0.89</v>
      </c>
      <c r="Z7" s="69"/>
      <c r="AA7" s="63"/>
      <c r="AB7" s="63"/>
      <c r="AC7" s="979"/>
      <c r="AD7" s="70"/>
      <c r="AE7" s="980">
        <f t="shared" ref="AE7:AE13" ca="1" si="6">IF(AN7="",0,SUMIF(INDIRECT("'"&amp;AN7&amp;"'"&amp;"!E:E"),$AE$5,INDIRECT("'"&amp;AN7&amp;"'"&amp;"!F:F")))</f>
        <v>38.520000000000003</v>
      </c>
      <c r="AF7" s="74"/>
      <c r="AG7" s="130">
        <f t="shared" ref="AG7:AG13" si="7">IF(AF7="",0,AE7-AF7)</f>
        <v>0</v>
      </c>
      <c r="AH7" s="71"/>
      <c r="AI7" s="73">
        <v>365</v>
      </c>
      <c r="AJ7" s="74"/>
      <c r="AK7" s="75">
        <v>0.01</v>
      </c>
      <c r="AL7" s="76">
        <v>1.5E-3</v>
      </c>
      <c r="AM7" s="77">
        <v>2.5000000000000001E-2</v>
      </c>
      <c r="AN7" s="1589" t="s">
        <v>3476</v>
      </c>
      <c r="AO7" s="50">
        <f t="shared" ref="AO7:AO13" ca="1" si="8">SUMIF(INDIRECT("'"&amp;AN7&amp;"'"&amp;"!A:A"),"总价",INDIRECT("'"&amp;AN7&amp;"'"&amp;"!B:B"))</f>
        <v>14143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3334</v>
      </c>
      <c r="D8" s="805">
        <f>SUMIF(项目基本情况!C$12:I$12,C8,项目基本情况!C$14:I$14)</f>
        <v>50</v>
      </c>
      <c r="E8" s="804">
        <f>IF(B8="","",SUMIF(项目基本情况!C$12:I$12,C8,项目基本情况!C$13:I$13))</f>
        <v>58987</v>
      </c>
      <c r="F8" s="61">
        <f>SUMIF(项目基本情况!C$12:I$12,C8,项目基本情况!C$15:I$15)</f>
        <v>38.520000000000003</v>
      </c>
      <c r="G8" s="62">
        <f t="shared" si="2"/>
        <v>0.91800000000000004</v>
      </c>
      <c r="H8" s="691">
        <v>4.4999999999999998E-2</v>
      </c>
      <c r="I8" s="691">
        <v>0.05</v>
      </c>
      <c r="J8" s="63">
        <v>7.4999999999999997E-2</v>
      </c>
      <c r="K8" s="970">
        <f>SUMIF('数据-汇总表'!C$19:C$33,A8,'数据-汇总表'!E$19:E$33)</f>
        <v>1484.9900000000002</v>
      </c>
      <c r="L8" s="692">
        <v>4800</v>
      </c>
      <c r="M8" s="64">
        <f>ROUND(K8*L8/10000,0)</f>
        <v>713</v>
      </c>
      <c r="N8" s="690">
        <f>N6</f>
        <v>0.89</v>
      </c>
      <c r="O8" s="64" t="str">
        <f t="shared" si="3"/>
        <v>——</v>
      </c>
      <c r="P8" s="65" t="str">
        <f t="shared" si="4"/>
        <v>——</v>
      </c>
      <c r="Q8" s="693">
        <v>0.05</v>
      </c>
      <c r="R8" s="66">
        <f ca="1">SUMIF('数据-汇总表'!C$19:C$33,A8,'数据-汇总表'!R$19:R$27)</f>
        <v>478.85</v>
      </c>
      <c r="S8" s="49">
        <f>IF('数据-汇总表'!$I$17="按面积比例",SUMIF('数据-汇总表'!C$19:C$33,A8,'数据-汇总表'!K$19:K$33),SUMIF('数据-汇总表'!C$19:C$33,A8,'数据-汇总表'!N$19:N$33))</f>
        <v>0</v>
      </c>
      <c r="T8" s="1092">
        <f t="shared" si="5"/>
        <v>0</v>
      </c>
      <c r="U8" s="3128">
        <v>2.5</v>
      </c>
      <c r="V8" s="694">
        <v>0.03</v>
      </c>
      <c r="W8" s="694">
        <v>0.1</v>
      </c>
      <c r="X8" s="979"/>
      <c r="Y8" s="68">
        <f>N8</f>
        <v>0.89</v>
      </c>
      <c r="Z8" s="69"/>
      <c r="AA8" s="63"/>
      <c r="AB8" s="63"/>
      <c r="AC8" s="979"/>
      <c r="AD8" s="70"/>
      <c r="AE8" s="980">
        <f t="shared" ca="1" si="6"/>
        <v>38.520000000000003</v>
      </c>
      <c r="AF8" s="74"/>
      <c r="AG8" s="130">
        <f t="shared" si="7"/>
        <v>0</v>
      </c>
      <c r="AH8" s="695"/>
      <c r="AI8" s="73">
        <v>365</v>
      </c>
      <c r="AJ8" s="74"/>
      <c r="AK8" s="696">
        <v>0.01</v>
      </c>
      <c r="AL8" s="697">
        <v>1.5E-3</v>
      </c>
      <c r="AM8" s="106">
        <v>1.4999999999999999E-2</v>
      </c>
      <c r="AN8" s="1589" t="s">
        <v>3635</v>
      </c>
      <c r="AO8" s="50">
        <f t="shared" ca="1" si="8"/>
        <v>2322</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0.92800000000000005</v>
      </c>
      <c r="H16" s="84">
        <f>ROUND(SUMPRODUCT(H6:H13,K6:K13)/SUMPRODUCT((H6:H13&gt;0)*(K6:K13)),3)</f>
        <v>0.05</v>
      </c>
      <c r="I16" s="85"/>
      <c r="J16" s="85"/>
      <c r="K16" s="86">
        <f>SUM(K6:K15)</f>
        <v>31274.160000000003</v>
      </c>
      <c r="L16" s="87">
        <f>ROUND(M16*10000/SUM(K6:K14),0)</f>
        <v>4800</v>
      </c>
      <c r="M16" s="87">
        <f>SUM(M6:M14)</f>
        <v>15011</v>
      </c>
      <c r="N16" s="88">
        <f>ROUND(SUMPRODUCT(M6:M14,N6:N14)/M16,3)</f>
        <v>0.89</v>
      </c>
      <c r="O16" s="87">
        <f>SUM(O6:O14)</f>
        <v>0</v>
      </c>
      <c r="P16" s="87">
        <f>SUM(P6:P14)</f>
        <v>0</v>
      </c>
      <c r="Q16" s="89">
        <f>ROUND(SUMPRODUCT(Q6:Q13,K6:K13)/SUMPRODUCT((Q6:Q13&gt;0)*(K6:K13)),2)</f>
        <v>0.19</v>
      </c>
      <c r="R16" s="974">
        <f ca="1">SUM(R6:R13)</f>
        <v>10084.67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2014</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ROUND(1-(2022-N18)/60,2)</f>
        <v>0.87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0.88500000000000001</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625</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3.6499999999999998E-2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18" t="s">
        <v>2286</v>
      </c>
      <c r="B1" s="3319"/>
      <c r="C1" s="3319"/>
      <c r="D1" s="3319"/>
      <c r="E1" s="3319"/>
      <c r="F1" s="3319"/>
      <c r="G1" s="331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31274.160000000003</v>
      </c>
      <c r="C1" s="2462"/>
      <c r="D1" s="2462"/>
      <c r="E1" s="2462"/>
      <c r="F1" s="2462"/>
      <c r="G1" s="2463"/>
      <c r="H1" s="2463"/>
      <c r="I1" s="2463"/>
      <c r="J1" s="2463"/>
      <c r="K1" s="2463"/>
    </row>
    <row r="2" spans="1:11" ht="16.5">
      <c r="A2" s="2300" t="s">
        <v>653</v>
      </c>
      <c r="B2" s="2300">
        <f>SUM(C14:C23)</f>
        <v>10084.67</v>
      </c>
      <c r="C2" s="2462"/>
      <c r="D2" s="2462"/>
      <c r="E2" s="2462"/>
      <c r="F2" s="2462"/>
      <c r="G2" s="2463"/>
      <c r="H2" s="2463"/>
      <c r="I2" s="2463"/>
      <c r="J2" s="2463"/>
      <c r="K2" s="2463"/>
    </row>
    <row r="3" spans="1:11" ht="16.5">
      <c r="A3" s="2300" t="s">
        <v>662</v>
      </c>
      <c r="B3" s="2302">
        <f>项目基本情况!D3</f>
        <v>44926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119754</v>
      </c>
      <c r="C5" s="2300">
        <f ca="1">IF(B5=D14,结果表!H102,ROUND(B5*10000/$B$1,0))</f>
        <v>38292</v>
      </c>
      <c r="D5" s="2300">
        <f ca="1">ROUND(B5*10000/$B$2,0)</f>
        <v>118749</v>
      </c>
      <c r="E5" s="2462"/>
      <c r="F5" s="2463"/>
      <c r="G5" s="2463"/>
      <c r="H5" s="2463"/>
      <c r="I5" s="2463"/>
      <c r="J5" s="2463"/>
      <c r="K5" s="2463"/>
    </row>
    <row r="6" spans="1:11" ht="16.5">
      <c r="A6" s="2300" t="s">
        <v>656</v>
      </c>
      <c r="B6" s="2300">
        <f ca="1">SUM(G14:G23)</f>
        <v>119754</v>
      </c>
      <c r="C6" s="2300">
        <f ca="1">IF(B6=G14,结果表!H108,ROUND(B6*10000/$B$1,0))</f>
        <v>38292</v>
      </c>
      <c r="D6" s="2300">
        <f ca="1">ROUND(B6*10000/$B$2,0)</f>
        <v>118749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31274.160000000003</v>
      </c>
      <c r="C14" s="2306">
        <f>'数据-汇总表'!D31</f>
        <v>10084.67</v>
      </c>
      <c r="D14" s="2306">
        <f ca="1">结果表!G19</f>
        <v>119754</v>
      </c>
      <c r="E14" s="2306">
        <f ca="1">ROUND(D14*10000/B14,0)</f>
        <v>38292</v>
      </c>
      <c r="F14" s="2306">
        <f ca="1">ROUND(D14*10000/C14,0)</f>
        <v>118749</v>
      </c>
      <c r="G14" s="2306">
        <f ca="1">D14</f>
        <v>119754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8" t="str">
        <f>项目基本情况!B1</f>
        <v>北京市房地产抵押价值预评估</v>
      </c>
      <c r="C37" s="3218"/>
      <c r="D37" s="3218"/>
      <c r="E37" s="3218"/>
      <c r="F37" s="3218"/>
      <c r="G37" s="3218"/>
      <c r="H37" s="3218"/>
      <c r="I37" s="321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SheetLayoutView="90" zoomScalePageLayoutView="80" workbookViewId="0">
      <selection activeCell="L26" sqref="L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87" t="str">
        <f>项目基本情况!S2</f>
        <v>北京市房地产</v>
      </c>
      <c r="B2" s="3388"/>
      <c r="C2" s="3388"/>
      <c r="D2" s="3388"/>
      <c r="E2" s="3388"/>
      <c r="F2" s="3388"/>
      <c r="G2" s="3388"/>
      <c r="H2" s="3388"/>
      <c r="I2" s="3389"/>
    </row>
    <row r="3" spans="1:12" ht="12.75">
      <c r="A3" s="3391" t="s">
        <v>1264</v>
      </c>
      <c r="B3" s="3392"/>
      <c r="C3" s="3392"/>
      <c r="D3" s="3392"/>
      <c r="E3" s="3392"/>
      <c r="F3" s="3392"/>
      <c r="G3" s="3392"/>
      <c r="H3" s="3392"/>
      <c r="I3" s="3392"/>
    </row>
    <row r="4" spans="1:12" ht="14.25">
      <c r="A4" s="1624" t="s">
        <v>1265</v>
      </c>
      <c r="B4" s="1625" t="s">
        <v>1266</v>
      </c>
      <c r="C4" s="1626" t="s">
        <v>3478</v>
      </c>
      <c r="D4" s="1626" t="s">
        <v>3479</v>
      </c>
      <c r="E4" s="3396" t="s">
        <v>1267</v>
      </c>
      <c r="F4" s="3397"/>
      <c r="G4" s="3397"/>
      <c r="H4" s="3397"/>
      <c r="I4" s="33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35" t="s">
        <v>1268</v>
      </c>
      <c r="B5" s="3390">
        <v>25</v>
      </c>
      <c r="C5" s="3393"/>
      <c r="D5" s="3381"/>
      <c r="E5" s="123" t="s">
        <v>1269</v>
      </c>
      <c r="F5" s="1627"/>
      <c r="G5" s="1627"/>
      <c r="H5" s="1627"/>
      <c r="I5" s="1281"/>
    </row>
    <row r="6" spans="1:12" ht="12.75">
      <c r="A6" s="3335"/>
      <c r="B6" s="3390"/>
      <c r="C6" s="3395"/>
      <c r="D6" s="3381"/>
      <c r="E6" s="123" t="s">
        <v>1270</v>
      </c>
      <c r="F6" s="1627"/>
      <c r="G6" s="1627"/>
      <c r="H6" s="1627"/>
      <c r="I6" s="1281"/>
    </row>
    <row r="7" spans="1:12" ht="12.75">
      <c r="A7" s="3335"/>
      <c r="B7" s="3390"/>
      <c r="C7" s="3394"/>
      <c r="D7" s="3381"/>
      <c r="E7" s="123" t="s">
        <v>1271</v>
      </c>
      <c r="F7" s="1627"/>
      <c r="G7" s="1627"/>
      <c r="H7" s="1627"/>
      <c r="I7" s="1281"/>
    </row>
    <row r="8" spans="1:12" ht="12.75">
      <c r="A8" s="3335" t="s">
        <v>1272</v>
      </c>
      <c r="B8" s="3390">
        <v>15</v>
      </c>
      <c r="C8" s="3393"/>
      <c r="D8" s="3381"/>
      <c r="E8" s="123" t="s">
        <v>1273</v>
      </c>
      <c r="F8" s="1627"/>
      <c r="G8" s="1627"/>
      <c r="H8" s="1627"/>
      <c r="I8" s="1281"/>
    </row>
    <row r="9" spans="1:12" ht="12.75">
      <c r="A9" s="3335"/>
      <c r="B9" s="3390"/>
      <c r="C9" s="3394"/>
      <c r="D9" s="3381"/>
      <c r="E9" s="123" t="s">
        <v>1274</v>
      </c>
      <c r="F9" s="1627"/>
      <c r="G9" s="1627"/>
      <c r="H9" s="1627"/>
      <c r="I9" s="1281"/>
    </row>
    <row r="10" spans="1:12" ht="12.75">
      <c r="A10" s="3335" t="s">
        <v>1275</v>
      </c>
      <c r="B10" s="3390">
        <v>15</v>
      </c>
      <c r="C10" s="3393"/>
      <c r="D10" s="3381"/>
      <c r="E10" s="123" t="s">
        <v>1276</v>
      </c>
      <c r="F10" s="1627"/>
      <c r="G10" s="1627"/>
      <c r="H10" s="1627"/>
      <c r="I10" s="1281"/>
    </row>
    <row r="11" spans="1:12" ht="12.75">
      <c r="A11" s="3335"/>
      <c r="B11" s="3390"/>
      <c r="C11" s="3394"/>
      <c r="D11" s="3381"/>
      <c r="E11" s="123" t="s">
        <v>1277</v>
      </c>
      <c r="F11" s="1627"/>
      <c r="G11" s="1627"/>
      <c r="H11" s="1627"/>
      <c r="I11" s="1281"/>
    </row>
    <row r="12" spans="1:12" ht="12.75">
      <c r="A12" s="3335" t="s">
        <v>1278</v>
      </c>
      <c r="B12" s="3390">
        <v>15</v>
      </c>
      <c r="C12" s="3393"/>
      <c r="D12" s="3381"/>
      <c r="E12" s="123" t="s">
        <v>1279</v>
      </c>
      <c r="F12" s="1627"/>
      <c r="G12" s="1627"/>
      <c r="H12" s="1627"/>
      <c r="I12" s="1281"/>
    </row>
    <row r="13" spans="1:12" ht="12.75">
      <c r="A13" s="3335"/>
      <c r="B13" s="3390"/>
      <c r="C13" s="3394"/>
      <c r="D13" s="3381"/>
      <c r="E13" s="123" t="s">
        <v>1280</v>
      </c>
      <c r="F13" s="1627"/>
      <c r="G13" s="1627"/>
      <c r="H13" s="1627"/>
      <c r="I13" s="1281"/>
    </row>
    <row r="14" spans="1:12" ht="12.75">
      <c r="A14" s="3335" t="s">
        <v>1281</v>
      </c>
      <c r="B14" s="3390">
        <v>30</v>
      </c>
      <c r="C14" s="3393">
        <v>5</v>
      </c>
      <c r="D14" s="3381">
        <v>5</v>
      </c>
      <c r="E14" s="123" t="s">
        <v>1282</v>
      </c>
      <c r="F14" s="1627"/>
      <c r="G14" s="1627"/>
      <c r="H14" s="1627"/>
      <c r="I14" s="1281"/>
    </row>
    <row r="15" spans="1:12" ht="12.75">
      <c r="A15" s="3335"/>
      <c r="B15" s="3390"/>
      <c r="C15" s="3395"/>
      <c r="D15" s="3381"/>
      <c r="E15" s="123" t="s">
        <v>1283</v>
      </c>
      <c r="F15" s="1627"/>
      <c r="G15" s="1627"/>
      <c r="H15" s="1627"/>
      <c r="I15" s="1281"/>
    </row>
    <row r="16" spans="1:12" ht="12.75">
      <c r="A16" s="3335"/>
      <c r="B16" s="3390"/>
      <c r="C16" s="3394"/>
      <c r="D16" s="338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412" t="s">
        <v>2131</v>
      </c>
      <c r="F18" s="3413"/>
      <c r="G18" s="3413"/>
      <c r="H18" s="3413"/>
      <c r="I18" s="3413"/>
      <c r="K18" s="294" t="s">
        <v>1289</v>
      </c>
      <c r="L18" s="294">
        <f>IF(C1="",'数据-汇总表'!E3,SUMIF(项目类型,C1,'数据-汇总表'!E17:E26)+SUMIF(项目类型,C1,'数据-汇总表'!I17:I26))</f>
        <v>31274.160000000003</v>
      </c>
      <c r="M18" s="294">
        <f>IF(C1="",'数据-汇总表'!E3,SUMIF(项目类型,C1,'数据-汇总表'!E17:E26))</f>
        <v>31274.160000000003</v>
      </c>
    </row>
    <row r="19" spans="1:36" ht="15">
      <c r="A19" s="1630" t="s">
        <v>1290</v>
      </c>
      <c r="B19" s="1631" t="s">
        <v>1291</v>
      </c>
      <c r="C19" s="126">
        <f ca="1">SUMIF(INDIRECT("'"&amp;C4&amp;"'"&amp;"!A:A"),结果表!B19,INDIRECT("'"&amp;C4&amp;"'"&amp;"!B:B"))</f>
        <v>110729</v>
      </c>
      <c r="D19" s="127">
        <f ca="1">SUMIF(INDIRECT("'"&amp;D4&amp;"'"&amp;"!A:A"),结果表!B19,INDIRECT("'"&amp;D4&amp;"'"&amp;"!B:B"))</f>
        <v>128779</v>
      </c>
      <c r="E19" s="1630" t="s">
        <v>1292</v>
      </c>
      <c r="F19" s="1631" t="s">
        <v>1291</v>
      </c>
      <c r="G19" s="128">
        <f ca="1">ROUND(C19*$C$18+D19*$D$18,0)</f>
        <v>119754</v>
      </c>
      <c r="H19" s="1632" t="s">
        <v>1293</v>
      </c>
      <c r="I19" s="121"/>
      <c r="K19" s="294" t="s">
        <v>1294</v>
      </c>
      <c r="L19" s="294">
        <f>IF(C1="",'数据-汇总表'!D3,SUMIF(项目类型,C1,'数据-汇总表'!D17:D26)+SUMIF(项目类型,C1,'数据-汇总表'!H17:H27))</f>
        <v>10084.67</v>
      </c>
      <c r="M19" s="294">
        <f>IF(C1="",'数据-汇总表'!D3,SUMIF(项目类型,C1,'数据-汇总表'!D17:D26))</f>
        <v>10084.67</v>
      </c>
    </row>
    <row r="20" spans="1:36" ht="15">
      <c r="A20" s="1633"/>
      <c r="B20" s="43" t="s">
        <v>1295</v>
      </c>
      <c r="C20" s="129">
        <f ca="1">SUMIF(INDIRECT("'"&amp;C4&amp;"'"&amp;"!A:A"),结果表!B20,INDIRECT("'"&amp;C4&amp;"'"&amp;"!B:B"))</f>
        <v>35406</v>
      </c>
      <c r="D20" s="130">
        <f ca="1">SUMIF(INDIRECT("'"&amp;D4&amp;"'"&amp;"!A:A"),结果表!B20,INDIRECT("'"&amp;D4&amp;"'"&amp;"!B:B"))</f>
        <v>41177</v>
      </c>
      <c r="E20" s="1633"/>
      <c r="F20" s="43" t="s">
        <v>1295</v>
      </c>
      <c r="G20" s="131">
        <f ca="1">ROUND(C20*$C$18+D20*$D$18,0)</f>
        <v>38292</v>
      </c>
      <c r="H20" s="760" t="s">
        <v>1296</v>
      </c>
      <c r="I20" s="121"/>
    </row>
    <row r="21" spans="1:36" ht="15" customHeight="1" thickBot="1">
      <c r="A21" s="449"/>
      <c r="B21" s="93" t="s">
        <v>1297</v>
      </c>
      <c r="C21" s="678">
        <f ca="1">ROUND(C19*10000/L19,0)</f>
        <v>109799</v>
      </c>
      <c r="D21" s="679">
        <f ca="1">ROUND(D19*10000/L19,0)</f>
        <v>127698</v>
      </c>
      <c r="E21" s="449"/>
      <c r="F21" s="93" t="s">
        <v>1297</v>
      </c>
      <c r="G21" s="132">
        <f ca="1">ROUND(G19*10000/L19,0)</f>
        <v>118749</v>
      </c>
      <c r="H21" s="1634" t="s">
        <v>1296</v>
      </c>
      <c r="I21" s="121"/>
    </row>
    <row r="22" spans="1:36" ht="15" thickBot="1">
      <c r="A22" s="1564" t="s">
        <v>1298</v>
      </c>
      <c r="B22" s="1635"/>
      <c r="C22" s="1636"/>
      <c r="D22" s="680">
        <f ca="1">IF(C19&lt;D19,D19/C19-1,C19/D19-1)</f>
        <v>0.16301059343080859</v>
      </c>
      <c r="E22" s="121"/>
      <c r="F22" s="121"/>
      <c r="G22" s="121"/>
      <c r="H22" s="121"/>
      <c r="I22" s="121"/>
    </row>
    <row r="23" spans="1:36" ht="13.5" thickBot="1">
      <c r="A23" s="646"/>
      <c r="B23" s="646"/>
      <c r="C23" s="646"/>
      <c r="D23" s="646"/>
      <c r="E23" s="121"/>
      <c r="F23" s="121"/>
      <c r="G23" s="121"/>
      <c r="H23" s="121"/>
      <c r="I23" s="121"/>
    </row>
    <row r="24" spans="1:36" ht="14.25">
      <c r="A24" s="3405" t="s">
        <v>1299</v>
      </c>
      <c r="B24" s="1631" t="s">
        <v>1291</v>
      </c>
      <c r="C24" s="128">
        <f>IF(B30=0,0,D30)</f>
        <v>0</v>
      </c>
      <c r="D24" s="1637"/>
      <c r="E24" s="121"/>
      <c r="F24" s="121"/>
      <c r="G24" s="121"/>
      <c r="H24" s="121"/>
      <c r="I24" s="121"/>
    </row>
    <row r="25" spans="1:36" ht="14.25">
      <c r="A25" s="340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119754</v>
      </c>
      <c r="D32" s="1641" t="s">
        <v>3538</v>
      </c>
      <c r="E32" s="121"/>
      <c r="F32" s="121"/>
      <c r="G32" s="121"/>
      <c r="H32" s="121"/>
      <c r="I32" s="121"/>
    </row>
    <row r="33" spans="1:15" ht="15">
      <c r="A33" s="740" t="s">
        <v>1306</v>
      </c>
      <c r="B33" s="123"/>
      <c r="C33" s="1642" t="s">
        <v>3649</v>
      </c>
      <c r="D33" s="1643"/>
      <c r="E33" s="1644" t="s">
        <v>1307</v>
      </c>
      <c r="F33" s="1645" t="str">
        <f>IF(D32="楼面单价","取值（单价）","取值（总价）")</f>
        <v>取值（总价）</v>
      </c>
      <c r="G33" s="121"/>
      <c r="H33" s="121"/>
      <c r="I33" s="121"/>
    </row>
    <row r="34" spans="1:15" ht="15">
      <c r="A34" s="1646"/>
      <c r="B34" s="1647" t="s">
        <v>1308</v>
      </c>
      <c r="C34" s="140">
        <f ca="1">IF(C33="自定义",F34,C32-C35)</f>
        <v>85025</v>
      </c>
      <c r="D34" s="808">
        <f ca="1">IF(C33="自定义",ROUND(C34/C32,3),IF(C33="收益比率",SUMIF(INDIRECT("'"&amp;D33&amp;"'"&amp;"!b:b"),"土地收益比率",INDIRECT("'"&amp;D33&amp;"'"&amp;"!c:c")),SUMIF(INDIRECT("'"&amp;D33&amp;"'"&amp;"!b:b"),"土地成本比率",INDIRECT("'"&amp;D33&amp;"'"&amp;"!c:c"))))</f>
        <v>0.71</v>
      </c>
      <c r="E34" s="1648" t="s">
        <v>1309</v>
      </c>
      <c r="F34" s="1243">
        <f ca="1">G19-F35</f>
        <v>85025</v>
      </c>
      <c r="G34" s="121"/>
      <c r="H34" s="121"/>
      <c r="I34" s="121"/>
    </row>
    <row r="35" spans="1:15" ht="15.75" thickBot="1">
      <c r="A35" s="1649"/>
      <c r="B35" s="1650" t="s">
        <v>1310</v>
      </c>
      <c r="C35" s="1090">
        <f ca="1">IF(C33="自定义",F35,ROUND(C32*D35,0))</f>
        <v>34729</v>
      </c>
      <c r="D35" s="1091">
        <f ca="1">IF(C33="自定义",ROUND(C35/C32,3),IF(C33="收益比率",SUMIF(INDIRECT("'"&amp;D33&amp;"'"&amp;"!b:b"),"建筑物收益比率",INDIRECT("'"&amp;D33&amp;"'"&amp;"!c:c")),SUMIF(INDIRECT("'"&amp;D33&amp;"'"&amp;"!b:b"),"建筑物成本比率",INDIRECT("'"&amp;D33&amp;"'"&amp;"!c:c"))))</f>
        <v>0.28999999999999998</v>
      </c>
      <c r="E35" s="1651" t="s">
        <v>1311</v>
      </c>
      <c r="F35" s="146">
        <f ca="1">ROUND(G19*收益法!E80,0)</f>
        <v>34729</v>
      </c>
      <c r="G35" s="121"/>
      <c r="H35" s="121"/>
      <c r="I35" s="121"/>
    </row>
    <row r="36" spans="1:15" ht="15.75" thickBot="1">
      <c r="A36" s="3382" t="s">
        <v>1312</v>
      </c>
      <c r="B36" s="1652" t="s">
        <v>1313</v>
      </c>
      <c r="C36" s="137"/>
      <c r="D36" s="1653"/>
      <c r="E36" s="1567"/>
      <c r="F36" s="1654"/>
      <c r="G36" s="121"/>
      <c r="H36" s="121"/>
      <c r="I36" s="121"/>
    </row>
    <row r="37" spans="1:15" ht="15.75" thickBot="1">
      <c r="A37" s="3383"/>
      <c r="B37" s="1555" t="s">
        <v>1314</v>
      </c>
      <c r="C37" s="139"/>
      <c r="D37" s="1071"/>
      <c r="E37" s="1071"/>
      <c r="F37" s="1654"/>
      <c r="G37" s="121"/>
      <c r="H37" s="121"/>
      <c r="I37" s="121"/>
    </row>
    <row r="38" spans="1:15" ht="15.75" thickBot="1">
      <c r="A38" s="33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2" t="s">
        <v>1326</v>
      </c>
      <c r="B45" s="3403"/>
      <c r="C45" s="3404"/>
      <c r="D45" s="147">
        <f ca="1">ROUND(H101*F45,0)</f>
        <v>119754</v>
      </c>
      <c r="E45" s="148" t="s">
        <v>1327</v>
      </c>
      <c r="F45" s="149">
        <v>1</v>
      </c>
      <c r="G45" s="150" t="s">
        <v>1328</v>
      </c>
      <c r="H45" s="121"/>
      <c r="I45" s="121"/>
      <c r="J45" s="3322" t="s">
        <v>1329</v>
      </c>
      <c r="K45" s="3322"/>
      <c r="L45" s="3322"/>
      <c r="M45" s="3322"/>
      <c r="N45" s="3322"/>
      <c r="O45" s="3322"/>
    </row>
    <row r="46" spans="1:15" ht="14.25" customHeight="1">
      <c r="A46" s="3399" t="s">
        <v>1330</v>
      </c>
      <c r="B46" s="3400"/>
      <c r="C46" s="3400"/>
      <c r="D46" s="3400"/>
      <c r="E46" s="3400"/>
      <c r="F46" s="3400"/>
      <c r="G46" s="3401"/>
      <c r="H46" s="1668"/>
      <c r="I46" s="151"/>
      <c r="J46" s="2310">
        <v>1</v>
      </c>
      <c r="K46" s="3323" t="s">
        <v>1331</v>
      </c>
      <c r="L46" s="3323"/>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23" t="s">
        <v>1337</v>
      </c>
      <c r="L47" s="3323"/>
      <c r="M47" s="3325">
        <f>'数据-取费表'!B2</f>
        <v>44926</v>
      </c>
      <c r="N47" s="3325"/>
      <c r="O47" s="3325"/>
    </row>
    <row r="48" spans="1:15" ht="25.5">
      <c r="A48" s="3385" t="s">
        <v>1338</v>
      </c>
      <c r="B48" s="3386"/>
      <c r="C48" s="33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3" t="s">
        <v>1340</v>
      </c>
      <c r="L48" s="3323"/>
      <c r="M48" s="3326">
        <f ca="1">H101</f>
        <v>119754</v>
      </c>
      <c r="N48" s="3326"/>
      <c r="O48" s="3326"/>
    </row>
    <row r="49" spans="1:35" ht="25.5" customHeight="1">
      <c r="A49" s="2152" t="s">
        <v>1341</v>
      </c>
      <c r="B49" s="3371" t="s">
        <v>1342</v>
      </c>
      <c r="C49" s="3371"/>
      <c r="D49" s="1478">
        <v>0</v>
      </c>
      <c r="E49" s="316" t="s">
        <v>1343</v>
      </c>
      <c r="F49" s="2233" t="s">
        <v>28</v>
      </c>
      <c r="G49" s="3354"/>
      <c r="H49" s="2134" t="s">
        <v>2134</v>
      </c>
      <c r="I49" s="2135"/>
      <c r="J49" s="2310">
        <v>4</v>
      </c>
      <c r="K49" s="3323" t="str">
        <f>IF(项目基本情况!E8="房地产抵押价值","房地产抵押价值","抵押担保权已注销时的房地产抵押价值")</f>
        <v>房地产抵押价值</v>
      </c>
      <c r="L49" s="3323"/>
      <c r="M49" s="3326">
        <f ca="1">IF(项目基本情况!E8="房地产抵押价值",H107,H109)</f>
        <v>119754</v>
      </c>
      <c r="N49" s="3326"/>
      <c r="O49" s="3326"/>
    </row>
    <row r="50" spans="1:35" ht="25.5" customHeight="1">
      <c r="A50" s="2338"/>
      <c r="B50" s="3371" t="s">
        <v>1344</v>
      </c>
      <c r="C50" s="3371"/>
      <c r="D50" s="2189"/>
      <c r="E50" s="323"/>
      <c r="F50" s="2233"/>
      <c r="G50" s="3355"/>
      <c r="H50" s="2136" t="s">
        <v>2135</v>
      </c>
      <c r="I50" s="2135"/>
      <c r="J50" s="3322" t="s">
        <v>1345</v>
      </c>
      <c r="K50" s="3322"/>
      <c r="L50" s="3322"/>
      <c r="M50" s="3322"/>
      <c r="N50" s="3322"/>
      <c r="O50" s="3322"/>
    </row>
    <row r="51" spans="1:35" ht="20.45" customHeight="1">
      <c r="A51" s="2339"/>
      <c r="B51" s="3371" t="s">
        <v>1346</v>
      </c>
      <c r="C51" s="3371"/>
      <c r="D51" s="1024"/>
      <c r="E51" s="319"/>
      <c r="F51" s="2233"/>
      <c r="G51" s="3356"/>
      <c r="H51" s="2136" t="s">
        <v>2136</v>
      </c>
      <c r="I51" s="2135"/>
      <c r="J51" s="2311" t="s">
        <v>1347</v>
      </c>
      <c r="K51" s="3323" t="s">
        <v>1348</v>
      </c>
      <c r="L51" s="3323"/>
      <c r="M51" s="2311" t="s">
        <v>1349</v>
      </c>
      <c r="N51" s="2311" t="s">
        <v>1350</v>
      </c>
      <c r="O51" s="2311" t="s">
        <v>1351</v>
      </c>
    </row>
    <row r="52" spans="1:35" ht="24" customHeight="1">
      <c r="A52" s="2153" t="s">
        <v>1352</v>
      </c>
      <c r="B52" s="3371" t="s">
        <v>1353</v>
      </c>
      <c r="C52" s="3371"/>
      <c r="D52" s="1024">
        <f ca="1">ROUND(D45*'数据-取费表'!B41/(1+'数据-取费表'!C42),0)</f>
        <v>6387</v>
      </c>
      <c r="E52" s="1256" t="s">
        <v>1354</v>
      </c>
      <c r="F52" s="2340">
        <f>'数据-取费表'!B41</f>
        <v>5.6000000000000001E-2</v>
      </c>
      <c r="G52" s="2341"/>
      <c r="H52" s="2331"/>
      <c r="I52" s="1669"/>
      <c r="J52" s="2310">
        <v>1</v>
      </c>
      <c r="K52" s="3348" t="s">
        <v>1355</v>
      </c>
      <c r="L52" s="3348"/>
      <c r="M52" s="2312" t="b">
        <f>D48</f>
        <v>0</v>
      </c>
      <c r="N52" s="2310" t="str">
        <f>E48</f>
        <v>销售额×税（费）率</v>
      </c>
      <c r="O52" s="2313">
        <f>F48</f>
        <v>5.6000000000000001E-2</v>
      </c>
    </row>
    <row r="53" spans="1:35" ht="12" customHeight="1">
      <c r="A53" s="2153" t="s">
        <v>1356</v>
      </c>
      <c r="B53" s="3372" t="s">
        <v>2291</v>
      </c>
      <c r="C53" s="3373"/>
      <c r="D53" s="1024">
        <f ca="1">ROUND(D45*'数据-取费表'!B41/(1+'数据-取费表'!C42),0)</f>
        <v>6387</v>
      </c>
      <c r="E53" s="1256" t="s">
        <v>1354</v>
      </c>
      <c r="F53" s="2340">
        <f>'数据-取费表'!B41</f>
        <v>5.6000000000000001E-2</v>
      </c>
      <c r="G53" s="2341"/>
      <c r="H53" s="2331"/>
      <c r="I53" s="1669"/>
      <c r="J53" s="2310">
        <v>2</v>
      </c>
      <c r="K53" s="3348" t="s">
        <v>1357</v>
      </c>
      <c r="L53" s="3348"/>
      <c r="M53" s="2312">
        <f t="shared" ref="M53:O54" ca="1" si="0">D55</f>
        <v>60</v>
      </c>
      <c r="N53" s="2310" t="str">
        <f t="shared" si="0"/>
        <v>销售额×税（费）率</v>
      </c>
      <c r="O53" s="2313" t="str">
        <f t="shared" si="0"/>
        <v>免征</v>
      </c>
    </row>
    <row r="54" spans="1:35" ht="12" customHeight="1">
      <c r="A54" s="2153" t="s">
        <v>1358</v>
      </c>
      <c r="B54" s="3372" t="s">
        <v>2292</v>
      </c>
      <c r="C54" s="3373"/>
      <c r="D54" s="1024">
        <f ca="1">C68</f>
        <v>6387</v>
      </c>
      <c r="E54" s="319" t="s">
        <v>1359</v>
      </c>
      <c r="F54" s="2340">
        <f>'数据-取费表'!B41</f>
        <v>5.6000000000000001E-2</v>
      </c>
      <c r="G54" s="2341"/>
      <c r="H54" s="2342"/>
      <c r="I54" s="1669"/>
      <c r="J54" s="2310">
        <v>3</v>
      </c>
      <c r="K54" s="3348" t="s">
        <v>1360</v>
      </c>
      <c r="L54" s="3348"/>
      <c r="M54" s="2312">
        <f t="shared" ca="1" si="0"/>
        <v>67781</v>
      </c>
      <c r="N54" s="2310" t="str">
        <f t="shared" si="0"/>
        <v>增值额×税（费）率</v>
      </c>
      <c r="O54" s="2314" t="str">
        <f t="shared" si="0"/>
        <v>免征</v>
      </c>
    </row>
    <row r="55" spans="1:35" ht="24" customHeight="1">
      <c r="A55" s="3408" t="s">
        <v>1361</v>
      </c>
      <c r="B55" s="3386"/>
      <c r="C55" s="3386"/>
      <c r="D55" s="12">
        <f ca="1">IF(H55="个人住宅",0,ROUND(D45*I55,0))</f>
        <v>60</v>
      </c>
      <c r="E55" s="1256" t="s">
        <v>1362</v>
      </c>
      <c r="F55" s="2340" t="str">
        <f>IF(H55="正常",I55,"免征")</f>
        <v>免征</v>
      </c>
      <c r="G55" s="2341"/>
      <c r="H55" s="2337"/>
      <c r="I55" s="157">
        <f>'数据-取费表'!B49</f>
        <v>5.0000000000000001E-4</v>
      </c>
      <c r="J55" s="2310">
        <f>IF(H59="非个人房产","",4)</f>
        <v>4</v>
      </c>
      <c r="K55" s="3348" t="str">
        <f>IF(H59="非个人房产","——","个人所得税")</f>
        <v>个人所得税</v>
      </c>
      <c r="L55" s="3348"/>
      <c r="M55" s="2315">
        <f ca="1">D59</f>
        <v>1141</v>
      </c>
      <c r="N55" s="1883" t="str">
        <f>E59</f>
        <v>差额计税</v>
      </c>
      <c r="O55" s="2316">
        <f>F59</f>
        <v>0.01</v>
      </c>
    </row>
    <row r="56" spans="1:35" ht="24.75">
      <c r="A56" s="3408" t="s">
        <v>1363</v>
      </c>
      <c r="B56" s="3386"/>
      <c r="C56" s="3386"/>
      <c r="D56" s="12">
        <f ca="1">IF(H56="个人住宅",D57,D58)</f>
        <v>67781</v>
      </c>
      <c r="E56" s="1256" t="s">
        <v>1364</v>
      </c>
      <c r="F56" s="2340" t="str">
        <f>IF(H56="正常",F58,"免征")</f>
        <v>免征</v>
      </c>
      <c r="G56" s="2343" t="s">
        <v>1365</v>
      </c>
      <c r="H56" s="2344"/>
      <c r="I56" s="1670"/>
      <c r="J56" s="2310" t="str">
        <f>IF(项目基本情况!K6="上海银行",IF(J55="",4,J55+1),"")</f>
        <v/>
      </c>
      <c r="K56" s="3329" t="str">
        <f>IF(项目基本情况!K6="上海银行","其他处置费用","")</f>
        <v/>
      </c>
      <c r="L56" s="3330"/>
      <c r="M56" s="2312" t="str">
        <f>IF(项目基本情况!K6="上海银行",M69,"")</f>
        <v/>
      </c>
      <c r="N56" s="3329" t="str">
        <f>IF(项目基本情况!K6="上海银行","包含处置中涉及的律师、诉讼、拍卖、评估等费用","")</f>
        <v/>
      </c>
      <c r="O56" s="3332"/>
    </row>
    <row r="57" spans="1:35" ht="12.75">
      <c r="A57" s="2153" t="s">
        <v>1341</v>
      </c>
      <c r="B57" s="3372" t="s">
        <v>1366</v>
      </c>
      <c r="C57" s="3373"/>
      <c r="D57" s="1478">
        <v>0</v>
      </c>
      <c r="E57" s="316" t="s">
        <v>1343</v>
      </c>
      <c r="F57" s="294"/>
      <c r="G57" s="2341"/>
      <c r="H57" s="2345"/>
      <c r="I57" s="1670"/>
      <c r="J57" s="3348">
        <f>IF(AND(J55="",J56=""),4,IF(项目基本情况!K6="上海银行",结果表!J56+1,结果表!J55+1))</f>
        <v>5</v>
      </c>
      <c r="K57" s="3348" t="s">
        <v>1367</v>
      </c>
      <c r="L57" s="2317" t="s">
        <v>1368</v>
      </c>
      <c r="M57" s="2318"/>
      <c r="N57" s="2319">
        <f ca="1">SUMIF(M52:M56,"&lt;9e307")</f>
        <v>68982</v>
      </c>
      <c r="O57" s="2320"/>
      <c r="P57" s="2465">
        <f ca="1">N57/M49</f>
        <v>0.57603086326970288</v>
      </c>
    </row>
    <row r="58" spans="1:35" ht="24.75">
      <c r="A58" s="2153" t="s">
        <v>1352</v>
      </c>
      <c r="B58" s="3372" t="s">
        <v>1369</v>
      </c>
      <c r="C58" s="3371"/>
      <c r="D58" s="12">
        <f ca="1">IF(H58="转让取得",C81,C97)</f>
        <v>67781</v>
      </c>
      <c r="E58" s="1256" t="s">
        <v>1364</v>
      </c>
      <c r="F58" s="294" t="s">
        <v>28</v>
      </c>
      <c r="G58" s="2341"/>
      <c r="H58" s="2344"/>
      <c r="I58" s="1670"/>
      <c r="J58" s="3348"/>
      <c r="K58" s="3348"/>
      <c r="L58" s="2317" t="s">
        <v>1370</v>
      </c>
      <c r="M58" s="2321"/>
      <c r="N58" s="2322" t="str">
        <f ca="1">NUMBERSTRING(INT(N57*10000),2)&amp;"元整"</f>
        <v>陆亿捌仟玖佰捌拾贰万元整</v>
      </c>
      <c r="O58" s="2323"/>
    </row>
    <row r="59" spans="1:35" ht="24.75" thickBot="1">
      <c r="A59" s="3352" t="s">
        <v>1371</v>
      </c>
      <c r="B59" s="3353"/>
      <c r="C59" s="3353"/>
      <c r="D59" s="2346">
        <f ca="1">IF(H59="非个人房产","——",IF(H59="个人住宅（满五唯一有凭证）",0,IF(H59="个人其他（无凭证）",ROUND(D45*F59,0),ROUND(C67*F59,0))))</f>
        <v>1141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0">
        <f>J57+1</f>
        <v>6</v>
      </c>
      <c r="K59" s="3348" t="s">
        <v>1372</v>
      </c>
      <c r="L59" s="2310" t="s">
        <v>1368</v>
      </c>
      <c r="M59" s="2324"/>
      <c r="N59" s="2325">
        <f ca="1">M49-N57</f>
        <v>50772</v>
      </c>
      <c r="O59" s="2326"/>
    </row>
    <row r="60" spans="1:35" ht="12" customHeight="1">
      <c r="A60" s="1671"/>
      <c r="B60" s="646"/>
      <c r="C60" s="646"/>
      <c r="D60" s="646"/>
      <c r="E60" s="1466"/>
      <c r="F60" s="1670"/>
      <c r="G60" s="1670"/>
      <c r="H60" s="151"/>
      <c r="I60" s="121"/>
      <c r="J60" s="3351"/>
      <c r="K60" s="3348"/>
      <c r="L60" s="2317" t="s">
        <v>1370</v>
      </c>
      <c r="M60" s="2321"/>
      <c r="N60" s="2322" t="str">
        <f ca="1">NUMBERSTRING(INT(N59*10000),2)&amp;"元整"</f>
        <v>伍亿零柒佰柒拾贰万元整</v>
      </c>
      <c r="O60" s="2323"/>
    </row>
    <row r="61" spans="1:35" ht="13.5" thickBot="1">
      <c r="A61" s="3407" t="s">
        <v>1373</v>
      </c>
      <c r="B61" s="3407"/>
      <c r="C61" s="3407"/>
      <c r="D61" s="3407"/>
      <c r="E61" s="3407"/>
      <c r="F61" s="1670"/>
      <c r="G61" s="1670"/>
      <c r="H61" s="151"/>
      <c r="I61" s="121"/>
      <c r="J61" s="2310">
        <f>J59+1</f>
        <v>7</v>
      </c>
      <c r="K61" s="3348" t="s">
        <v>1374</v>
      </c>
      <c r="L61" s="3348"/>
      <c r="M61" s="2327"/>
      <c r="N61" s="2328">
        <f ca="1">ROUND(N59*10000/'数据-汇总表'!E3,0)</f>
        <v>16234</v>
      </c>
      <c r="O61" s="2329"/>
    </row>
    <row r="62" spans="1:35" ht="12.75">
      <c r="A62" s="3367" t="s">
        <v>1375</v>
      </c>
      <c r="B62" s="3368"/>
      <c r="C62" s="1865"/>
      <c r="D62" s="1865" t="s">
        <v>1376</v>
      </c>
      <c r="E62" s="158" t="s">
        <v>1377</v>
      </c>
      <c r="F62" s="1670"/>
      <c r="G62" s="1670"/>
      <c r="H62" s="151"/>
      <c r="I62" s="121"/>
    </row>
    <row r="63" spans="1:35" ht="12.75">
      <c r="A63" s="165" t="s">
        <v>330</v>
      </c>
      <c r="B63" s="159" t="s">
        <v>1378</v>
      </c>
      <c r="C63" s="2350">
        <f ca="1">ROUND((C64+C65)/(1+'数据-取费表'!C42),0)</f>
        <v>114051</v>
      </c>
      <c r="D63" s="159"/>
      <c r="E63" s="160"/>
      <c r="F63" s="1670"/>
      <c r="G63" s="1670"/>
      <c r="H63" s="151"/>
      <c r="I63" s="121"/>
      <c r="J63" s="3331" t="s">
        <v>1379</v>
      </c>
      <c r="K63" s="1245" t="s">
        <v>1380</v>
      </c>
      <c r="L63" s="1245">
        <f ca="1">IF(M49&gt;10000,M49*0.5%,IF(AND(M49&gt;1000,M49&lt;=10000),M49*1%,IF(AND(M49&gt;100,M49&lt;=1000),M49*3%,IF(AND(M49&gt;10,M49&lt;=100),M49*5%,M49*8%))))</f>
        <v>598.77</v>
      </c>
      <c r="M63" s="294">
        <f ca="1">ROUND(L63,1)</f>
        <v>598.79999999999995</v>
      </c>
      <c r="N63" s="2330"/>
      <c r="Z63" s="1623"/>
      <c r="AI63" s="1561"/>
    </row>
    <row r="64" spans="1:35" ht="14.25" customHeight="1">
      <c r="A64" s="161" t="s">
        <v>325</v>
      </c>
      <c r="B64" s="162" t="s">
        <v>1381</v>
      </c>
      <c r="C64" s="2351">
        <f ca="1">D45</f>
        <v>119754</v>
      </c>
      <c r="D64" s="162" t="s">
        <v>26</v>
      </c>
      <c r="E64" s="164"/>
      <c r="F64" s="1670"/>
      <c r="G64" s="1670"/>
      <c r="H64" s="151"/>
      <c r="I64" s="121"/>
      <c r="J64" s="3331"/>
      <c r="K64" s="1245" t="s">
        <v>1382</v>
      </c>
      <c r="L64" s="1245">
        <f ca="1">IF(M49&gt;2000,M49*0.5%,IF(AND(M49&gt;1000,M49&lt;=2000),M49*0.6%,IF(AND(M49&gt;500,M49&lt;=1000),M49*0.7%,IF(AND(M49&gt;200,M49&lt;=500),M49*0.8%,IF(AND(M49&gt;100,M49&lt;=200),M49*0.9%,IF(AND(M49&gt;50,M49&lt;=100),M49*1%,IF(AND(M49&gt;20,M49&lt;=50),M49*1.5%,IF(AND(M49&gt;10,M49&lt;=20),M49*2%,IF(AND(M49&gt;1,M49&lt;=10),M49*2.5%)))))))))</f>
        <v>598.77</v>
      </c>
      <c r="M64" s="294">
        <f t="shared" ref="M64:M65" ca="1" si="1">ROUND(L64,1)</f>
        <v>598.79999999999995</v>
      </c>
      <c r="N64" s="2331" t="s">
        <v>1383</v>
      </c>
      <c r="Z64" s="1623"/>
      <c r="AI64" s="1561"/>
    </row>
    <row r="65" spans="1:35" ht="14.25" customHeight="1">
      <c r="A65" s="161" t="s">
        <v>326</v>
      </c>
      <c r="B65" s="162" t="s">
        <v>1384</v>
      </c>
      <c r="C65" s="2352"/>
      <c r="D65" s="162"/>
      <c r="E65" s="164"/>
      <c r="F65" s="1670"/>
      <c r="G65" s="1670"/>
      <c r="H65" s="151"/>
      <c r="I65" s="121"/>
      <c r="J65" s="3331"/>
      <c r="K65" s="1245" t="s">
        <v>1385</v>
      </c>
      <c r="L65" s="1245">
        <f ca="1">IF(M49&gt;1000,M49*0.1%,IF(AND(M49&gt;500,M49&lt;=1000),M49*0.5%,IF(AND(M49&gt;50,M49&lt;=500),M49*1%,IF(AND(M49&gt;1,M49&lt;=50),M49*1.5%))))</f>
        <v>119.754</v>
      </c>
      <c r="M65" s="294">
        <f t="shared" ca="1" si="1"/>
        <v>119.8</v>
      </c>
      <c r="N65" s="2331" t="s">
        <v>1383</v>
      </c>
      <c r="Z65" s="1623"/>
      <c r="AI65" s="1561"/>
    </row>
    <row r="66" spans="1:35" ht="14.25" customHeight="1">
      <c r="A66" s="165" t="s">
        <v>327</v>
      </c>
      <c r="B66" s="166" t="s">
        <v>1386</v>
      </c>
      <c r="C66" s="2353"/>
      <c r="D66" s="166" t="s">
        <v>26</v>
      </c>
      <c r="E66" s="1251" t="s">
        <v>671</v>
      </c>
      <c r="F66" s="1670"/>
      <c r="G66" s="1670"/>
      <c r="H66" s="151"/>
      <c r="I66" s="121"/>
      <c r="J66" s="3331"/>
      <c r="K66" s="1245" t="s">
        <v>1387</v>
      </c>
      <c r="L66" s="1245">
        <f ca="1">M49*0.5%</f>
        <v>598.77</v>
      </c>
      <c r="M66" s="294">
        <f ca="1">IF(L66&gt;0.5,0.5,ROUND(L66,0))</f>
        <v>0.5</v>
      </c>
      <c r="N66" s="2331" t="s">
        <v>1388</v>
      </c>
      <c r="Z66" s="1623"/>
      <c r="AI66" s="1561"/>
    </row>
    <row r="67" spans="1:35" ht="14.25" customHeight="1">
      <c r="A67" s="165" t="s">
        <v>328</v>
      </c>
      <c r="B67" s="166" t="s">
        <v>1389</v>
      </c>
      <c r="C67" s="2354">
        <f ca="1">C63-C66</f>
        <v>114051</v>
      </c>
      <c r="D67" s="162" t="s">
        <v>26</v>
      </c>
      <c r="E67" s="164"/>
      <c r="F67" s="1670"/>
      <c r="G67" s="1670"/>
      <c r="H67" s="151"/>
      <c r="I67" s="121"/>
      <c r="J67" s="3331"/>
      <c r="K67" s="1245" t="s">
        <v>1390</v>
      </c>
      <c r="L67" s="1245">
        <f ca="1">IF(M49&gt;=10000,(8.25+(M49-10000)*0.01%),IF(AND(M49&gt;=8000,M49&lt;10000),(7.85+(M49-8000)*0.02%),IF(AND(M49&gt;=5000,M49&lt;8000),(6.65+(M49-5000)*0.04%),IF(AND(M49&gt;=2000,M49&lt;5000),(4.25+(PM49-2000)*0.08%),IF(AND(M49&gt;=1000,M49&lt;2000),(2.75+(M49-1000)*0.15%),IF(AND(M49&gt;=100,M49&lt;1000),(0.5+(M49-100)*0.25%),IF(AND(M49&gt;0,M49&lt;100),M49*0.5%)))))))</f>
        <v>19.2254</v>
      </c>
      <c r="M67" s="294">
        <f ca="1">ROUND(L67*0.9,1)</f>
        <v>17.3</v>
      </c>
      <c r="N67" s="2330"/>
      <c r="Z67" s="1623"/>
      <c r="AI67" s="1561"/>
    </row>
    <row r="68" spans="1:35" ht="14.25" customHeight="1" thickBot="1">
      <c r="A68" s="168" t="s">
        <v>329</v>
      </c>
      <c r="B68" s="169" t="s">
        <v>1391</v>
      </c>
      <c r="C68" s="2355">
        <f ca="1">IF(C67&lt;=0,0,ROUND(C67*D68,0))</f>
        <v>6387</v>
      </c>
      <c r="D68" s="2356">
        <f>'数据-取费表'!B41</f>
        <v>5.6000000000000001E-2</v>
      </c>
      <c r="E68" s="170"/>
      <c r="F68" s="1670"/>
      <c r="G68" s="1670"/>
      <c r="H68" s="151"/>
      <c r="I68" s="121"/>
      <c r="J68" s="3331"/>
      <c r="K68" s="1245" t="s">
        <v>1392</v>
      </c>
      <c r="L68" s="1245">
        <f ca="1">IF(M49&gt;10000,M49*0.5%,IF(AND(M49&gt;5000,M49&lt;=10000),M49*1%,IF(AND(M49&gt;1000,M49&lt;=5000),M49*2%,IF(AND(M49&gt;200,M49&lt;=1000),M49*3%,M49*5%))))</f>
        <v>598.77</v>
      </c>
      <c r="M68" s="294">
        <f ca="1">ROUND(L68,1)</f>
        <v>598.79999999999995</v>
      </c>
      <c r="N68" s="2330"/>
      <c r="Z68" s="1623"/>
      <c r="AI68" s="1561"/>
    </row>
    <row r="69" spans="1:35" ht="16.5" customHeight="1">
      <c r="A69" s="1672"/>
      <c r="B69" s="1673"/>
      <c r="C69" s="1674"/>
      <c r="D69" s="1675"/>
      <c r="E69" s="1676"/>
      <c r="F69" s="1466"/>
      <c r="G69" s="1466"/>
      <c r="H69" s="1467"/>
      <c r="I69" s="646"/>
      <c r="J69" s="3331"/>
      <c r="K69" s="1245" t="s">
        <v>1393</v>
      </c>
      <c r="L69" s="1245"/>
      <c r="M69" s="294">
        <f ca="1">ROUND(SUM(M63:M68),0)</f>
        <v>1934</v>
      </c>
      <c r="N69" s="2332">
        <f ca="1">M69/M49</f>
        <v>1.614977370275732E-2</v>
      </c>
      <c r="Z69" s="1623"/>
      <c r="AI69" s="1561"/>
    </row>
    <row r="70" spans="1:35" s="642" customFormat="1" ht="15" thickBot="1">
      <c r="A70" s="3375" t="s">
        <v>1394</v>
      </c>
      <c r="B70" s="3376"/>
      <c r="C70" s="3376"/>
      <c r="D70" s="3376"/>
      <c r="E70" s="3376"/>
      <c r="F70" s="3376"/>
      <c r="G70" s="3376"/>
      <c r="H70" s="337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67" t="s">
        <v>1375</v>
      </c>
      <c r="B71" s="336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114051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684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72" t="s">
        <v>1402</v>
      </c>
      <c r="F76" s="3371"/>
      <c r="G76" s="3371"/>
      <c r="H76" s="337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684</v>
      </c>
      <c r="D78" s="2363">
        <f>'数据-取费表'!B43</f>
        <v>6.000000000000001E-3</v>
      </c>
      <c r="E78" s="3364" t="s">
        <v>1406</v>
      </c>
      <c r="F78" s="3365"/>
      <c r="G78" s="3365"/>
      <c r="H78" s="33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113367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165.74122807017545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67781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5" t="s">
        <v>1410</v>
      </c>
      <c r="B83" s="3376"/>
      <c r="C83" s="3376"/>
      <c r="D83" s="3376"/>
      <c r="E83" s="3376"/>
      <c r="F83" s="3376"/>
      <c r="G83" s="3376"/>
      <c r="H83" s="337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67" t="s">
        <v>1375</v>
      </c>
      <c r="B84" s="336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114051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684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3" t="s">
        <v>2129</v>
      </c>
      <c r="H90" s="333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64" t="s">
        <v>1419</v>
      </c>
      <c r="F91" s="3365"/>
      <c r="G91" s="33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64" t="s">
        <v>1422</v>
      </c>
      <c r="F92" s="3365"/>
      <c r="G92" s="3365"/>
      <c r="H92" s="336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684</v>
      </c>
      <c r="D93" s="2363">
        <f>'数据-取费表'!B43</f>
        <v>6.000000000000001E-3</v>
      </c>
      <c r="E93" s="3364" t="s">
        <v>1406</v>
      </c>
      <c r="F93" s="3365"/>
      <c r="G93" s="3365"/>
      <c r="H93" s="33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09" t="s">
        <v>1426</v>
      </c>
      <c r="F94" s="3410"/>
      <c r="G94" s="3410"/>
      <c r="H94" s="341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113367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165.74122807017545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67781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0" t="s">
        <v>1428</v>
      </c>
      <c r="B100" s="3301"/>
      <c r="C100" s="3301"/>
      <c r="D100" s="3349"/>
      <c r="E100" s="3301" t="s">
        <v>1429</v>
      </c>
      <c r="F100" s="3301"/>
      <c r="G100" s="3301"/>
      <c r="H100" s="3349"/>
      <c r="I100" s="121"/>
    </row>
    <row r="101" spans="1:35" ht="18.75" customHeight="1">
      <c r="A101" s="3357" t="s">
        <v>1430</v>
      </c>
      <c r="B101" s="3358"/>
      <c r="C101" s="2371" t="str">
        <f>C4</f>
        <v>比较法-办公</v>
      </c>
      <c r="D101" s="2372" t="str">
        <f>D4</f>
        <v>收益法（汇总）</v>
      </c>
      <c r="E101" s="3327" t="s">
        <v>1431</v>
      </c>
      <c r="F101" s="3328"/>
      <c r="G101" s="1687" t="s">
        <v>1432</v>
      </c>
      <c r="H101" s="2381">
        <f ca="1">H118</f>
        <v>119754</v>
      </c>
      <c r="I101" s="121"/>
    </row>
    <row r="102" spans="1:35" ht="18.75" customHeight="1">
      <c r="A102" s="3359" t="s">
        <v>1433</v>
      </c>
      <c r="B102" s="2370" t="s">
        <v>1432</v>
      </c>
      <c r="C102" s="2371">
        <f ca="1">IF(D32="楼面单价",ROUND(C19,0),C19)</f>
        <v>110729</v>
      </c>
      <c r="D102" s="2372">
        <f ca="1">IF(D32="楼面单价",ROUND(D19,0),D19)</f>
        <v>128779</v>
      </c>
      <c r="E102" s="3327"/>
      <c r="F102" s="3328"/>
      <c r="G102" s="1687" t="s">
        <v>1434</v>
      </c>
      <c r="H102" s="2341">
        <f ca="1">I118</f>
        <v>38292</v>
      </c>
      <c r="I102" s="121"/>
    </row>
    <row r="103" spans="1:35" ht="42.75" customHeight="1">
      <c r="A103" s="3359"/>
      <c r="B103" s="2370" t="s">
        <v>1434</v>
      </c>
      <c r="C103" s="2373">
        <f ca="1">C20</f>
        <v>35406</v>
      </c>
      <c r="D103" s="2374">
        <f ca="1">D20</f>
        <v>41177</v>
      </c>
      <c r="E103" s="3320" t="s">
        <v>1435</v>
      </c>
      <c r="F103" s="3321"/>
      <c r="G103" s="1688" t="s">
        <v>1436</v>
      </c>
      <c r="H103" s="2381">
        <f>IF(D36="正常操作",H104+H105+H106,H105+H106)</f>
        <v>0</v>
      </c>
      <c r="I103" s="121"/>
    </row>
    <row r="104" spans="1:35" ht="18.75" customHeight="1">
      <c r="A104" s="3359" t="s">
        <v>1437</v>
      </c>
      <c r="B104" s="2375" t="s">
        <v>1432</v>
      </c>
      <c r="C104" s="2376">
        <f ca="1">H118</f>
        <v>119754</v>
      </c>
      <c r="D104" s="2377"/>
      <c r="E104" s="1555" t="s">
        <v>1438</v>
      </c>
      <c r="F104" s="1548"/>
      <c r="G104" s="1688" t="s">
        <v>1436</v>
      </c>
      <c r="H104" s="2382">
        <f>IF(D36="同一抵押权人同一抵押物续贷",C36&amp;"（续贷，未扣减，详见特别提示）",C36)</f>
        <v>0</v>
      </c>
      <c r="I104" s="121"/>
    </row>
    <row r="105" spans="1:35" ht="18.75" customHeight="1" thickBot="1">
      <c r="A105" s="3369"/>
      <c r="B105" s="2378" t="s">
        <v>1434</v>
      </c>
      <c r="C105" s="2379">
        <f ca="1">I118</f>
        <v>38292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0" t="str">
        <f>IF(项目基本情况!E8="已注销","——","3.房地产抵押价值")</f>
        <v>3.房地产抵押价值</v>
      </c>
      <c r="F107" s="3328"/>
      <c r="G107" s="1687" t="s">
        <v>1432</v>
      </c>
      <c r="H107" s="2381">
        <f ca="1">IF(E107="——","——",H101-H103)</f>
        <v>119754</v>
      </c>
      <c r="I107" s="121"/>
    </row>
    <row r="108" spans="1:35" ht="18.75" customHeight="1">
      <c r="A108" s="121"/>
      <c r="B108" s="121"/>
      <c r="C108" s="121"/>
      <c r="D108" s="121"/>
      <c r="E108" s="3360"/>
      <c r="F108" s="3328"/>
      <c r="G108" s="1687" t="s">
        <v>1434</v>
      </c>
      <c r="H108" s="2341">
        <f ca="1">IF(H107=H101,H102,ROUND(H107*10000/'数据-汇总表'!E3,0))</f>
        <v>38292</v>
      </c>
      <c r="I108" s="121"/>
    </row>
    <row r="109" spans="1:35" ht="18.75" customHeight="1">
      <c r="A109" s="121"/>
      <c r="B109" s="121"/>
      <c r="C109" s="121"/>
      <c r="D109" s="121"/>
      <c r="E109" s="3360" t="str">
        <f>IF(项目基本情况!E8="已注销及未注销","4.抵押担保权已注销时的房地产抵押价值",IF(项目基本情况!E8="已注销","3.抵押担保权已注销时的房地产抵押价值","——"))</f>
        <v>——</v>
      </c>
      <c r="F109" s="3328"/>
      <c r="G109" s="1687" t="s">
        <v>1432</v>
      </c>
      <c r="H109" s="2384" t="str">
        <f>IF(E109="——","——",H101-H105-H106)</f>
        <v>——</v>
      </c>
      <c r="I109" s="121"/>
    </row>
    <row r="110" spans="1:35" ht="18.75" customHeight="1">
      <c r="A110" s="121"/>
      <c r="B110" s="121"/>
      <c r="C110" s="121"/>
      <c r="D110" s="121"/>
      <c r="E110" s="3360"/>
      <c r="F110" s="3328"/>
      <c r="G110" s="1687" t="s">
        <v>1434</v>
      </c>
      <c r="H110" s="2341"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v>
      </c>
      <c r="F111" s="3347"/>
      <c r="G111" s="1687" t="s">
        <v>1432</v>
      </c>
      <c r="H111" s="2381" t="str">
        <f>IF(E111="——","——",N59)</f>
        <v>——</v>
      </c>
      <c r="I111" s="121"/>
    </row>
    <row r="112" spans="1:35" ht="18.75" customHeight="1" thickBot="1">
      <c r="A112" s="121"/>
      <c r="B112" s="121"/>
      <c r="C112" s="121"/>
      <c r="D112" s="121"/>
      <c r="E112" s="3362"/>
      <c r="F112" s="3363"/>
      <c r="G112" s="1690" t="s">
        <v>1434</v>
      </c>
      <c r="H112" s="2385" t="str">
        <f>IF(E111="——","——",N61)</f>
        <v>——</v>
      </c>
      <c r="I112" s="121"/>
    </row>
    <row r="113" spans="1:27" ht="18.75" customHeight="1">
      <c r="A113" s="121"/>
      <c r="B113" s="121"/>
      <c r="C113" s="121"/>
      <c r="D113" s="121"/>
      <c r="E113" s="3370" t="s">
        <v>1440</v>
      </c>
      <c r="F113" s="3370"/>
      <c r="G113" s="3370"/>
      <c r="H113" s="3370"/>
      <c r="I113" s="121"/>
    </row>
    <row r="114" spans="1:27" ht="3.75" customHeight="1">
      <c r="A114" s="646"/>
      <c r="B114" s="646"/>
      <c r="C114" s="646"/>
      <c r="D114" s="646"/>
      <c r="E114" s="1671"/>
      <c r="F114" s="1671"/>
      <c r="G114" s="1671"/>
      <c r="H114" s="1671"/>
      <c r="I114" s="646"/>
    </row>
    <row r="115" spans="1:27" ht="18.75" customHeight="1">
      <c r="A115" s="3378" t="s">
        <v>1442</v>
      </c>
      <c r="B115" s="3379"/>
      <c r="C115" s="3379"/>
      <c r="D115" s="3379"/>
      <c r="E115" s="3379"/>
      <c r="F115" s="3379"/>
      <c r="G115" s="3379"/>
      <c r="H115" s="3379"/>
      <c r="I115" s="3380"/>
    </row>
    <row r="116" spans="1:27" ht="27" customHeight="1">
      <c r="A116" s="3335" t="s">
        <v>1443</v>
      </c>
      <c r="B116" s="3339" t="s">
        <v>1444</v>
      </c>
      <c r="C116" s="3339" t="s">
        <v>1445</v>
      </c>
      <c r="D116" s="3345" t="s">
        <v>1446</v>
      </c>
      <c r="E116" s="3346"/>
      <c r="F116" s="3377" t="s">
        <v>1447</v>
      </c>
      <c r="G116" s="3377"/>
      <c r="H116" s="3335" t="s">
        <v>1448</v>
      </c>
      <c r="I116" s="3335"/>
    </row>
    <row r="117" spans="1:27" ht="18.75" customHeight="1">
      <c r="A117" s="3335"/>
      <c r="B117" s="3340"/>
      <c r="C117" s="334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31274.160000000003</v>
      </c>
      <c r="C118" s="2150">
        <f>M19</f>
        <v>10084.67</v>
      </c>
      <c r="D118" s="2150">
        <f ca="1">ROUND(IF(D32="总价",C34,E118*B118/10000),0)</f>
        <v>85025</v>
      </c>
      <c r="E118" s="2150">
        <f ca="1">ROUND(IF(C33="自定义",IF(D32="楼面单价",C34,D118*10000/B118),I118-G118),0)</f>
        <v>27187</v>
      </c>
      <c r="F118" s="2150">
        <f ca="1">ROUND(IF(D32="总价",C35,G118*B118/10000),0)</f>
        <v>34729</v>
      </c>
      <c r="G118" s="2150">
        <f ca="1">ROUND(IF(D32="楼面单价",C35,F118*10000/B118),0)</f>
        <v>11105</v>
      </c>
      <c r="H118" s="2150">
        <f ca="1">ROUND(IF(D32="总价",C32,I118*B118/10000),0)</f>
        <v>119754</v>
      </c>
      <c r="I118" s="2150">
        <f ca="1">ROUND(IF(D32="楼面单价",C32,H118*10000/B118),0)</f>
        <v>38292</v>
      </c>
    </row>
    <row r="119" spans="1:27" ht="18.75" customHeight="1">
      <c r="A119" s="3335" t="s">
        <v>1452</v>
      </c>
      <c r="B119" s="3335"/>
      <c r="C119" s="3335"/>
      <c r="D119" s="3341" t="str">
        <f ca="1">NUMBERSTRING(INT(D118*10000),2)&amp;"元整"</f>
        <v>捌亿伍仟零贰拾伍万元整</v>
      </c>
      <c r="E119" s="3342"/>
      <c r="F119" s="3341" t="str">
        <f ca="1">NUMBERSTRING(INT(F118*10000),2)&amp;"元整"</f>
        <v>叁亿肆仟柒佰贰拾玖万元整</v>
      </c>
      <c r="G119" s="3342"/>
      <c r="H119" s="3341" t="str">
        <f ca="1">NUMBERSTRING(INT(H118*10000),2)&amp;"元整"</f>
        <v>壹拾壹亿玖仟柒佰伍拾肆万元整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1" t="s">
        <v>1452</v>
      </c>
      <c r="B121" s="3343"/>
      <c r="C121" s="3342"/>
      <c r="D121" s="3341" t="str">
        <f>IF(D120=0,"零元整",NUMBERSTRING(INT(D120*10000),2)&amp;"元整")</f>
        <v>零元整</v>
      </c>
      <c r="E121" s="3343"/>
      <c r="F121" s="3343"/>
      <c r="G121" s="3343"/>
      <c r="H121" s="3343"/>
      <c r="I121" s="3342"/>
      <c r="AA121" s="684"/>
    </row>
    <row r="122" spans="1:27" ht="18.75" customHeight="1">
      <c r="A122" s="3347" t="str">
        <f>IF(项目基本情况!B9="房地产市场价值","",MID(E107,3,LEN(E107)-2))</f>
        <v>房地产抵押价值</v>
      </c>
      <c r="B122" s="3347"/>
      <c r="C122" s="3347"/>
      <c r="D122" s="3336">
        <f ca="1">H107</f>
        <v>119754</v>
      </c>
      <c r="E122" s="3337"/>
      <c r="F122" s="3337"/>
      <c r="G122" s="3337"/>
      <c r="H122" s="3337"/>
      <c r="I122" s="3338"/>
      <c r="AA122" s="684"/>
    </row>
    <row r="123" spans="1:27" ht="18.75" customHeight="1">
      <c r="A123" s="3335" t="s">
        <v>1452</v>
      </c>
      <c r="B123" s="3335"/>
      <c r="C123" s="3335"/>
      <c r="D123" s="3341" t="str">
        <f ca="1">NUMBERSTRING(INT(D122*10000),2)&amp;"元整"</f>
        <v>壹拾壹亿玖仟柒佰伍拾肆万元整</v>
      </c>
      <c r="E123" s="3343"/>
      <c r="F123" s="3343"/>
      <c r="G123" s="3343"/>
      <c r="H123" s="3343"/>
      <c r="I123" s="3342"/>
      <c r="AA123" s="684"/>
    </row>
    <row r="124" spans="1:27" ht="18.75" customHeight="1">
      <c r="A124" s="3347" t="str">
        <f>IF(项目基本情况!B9="房地产市场价值","",MID(E109,3,LEN(E109)-2))</f>
        <v/>
      </c>
      <c r="B124" s="3347"/>
      <c r="C124" s="3347"/>
      <c r="D124" s="3336" t="str">
        <f>H109</f>
        <v>——</v>
      </c>
      <c r="E124" s="3337"/>
      <c r="F124" s="3337"/>
      <c r="G124" s="3337"/>
      <c r="H124" s="3337"/>
      <c r="I124" s="3338"/>
      <c r="AA124" s="684"/>
    </row>
    <row r="125" spans="1:27" ht="18.75" customHeight="1">
      <c r="A125" s="3335" t="s">
        <v>1452</v>
      </c>
      <c r="B125" s="3335"/>
      <c r="C125" s="3335"/>
      <c r="D125" s="3341" t="e">
        <f>NUMBERSTRING(INT(D124*10000),2)&amp;"元整"</f>
        <v>#VALUE!</v>
      </c>
      <c r="E125" s="3343"/>
      <c r="F125" s="3343"/>
      <c r="G125" s="3343"/>
      <c r="H125" s="3343"/>
      <c r="I125" s="3342"/>
      <c r="AA125" s="684"/>
    </row>
    <row r="126" spans="1:27" ht="18.75" customHeight="1">
      <c r="A126" s="3347" t="str">
        <f>IF(项目基本情况!B9="房地产市场价值","",MID(E111,3,LEN(E111)-2))</f>
        <v/>
      </c>
      <c r="B126" s="3347"/>
      <c r="C126" s="3347"/>
      <c r="D126" s="3336" t="str">
        <f>H111</f>
        <v>——</v>
      </c>
      <c r="E126" s="3337"/>
      <c r="F126" s="3337"/>
      <c r="G126" s="3337"/>
      <c r="H126" s="3337"/>
      <c r="I126" s="3338"/>
      <c r="AA126" s="684"/>
    </row>
    <row r="127" spans="1:27" ht="18.75" customHeight="1">
      <c r="A127" s="3335" t="s">
        <v>1452</v>
      </c>
      <c r="B127" s="3335"/>
      <c r="C127" s="3335"/>
      <c r="D127" s="3341" t="e">
        <f>NUMBERSTRING(INT(D126*10000),2)&amp;"元整"</f>
        <v>#VALUE!</v>
      </c>
      <c r="E127" s="3343"/>
      <c r="F127" s="3343"/>
      <c r="G127" s="3343"/>
      <c r="H127" s="3343"/>
      <c r="I127" s="3342"/>
      <c r="AA127" s="684"/>
    </row>
    <row r="128" spans="1:27" ht="21.75" customHeight="1">
      <c r="A128" s="3344" t="s">
        <v>1453</v>
      </c>
      <c r="B128" s="3344"/>
      <c r="C128" s="3344"/>
      <c r="D128" s="3344"/>
      <c r="E128" s="3344"/>
      <c r="F128" s="3344"/>
      <c r="G128" s="3344"/>
      <c r="H128" s="3344"/>
      <c r="I128" s="334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22407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7165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625</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625</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625</v>
      </c>
      <c r="D10" s="795">
        <f ca="1">IF(B1="",'数据-汇总表'!E6,IF(INDIRECT("'数据-取费表'!c"&amp;$G$1)="住宅",INDIRECT("'数据-取费表'!s"&amp;$G$1),INDIRECT("'数据-取费表'!k"&amp;$G$1)+INDIRECT("'数据-取费表'!s"&amp;$G$1)))</f>
        <v>31274.160000000003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625</v>
      </c>
      <c r="D19" s="204">
        <f ca="1">D9+D10</f>
        <v>31274.160000000003</v>
      </c>
      <c r="E19" s="203">
        <f>'数据-取费表'!B31</f>
        <v>200</v>
      </c>
      <c r="F19" s="223"/>
      <c r="G19" s="1714"/>
    </row>
    <row r="20" spans="1:7" s="206" customFormat="1" ht="13.5" customHeight="1">
      <c r="A20" s="247" t="s">
        <v>1493</v>
      </c>
      <c r="B20" s="202" t="s">
        <v>1494</v>
      </c>
      <c r="C20" s="224">
        <f ca="1">ROUND((C5+C19)*F20,0)</f>
        <v>38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93</v>
      </c>
      <c r="D22" s="227">
        <f ca="1">C26</f>
        <v>1.1000000000000001E-3</v>
      </c>
      <c r="E22" s="228" t="s">
        <v>1498</v>
      </c>
      <c r="F22" s="229">
        <f ca="1">'数据-取费表'!B40</f>
        <v>3.6499999999999998E-2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46</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245</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ROUND((C5+C19+C20)*F27*'数据-取费表'!B21/'数据-取费表'!B20,0)</f>
        <v>245</v>
      </c>
      <c r="D28" s="227"/>
      <c r="E28" s="228"/>
      <c r="F28" s="238"/>
      <c r="G28" s="239"/>
    </row>
    <row r="29" spans="1:7" s="206" customFormat="1" ht="13.5" customHeight="1">
      <c r="A29" s="734" t="s">
        <v>347</v>
      </c>
      <c r="B29" s="240" t="s">
        <v>1517</v>
      </c>
      <c r="C29" s="230">
        <f ca="1">ROUND(C21*F27*'数据-取费表'!B21/'数据-取费表'!B20,4)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1787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16687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15011</v>
      </c>
      <c r="D34" s="209"/>
      <c r="E34" s="212"/>
      <c r="F34" s="249">
        <f ca="1">IF('数据-取费表'!B24=0,1,IF(B1="",'数据-取费表'!N16,INDIRECT("'数据-取费表'!n"&amp;$G$1)))</f>
        <v>1</v>
      </c>
      <c r="G34" s="211" t="s">
        <v>1526</v>
      </c>
    </row>
    <row r="35" spans="1:7" ht="13.5" customHeight="1">
      <c r="A35" s="734" t="s">
        <v>351</v>
      </c>
      <c r="B35" s="207" t="s">
        <v>1527</v>
      </c>
      <c r="C35" s="212">
        <f ca="1">ROUND(C34*F35,0)</f>
        <v>751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625</v>
      </c>
      <c r="D37" s="209">
        <f ca="1">D19</f>
        <v>31274.160000000003</v>
      </c>
      <c r="E37" s="241">
        <f>'数据-取费表'!B35</f>
        <v>200</v>
      </c>
      <c r="F37" s="251"/>
      <c r="G37" s="253" t="s">
        <v>1532</v>
      </c>
    </row>
    <row r="38" spans="1:7" ht="13.5" customHeight="1">
      <c r="A38" s="734" t="s">
        <v>354</v>
      </c>
      <c r="B38" s="207" t="s">
        <v>1533</v>
      </c>
      <c r="C38" s="212">
        <f ca="1">ROUND(C34*F38,0)</f>
        <v>300</v>
      </c>
      <c r="D38" s="212"/>
      <c r="E38" s="212"/>
      <c r="F38" s="251">
        <f>'数据-取费表'!B36</f>
        <v>0.02</v>
      </c>
      <c r="G38" s="211" t="s">
        <v>1528</v>
      </c>
    </row>
    <row r="39" spans="1:7" s="206" customFormat="1" ht="13.5" customHeight="1">
      <c r="A39" s="247" t="s">
        <v>1534</v>
      </c>
      <c r="B39" s="202" t="s">
        <v>1535</v>
      </c>
      <c r="C39" s="224">
        <f ca="1">ROUND(C33*F20,0)</f>
        <v>501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627</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609</v>
      </c>
      <c r="D42" s="230"/>
      <c r="E42" s="230"/>
      <c r="F42" s="231"/>
      <c r="G42" s="3414" t="s">
        <v>1544</v>
      </c>
    </row>
    <row r="43" spans="1:7" ht="13.5" customHeight="1">
      <c r="A43" s="734" t="s">
        <v>347</v>
      </c>
      <c r="B43" s="207" t="s">
        <v>1545</v>
      </c>
      <c r="C43" s="230">
        <f ca="1">ROUND(IF('数据-取费表'!B22&lt;=1,C39*F22*'数据-取费表'!B21/2,C39*(POWER((1+F22),'数据-取费表'!B21/2)-1)),0)</f>
        <v>18</v>
      </c>
      <c r="D43" s="230"/>
      <c r="E43" s="230"/>
      <c r="F43" s="231"/>
      <c r="G43" s="3415"/>
    </row>
    <row r="44" spans="1:7" ht="13.5" customHeight="1">
      <c r="A44" s="734" t="s">
        <v>348</v>
      </c>
      <c r="B44" s="207" t="s">
        <v>1546</v>
      </c>
      <c r="C44" s="230">
        <f ca="1">ROUND(IF('数据-取费表'!B22&lt;=1,C40*F22*'数据-取费表'!B21/2,C40*(POWER((1+F22),'数据-取费表'!B21/2)-1)),4)</f>
        <v>1.1000000000000001E-3</v>
      </c>
      <c r="D44" s="230"/>
      <c r="E44" s="230"/>
      <c r="F44" s="231"/>
      <c r="G44" s="3416"/>
    </row>
    <row r="45" spans="1:7" s="206" customFormat="1" ht="13.5" customHeight="1">
      <c r="A45" s="247" t="s">
        <v>1547</v>
      </c>
      <c r="B45" s="236" t="s">
        <v>1513</v>
      </c>
      <c r="C45" s="237">
        <f ca="1">C46</f>
        <v>3266</v>
      </c>
      <c r="D45" s="227">
        <f ca="1">C47</f>
        <v>5.7000000000000002E-3</v>
      </c>
      <c r="E45" s="228" t="s">
        <v>1539</v>
      </c>
      <c r="F45" s="238">
        <f ca="1">F27</f>
        <v>0.19</v>
      </c>
      <c r="G45" s="239" t="s">
        <v>1548</v>
      </c>
    </row>
    <row r="46" spans="1:7" s="206" customFormat="1" ht="13.5" customHeight="1">
      <c r="A46" s="734" t="s">
        <v>346</v>
      </c>
      <c r="B46" s="240" t="s">
        <v>1549</v>
      </c>
      <c r="C46" s="241">
        <f ca="1">ROUND((C33+C39)*F27,0)</f>
        <v>3266</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23168</v>
      </c>
      <c r="D49" s="224"/>
      <c r="E49" s="224"/>
      <c r="F49" s="256"/>
      <c r="G49" s="226" t="s">
        <v>1554</v>
      </c>
    </row>
    <row r="50" spans="1:7" s="250" customFormat="1" ht="24">
      <c r="A50" s="247" t="s">
        <v>1555</v>
      </c>
      <c r="B50" s="202" t="s">
        <v>1556</v>
      </c>
      <c r="C50" s="224"/>
      <c r="D50" s="224"/>
      <c r="E50" s="224"/>
      <c r="F50" s="256">
        <f>IF('数据-取费表'!B24=0,'数据-取费表'!N16,1)</f>
        <v>0.89</v>
      </c>
      <c r="G50" s="239" t="s">
        <v>1557</v>
      </c>
    </row>
    <row r="51" spans="1:7" ht="16.5" customHeight="1">
      <c r="A51" s="247" t="s">
        <v>1558</v>
      </c>
      <c r="B51" s="202" t="s">
        <v>1559</v>
      </c>
      <c r="C51" s="224">
        <f ca="1">ROUND(C49*F50,0)</f>
        <v>20620</v>
      </c>
      <c r="D51" s="224"/>
      <c r="E51" s="224"/>
      <c r="F51" s="256"/>
      <c r="G51" s="226" t="s">
        <v>1560</v>
      </c>
    </row>
    <row r="52" spans="1:7" s="200" customFormat="1" ht="16.5" thickBot="1">
      <c r="A52" s="257" t="s">
        <v>1561</v>
      </c>
      <c r="B52" s="258"/>
      <c r="C52" s="259">
        <f ca="1">C31+C51</f>
        <v>22407</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22409.502400000001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7166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6254832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6254832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6254832</v>
      </c>
      <c r="D10" s="795">
        <f ca="1">IF(B1="",'数据-汇总表'!E6,IF(INDIRECT("'数据-取费表'!c"&amp;$G$1)="住宅",INDIRECT("'数据-取费表'!s"&amp;$G$1),INDIRECT("'数据-取费表'!k"&amp;$G$1)+INDIRECT("'数据-取费表'!s"&amp;$G$1)))</f>
        <v>31274.160000000003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6254832</v>
      </c>
      <c r="D19" s="204">
        <f ca="1">D9+D10</f>
        <v>31274.160000000003</v>
      </c>
      <c r="E19" s="203">
        <f>'数据-取费表'!B31</f>
        <v>200</v>
      </c>
      <c r="F19" s="223"/>
      <c r="G19" s="1714"/>
    </row>
    <row r="20" spans="1:7" s="206" customFormat="1" ht="13.5" customHeight="1">
      <c r="A20" s="247" t="s">
        <v>1574</v>
      </c>
      <c r="B20" s="202" t="s">
        <v>1575</v>
      </c>
      <c r="C20" s="224">
        <f ca="1">ROUND((C5+C19)*F20,0)</f>
        <v>375290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943570</v>
      </c>
      <c r="D22" s="227">
        <f ca="1">C26</f>
        <v>1.1000000000000001E-3</v>
      </c>
      <c r="E22" s="228" t="s">
        <v>1579</v>
      </c>
      <c r="F22" s="229">
        <f ca="1">'数据-取费表'!B40</f>
        <v>3.6499999999999998E-2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464936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464936</v>
      </c>
      <c r="D24" s="230"/>
      <c r="E24" s="230"/>
      <c r="F24" s="231"/>
      <c r="G24" s="232" t="s">
        <v>1586</v>
      </c>
    </row>
    <row r="25" spans="1:7" s="206" customFormat="1" ht="24">
      <c r="A25" s="734" t="s">
        <v>1476</v>
      </c>
      <c r="B25" s="207" t="s">
        <v>1587</v>
      </c>
      <c r="C25" s="230">
        <f ca="1">ROUND(IF('数据-取费表'!B22&lt;=1,C20*F22*'数据-取费表'!B22/2,C20*(POWER((1+F22),'数据-取费表'!B22/2)-1)),0)</f>
        <v>13698</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2448141</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ROUND((C5+C19+C20)*F27,0)</f>
        <v>2448141</v>
      </c>
      <c r="D28" s="227"/>
      <c r="E28" s="228"/>
      <c r="F28" s="238"/>
      <c r="G28" s="239"/>
    </row>
    <row r="29" spans="1:7" s="206" customFormat="1" ht="13.5" customHeight="1">
      <c r="A29" s="734" t="s">
        <v>347</v>
      </c>
      <c r="B29" s="240" t="s">
        <v>1517</v>
      </c>
      <c r="C29" s="230">
        <f ca="1">ROUND(C21*F27,4)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17888411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166878917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150115968</v>
      </c>
      <c r="D34" s="209"/>
      <c r="E34" s="212"/>
      <c r="F34" s="249"/>
      <c r="G34" s="211"/>
    </row>
    <row r="35" spans="1:7" ht="13.5" customHeight="1">
      <c r="A35" s="734" t="s">
        <v>351</v>
      </c>
      <c r="B35" s="207" t="s">
        <v>1527</v>
      </c>
      <c r="C35" s="212">
        <f ca="1">ROUND(C34*F35,0)</f>
        <v>7505798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6254832</v>
      </c>
      <c r="D37" s="209">
        <f ca="1">D19</f>
        <v>31274.160000000003</v>
      </c>
      <c r="E37" s="241">
        <f>'数据-取费表'!B35</f>
        <v>200</v>
      </c>
      <c r="F37" s="251"/>
      <c r="G37" s="253"/>
    </row>
    <row r="38" spans="1:7" ht="13.5" customHeight="1">
      <c r="A38" s="734" t="s">
        <v>354</v>
      </c>
      <c r="B38" s="207" t="s">
        <v>1533</v>
      </c>
      <c r="C38" s="212">
        <f ca="1">ROUND(C34*F38,0)</f>
        <v>3002319</v>
      </c>
      <c r="D38" s="212"/>
      <c r="E38" s="212"/>
      <c r="F38" s="251">
        <f>'数据-取费表'!B36</f>
        <v>0.02</v>
      </c>
      <c r="G38" s="211" t="s">
        <v>1528</v>
      </c>
    </row>
    <row r="39" spans="1:7" s="206" customFormat="1" ht="13.5" customHeight="1">
      <c r="A39" s="247" t="s">
        <v>1534</v>
      </c>
      <c r="B39" s="202" t="s">
        <v>1535</v>
      </c>
      <c r="C39" s="224">
        <f ca="1">ROUND(C33*F20,0)</f>
        <v>5006368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6273812</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6091080</v>
      </c>
      <c r="D42" s="230"/>
      <c r="E42" s="230"/>
      <c r="F42" s="231"/>
      <c r="G42" s="3414" t="s">
        <v>1591</v>
      </c>
    </row>
    <row r="43" spans="1:7" ht="13.5" customHeight="1">
      <c r="A43" s="734" t="s">
        <v>347</v>
      </c>
      <c r="B43" s="207" t="s">
        <v>1545</v>
      </c>
      <c r="C43" s="230">
        <f ca="1">ROUND(IF('数据-取费表'!B22&lt;=1,C39*F22*'数据-取费表'!B20/2,C39*(POWER((1+F22),'数据-取费表'!B20/2)-1)),0)</f>
        <v>182732</v>
      </c>
      <c r="D43" s="230"/>
      <c r="E43" s="230"/>
      <c r="F43" s="231"/>
      <c r="G43" s="3415"/>
    </row>
    <row r="44" spans="1:7" ht="13.5" customHeight="1">
      <c r="A44" s="734" t="s">
        <v>348</v>
      </c>
      <c r="B44" s="207" t="s">
        <v>1546</v>
      </c>
      <c r="C44" s="230">
        <f ca="1">ROUND(IF('数据-取费表'!B22&lt;=1,C40*F22*'数据-取费表'!B20/2,C40*(POWER((1+F22),'数据-取费表'!B20/2)-1)),4)</f>
        <v>1.1000000000000001E-3</v>
      </c>
      <c r="D44" s="230"/>
      <c r="E44" s="230"/>
      <c r="F44" s="231"/>
      <c r="G44" s="3416"/>
    </row>
    <row r="45" spans="1:7" s="206" customFormat="1" ht="13.5" customHeight="1">
      <c r="A45" s="247" t="s">
        <v>1547</v>
      </c>
      <c r="B45" s="236" t="s">
        <v>1513</v>
      </c>
      <c r="C45" s="237">
        <f ca="1">C46</f>
        <v>32658204</v>
      </c>
      <c r="D45" s="227">
        <f ca="1">C47</f>
        <v>5.7000000000000002E-3</v>
      </c>
      <c r="E45" s="228" t="s">
        <v>1539</v>
      </c>
      <c r="F45" s="238">
        <f ca="1">F27</f>
        <v>0.19</v>
      </c>
      <c r="G45" s="239" t="s">
        <v>1548</v>
      </c>
    </row>
    <row r="46" spans="1:7" s="206" customFormat="1" ht="13.5" customHeight="1">
      <c r="A46" s="734" t="s">
        <v>346</v>
      </c>
      <c r="B46" s="240" t="s">
        <v>1549</v>
      </c>
      <c r="C46" s="241">
        <f ca="1">ROUND((C33+C39)*F27,0)</f>
        <v>32658204</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231692824</v>
      </c>
      <c r="D49" s="224"/>
      <c r="E49" s="224"/>
      <c r="F49" s="256"/>
      <c r="G49" s="226" t="s">
        <v>1554</v>
      </c>
    </row>
    <row r="50" spans="1:7" s="250" customFormat="1">
      <c r="A50" s="247" t="s">
        <v>1555</v>
      </c>
      <c r="B50" s="202" t="s">
        <v>1556</v>
      </c>
      <c r="C50" s="224"/>
      <c r="D50" s="224"/>
      <c r="E50" s="224"/>
      <c r="F50" s="256">
        <f>IF('数据-取费表'!B24=0,'数据-取费表'!N16,1)</f>
        <v>0.89</v>
      </c>
      <c r="G50" s="239"/>
    </row>
    <row r="51" spans="1:7" ht="16.5" customHeight="1">
      <c r="A51" s="247" t="s">
        <v>1558</v>
      </c>
      <c r="B51" s="202" t="s">
        <v>1593</v>
      </c>
      <c r="C51" s="224">
        <f ca="1">ROUND(C49*F50,0)</f>
        <v>206206613</v>
      </c>
      <c r="D51" s="224"/>
      <c r="E51" s="224"/>
      <c r="F51" s="256"/>
      <c r="G51" s="226" t="s">
        <v>1560</v>
      </c>
    </row>
    <row r="52" spans="1:7" s="200" customFormat="1" ht="16.5" thickBot="1">
      <c r="A52" s="257" t="s">
        <v>1561</v>
      </c>
      <c r="B52" s="258"/>
      <c r="C52" s="259">
        <f ca="1">C31+C51</f>
        <v>224095024</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31274.160000000003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31274.160000000003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625</v>
      </c>
      <c r="D20" s="796">
        <f ca="1">IF(C1="",'数据-汇总表'!E6,IF(INDIRECT("'数据-取费表'!c"&amp;$K$1)="住宅",INDIRECT("'数据-取费表'!s"&amp;$K$1),INDIRECT("'数据-取费表'!k"&amp;$K$1)+INDIRECT("'数据-取费表'!s"&amp;$K$1)))</f>
        <v>31274.160000000003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3.6499999999999998E-2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0.19</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t="s">
        <v>3407</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2456</v>
      </c>
      <c r="F3" s="1848" t="s">
        <v>3482</v>
      </c>
      <c r="G3" s="708">
        <f>IF(F3="宗地容积率",'数据-汇总表'!I4,IF(F3="估价对象容积率",'数据-汇总表'!I6,'数据-汇总表'!I7))</f>
        <v>1.95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24"/>
      <c r="B4" s="3425"/>
      <c r="C4" s="3425"/>
      <c r="D4" s="3426"/>
      <c r="E4" s="3426"/>
      <c r="F4" s="3426"/>
      <c r="G4" s="3426"/>
      <c r="H4" s="3426"/>
      <c r="I4" s="3426"/>
      <c r="J4" s="342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1.95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21" t="s">
        <v>1960</v>
      </c>
      <c r="X8" s="342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23"/>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2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28" t="s">
        <v>3254</v>
      </c>
      <c r="B20" s="159" t="s">
        <v>1994</v>
      </c>
      <c r="C20" s="3032" t="e">
        <f>ROUND(IF(F21="与级别开发程度一致",0,(G21-E21)/C21),0)</f>
        <v>#DIV/0!</v>
      </c>
      <c r="D20" s="3047" t="s">
        <v>1998</v>
      </c>
      <c r="E20" s="3048"/>
      <c r="F20" s="3434" t="s">
        <v>1995</v>
      </c>
      <c r="G20" s="343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2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896" t="s">
        <v>2002</v>
      </c>
      <c r="E23" s="717">
        <v>44197</v>
      </c>
      <c r="F23" s="1896" t="s">
        <v>2003</v>
      </c>
      <c r="G23" s="718">
        <f>'数据-取费表'!B2</f>
        <v>44926</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3.6499999999999998E-2</v>
      </c>
      <c r="M36" s="2366">
        <f ca="1">ROUND($L$36*(1+M31),3)</f>
        <v>4.5999999999999999E-2</v>
      </c>
      <c r="N36" s="2366">
        <f ca="1">ROUND($L$36*(1+N31),3)</f>
        <v>4.3999999999999997E-2</v>
      </c>
      <c r="O36" s="2366">
        <f ca="1">ROUND($L$36*(1+O31),3)</f>
        <v>4.2000000000000003E-2</v>
      </c>
      <c r="P36" s="2366">
        <f ca="1">ROUND($L$36*(1+P31),3)</f>
        <v>0.04</v>
      </c>
      <c r="Q36" s="2366">
        <f ca="1">ROUND($L$36*(1+Q31),3)</f>
        <v>4.2000000000000003E-2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3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4.1499999999999995E-2</v>
      </c>
      <c r="M37" s="2366">
        <f ca="1">ROUND($L$37*(1+M31),3)</f>
        <v>5.1999999999999998E-2</v>
      </c>
      <c r="N37" s="2366">
        <f t="shared" ref="N37:Q37" ca="1" si="3">ROUND($L$37*(1+N31),3)</f>
        <v>0.05</v>
      </c>
      <c r="O37" s="2366">
        <f t="shared" ca="1" si="3"/>
        <v>4.8000000000000001E-2</v>
      </c>
      <c r="P37" s="2366">
        <f t="shared" ca="1" si="3"/>
        <v>4.5999999999999999E-2</v>
      </c>
      <c r="Q37" s="2366">
        <f t="shared" ca="1"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33"/>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f>IF(E2="公共服务",SUMIF(L1:L12,G2,N1:N12),"——")</f>
        <v>0</v>
      </c>
      <c r="G93" s="3075"/>
      <c r="H93" s="3120">
        <f>IFERROR(ROUNDDOWN($F$93*I93/2,4),"——")</f>
        <v>0</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f>IFERROR(ROUNDDOWN($F$93*I94/2,4),"——")</f>
        <v>0</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f t="shared" ref="H95:H101" si="31">IFERROR(ROUNDDOWN($F$93*I95/2,4),"——")</f>
        <v>0</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f t="shared" si="31"/>
        <v>0</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f t="shared" si="31"/>
        <v>0</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f t="shared" si="31"/>
        <v>0</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f t="shared" si="31"/>
        <v>0</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f t="shared" si="31"/>
        <v>0</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f t="shared" si="31"/>
        <v>0</v>
      </c>
      <c r="I101" s="3070">
        <v>7.0000000000000007E-2</v>
      </c>
      <c r="J101" s="1912">
        <f t="shared" si="27"/>
        <v>0</v>
      </c>
      <c r="K101" s="1912">
        <f t="shared" si="28"/>
        <v>0</v>
      </c>
      <c r="L101" s="1912">
        <v>0</v>
      </c>
      <c r="M101" s="1912">
        <f t="shared" si="29"/>
        <v>0</v>
      </c>
      <c r="N101" s="1912">
        <f t="shared" si="29"/>
        <v>0</v>
      </c>
    </row>
    <row r="103" spans="1:14">
      <c r="A103" s="3430" t="s">
        <v>3294</v>
      </c>
      <c r="B103" s="3430"/>
      <c r="C103" s="3430"/>
      <c r="D103" s="3430"/>
      <c r="E103" s="3430"/>
      <c r="F103" s="3430"/>
      <c r="G103" s="3430"/>
      <c r="H103" s="3430"/>
      <c r="I103" s="3430"/>
      <c r="J103" s="3430"/>
      <c r="K103" s="1667"/>
      <c r="L103" s="1667"/>
      <c r="M103" s="1667"/>
      <c r="N103" s="1667"/>
    </row>
    <row r="104" spans="1:14">
      <c r="A104" s="3431" t="s">
        <v>3295</v>
      </c>
      <c r="B104" s="3431" t="s">
        <v>3296</v>
      </c>
      <c r="C104" s="3091" t="s">
        <v>3297</v>
      </c>
      <c r="D104" s="3092"/>
      <c r="E104" s="3092"/>
      <c r="F104" s="3092"/>
      <c r="G104" s="3092"/>
      <c r="H104" s="3092"/>
      <c r="I104" s="3092"/>
      <c r="J104" s="3093"/>
      <c r="K104" s="3094"/>
      <c r="L104" s="3094"/>
      <c r="M104" s="3094"/>
      <c r="N104" s="3094"/>
    </row>
    <row r="105" spans="1:14">
      <c r="A105" s="3431"/>
      <c r="B105" s="3431"/>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17"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1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1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1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1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18"/>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1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20" t="s">
        <v>3311</v>
      </c>
      <c r="B113" s="3420"/>
      <c r="C113" s="3420"/>
      <c r="D113" s="3420"/>
      <c r="E113" s="3420"/>
      <c r="F113" s="3420"/>
      <c r="G113" s="3420"/>
      <c r="H113" s="3420"/>
      <c r="I113" s="3420"/>
      <c r="J113" s="342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1.95</v>
      </c>
      <c r="C116" s="3100" t="s">
        <v>3313</v>
      </c>
      <c r="D116" s="3101">
        <f>SUMPRODUCT((A118:A122=F116)*(B117:M117=H116)*B118:M122)</f>
        <v>0</v>
      </c>
      <c r="E116" s="162" t="s">
        <v>3314</v>
      </c>
      <c r="F116" s="3102" t="str">
        <f>E2</f>
        <v>公共服务</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0.97540000000000004</v>
      </c>
      <c r="C118" s="3090">
        <f>B118</f>
        <v>0.97540000000000004</v>
      </c>
      <c r="D118" s="3090">
        <f>ROUND(0.949-0.014*B116,4)</f>
        <v>0.92169999999999996</v>
      </c>
      <c r="E118" s="3090">
        <f>D118</f>
        <v>0.92169999999999996</v>
      </c>
      <c r="F118" s="3090">
        <f>E118</f>
        <v>0.92169999999999996</v>
      </c>
      <c r="G118" s="3090">
        <f>F118</f>
        <v>0.92169999999999996</v>
      </c>
      <c r="H118" s="3090">
        <f>G118</f>
        <v>0.92169999999999996</v>
      </c>
      <c r="I118" s="3090">
        <f>ROUND(0.8486-0.018*B116,4)</f>
        <v>0.8135</v>
      </c>
      <c r="J118" s="3090">
        <f t="shared" ref="J118:M122" si="35">I118</f>
        <v>0.8135</v>
      </c>
      <c r="K118" s="3090">
        <f t="shared" si="35"/>
        <v>0.8135</v>
      </c>
      <c r="L118" s="3090">
        <f t="shared" si="35"/>
        <v>0.8135</v>
      </c>
      <c r="M118" s="3110">
        <f t="shared" si="35"/>
        <v>0.8135</v>
      </c>
      <c r="N118" s="3098"/>
    </row>
    <row r="119" spans="1:14">
      <c r="A119" s="3058" t="s">
        <v>3329</v>
      </c>
      <c r="B119" s="3090">
        <f>ROUND(0.993-0.0112*B116,4)</f>
        <v>0.97119999999999995</v>
      </c>
      <c r="C119" s="3090">
        <f>B119</f>
        <v>0.97119999999999995</v>
      </c>
      <c r="D119" s="3090">
        <f>ROUND(0.9415-0.0142*B116,4)</f>
        <v>0.91379999999999995</v>
      </c>
      <c r="E119" s="3090">
        <f t="shared" ref="E119:H120" si="36">D119</f>
        <v>0.91379999999999995</v>
      </c>
      <c r="F119" s="3090">
        <f t="shared" si="36"/>
        <v>0.91379999999999995</v>
      </c>
      <c r="G119" s="3090">
        <f t="shared" si="36"/>
        <v>0.91379999999999995</v>
      </c>
      <c r="H119" s="3090">
        <f t="shared" si="36"/>
        <v>0.91379999999999995</v>
      </c>
      <c r="I119" s="3090">
        <f>ROUND(0.838-0.0182*B116,4)</f>
        <v>0.80249999999999999</v>
      </c>
      <c r="J119" s="3090">
        <f t="shared" si="35"/>
        <v>0.80249999999999999</v>
      </c>
      <c r="K119" s="3090">
        <f t="shared" si="35"/>
        <v>0.80249999999999999</v>
      </c>
      <c r="L119" s="3090">
        <f t="shared" si="35"/>
        <v>0.80249999999999999</v>
      </c>
      <c r="M119" s="3110">
        <f t="shared" si="35"/>
        <v>0.80249999999999999</v>
      </c>
      <c r="N119" s="3098"/>
    </row>
    <row r="120" spans="1:14">
      <c r="A120" s="3058" t="s">
        <v>3330</v>
      </c>
      <c r="B120" s="3090">
        <f>ROUND(0.9448-0.0115*B116,4)</f>
        <v>0.9224</v>
      </c>
      <c r="C120" s="3090">
        <f>B120</f>
        <v>0.9224</v>
      </c>
      <c r="D120" s="3090">
        <f>ROUND(0.937-0.0145*B116,4)</f>
        <v>0.90869999999999995</v>
      </c>
      <c r="E120" s="3090">
        <f t="shared" si="36"/>
        <v>0.90869999999999995</v>
      </c>
      <c r="F120" s="3090">
        <f t="shared" si="36"/>
        <v>0.90869999999999995</v>
      </c>
      <c r="G120" s="3090">
        <f t="shared" si="36"/>
        <v>0.90869999999999995</v>
      </c>
      <c r="H120" s="3090">
        <f t="shared" si="36"/>
        <v>0.90869999999999995</v>
      </c>
      <c r="I120" s="3090">
        <f>ROUND(0.7965-0.0185*B116,4)</f>
        <v>0.76039999999999996</v>
      </c>
      <c r="J120" s="3090">
        <f t="shared" si="35"/>
        <v>0.76039999999999996</v>
      </c>
      <c r="K120" s="3090">
        <f t="shared" si="35"/>
        <v>0.76039999999999996</v>
      </c>
      <c r="L120" s="3090">
        <f t="shared" si="35"/>
        <v>0.76039999999999996</v>
      </c>
      <c r="M120" s="3110">
        <f t="shared" si="35"/>
        <v>0.76039999999999996</v>
      </c>
      <c r="N120" s="3098"/>
    </row>
    <row r="121" spans="1:14" ht="13.5" thickBot="1">
      <c r="A121" s="3111" t="s">
        <v>3331</v>
      </c>
      <c r="B121" s="3112">
        <f>ROUND(0.7836-0.012*B116,4)</f>
        <v>0.76019999999999999</v>
      </c>
      <c r="C121" s="3112">
        <f>B121</f>
        <v>0.76019999999999999</v>
      </c>
      <c r="D121" s="3112">
        <f>ROUND(0.753-0.015*B116,4)</f>
        <v>0.7238</v>
      </c>
      <c r="E121" s="3112">
        <f>D121</f>
        <v>0.7238</v>
      </c>
      <c r="F121" s="3112">
        <f>E121</f>
        <v>0.7238</v>
      </c>
      <c r="G121" s="3112">
        <f>ROUND(0.6612-0.018*B116,4)</f>
        <v>0.62609999999999999</v>
      </c>
      <c r="H121" s="3112">
        <f>G121</f>
        <v>0.62609999999999999</v>
      </c>
      <c r="I121" s="3112">
        <f>ROUND(0.5905-0.019*B116,4)</f>
        <v>0.55349999999999999</v>
      </c>
      <c r="J121" s="3112">
        <f t="shared" si="35"/>
        <v>0.55349999999999999</v>
      </c>
      <c r="K121" s="3112">
        <f t="shared" si="35"/>
        <v>0.55349999999999999</v>
      </c>
      <c r="L121" s="3112">
        <f t="shared" si="35"/>
        <v>0.55349999999999999</v>
      </c>
      <c r="M121" s="3113">
        <f t="shared" si="35"/>
        <v>0.55349999999999999</v>
      </c>
      <c r="N121" s="3098"/>
    </row>
    <row r="122" spans="1:14">
      <c r="A122" s="3114" t="s">
        <v>2612</v>
      </c>
      <c r="B122" s="3090">
        <f>ROUND(0.9404-0.0106*B116,4)</f>
        <v>0.91969999999999996</v>
      </c>
      <c r="C122" s="3090">
        <f>B122</f>
        <v>0.91969999999999996</v>
      </c>
      <c r="D122" s="3090">
        <f>ROUND(0.8955-0.0135*B116,4)</f>
        <v>0.86919999999999997</v>
      </c>
      <c r="E122" s="3090">
        <f t="shared" ref="E122:H122" si="37">D122</f>
        <v>0.86919999999999997</v>
      </c>
      <c r="F122" s="3090">
        <f t="shared" si="37"/>
        <v>0.86919999999999997</v>
      </c>
      <c r="G122" s="3090">
        <f t="shared" si="37"/>
        <v>0.86919999999999997</v>
      </c>
      <c r="H122" s="3090">
        <f t="shared" si="37"/>
        <v>0.86919999999999997</v>
      </c>
      <c r="I122" s="3090">
        <f>ROUND(0.7632-0.0166*B116,4)</f>
        <v>0.73080000000000001</v>
      </c>
      <c r="J122" s="3090">
        <f t="shared" si="35"/>
        <v>0.73080000000000001</v>
      </c>
      <c r="K122" s="3090">
        <f t="shared" si="35"/>
        <v>0.73080000000000001</v>
      </c>
      <c r="L122" s="3090">
        <f t="shared" si="35"/>
        <v>0.73080000000000001</v>
      </c>
      <c r="M122" s="3110">
        <f t="shared" si="35"/>
        <v>0.73080000000000001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5"/>
  <sheetViews>
    <sheetView view="pageBreakPreview" zoomScale="80" zoomScaleNormal="70" zoomScaleSheetLayoutView="80" workbookViewId="0">
      <selection activeCell="H138" sqref="H13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t="s">
        <v>3480</v>
      </c>
      <c r="F1" s="1735" t="s">
        <v>3481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110729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35406</v>
      </c>
      <c r="C3" s="344" t="s">
        <v>1768</v>
      </c>
      <c r="D3" s="343">
        <f>IF(D1="",'数据-汇总表'!E3,SUMIF('数据-汇总表'!$C19:$C33,D1,'数据-汇总表'!$E19:$E33))</f>
        <v>31274.160000000003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63" t="s">
        <v>1775</v>
      </c>
      <c r="Q4" s="3464"/>
      <c r="R4" s="3441" t="s">
        <v>1771</v>
      </c>
      <c r="S4" s="3442"/>
      <c r="T4" s="3441" t="s">
        <v>1772</v>
      </c>
      <c r="U4" s="3442"/>
      <c r="V4" s="3471" t="s">
        <v>1773</v>
      </c>
      <c r="W4" s="3471"/>
      <c r="X4" s="1809"/>
      <c r="Y4" s="3441" t="s">
        <v>1775</v>
      </c>
      <c r="Z4" s="3442"/>
      <c r="AA4" s="3436" t="s">
        <v>1771</v>
      </c>
      <c r="AB4" s="3436" t="s">
        <v>1772</v>
      </c>
      <c r="AC4" s="3456" t="s">
        <v>1773</v>
      </c>
    </row>
    <row r="5" spans="1:29" ht="15">
      <c r="A5" s="348"/>
      <c r="B5" s="349"/>
      <c r="C5" s="3447" t="s">
        <v>1673</v>
      </c>
      <c r="D5" s="3448"/>
      <c r="E5" s="3445" t="s">
        <v>3494</v>
      </c>
      <c r="F5" s="3446"/>
      <c r="G5" s="3473" t="s">
        <v>3531</v>
      </c>
      <c r="H5" s="3448"/>
      <c r="I5" s="3451" t="s">
        <v>3535</v>
      </c>
      <c r="J5" s="3448"/>
      <c r="K5" s="537"/>
      <c r="L5" s="2487"/>
      <c r="M5" s="2488"/>
      <c r="N5" s="2488"/>
      <c r="O5" s="2488"/>
      <c r="P5" s="3465"/>
      <c r="Q5" s="3466"/>
      <c r="R5" s="3443"/>
      <c r="S5" s="3444"/>
      <c r="T5" s="3443"/>
      <c r="U5" s="3444"/>
      <c r="V5" s="3472"/>
      <c r="W5" s="3472"/>
      <c r="X5" s="1265"/>
      <c r="Y5" s="3443"/>
      <c r="Z5" s="3444"/>
      <c r="AA5" s="3437"/>
      <c r="AB5" s="3437"/>
      <c r="AC5" s="3457"/>
    </row>
    <row r="6" spans="1:29" ht="15.75" thickBot="1">
      <c r="A6" s="350"/>
      <c r="B6" s="351"/>
      <c r="C6" s="3449" t="s">
        <v>1677</v>
      </c>
      <c r="D6" s="3450"/>
      <c r="E6" s="3452" t="s">
        <v>3495</v>
      </c>
      <c r="F6" s="3453"/>
      <c r="G6" s="3454" t="s">
        <v>3533</v>
      </c>
      <c r="H6" s="3450"/>
      <c r="I6" s="3454" t="s">
        <v>3534</v>
      </c>
      <c r="J6" s="3450"/>
      <c r="K6" s="537" t="s">
        <v>1678</v>
      </c>
      <c r="L6" s="2487"/>
      <c r="M6" s="2488"/>
      <c r="N6" s="2488"/>
      <c r="O6" s="2488"/>
      <c r="P6" s="3467"/>
      <c r="Q6" s="3468"/>
      <c r="R6" s="3443"/>
      <c r="S6" s="3444"/>
      <c r="T6" s="3469"/>
      <c r="U6" s="3470"/>
      <c r="V6" s="3472"/>
      <c r="W6" s="3472"/>
      <c r="X6" s="1265"/>
      <c r="Y6" s="3469"/>
      <c r="Z6" s="3470"/>
      <c r="AA6" s="3438"/>
      <c r="AB6" s="3438"/>
      <c r="AC6" s="3458"/>
    </row>
    <row r="7" spans="1:29" s="102" customFormat="1" ht="15.75" thickBot="1">
      <c r="A7" s="352" t="s">
        <v>1679</v>
      </c>
      <c r="B7" s="353"/>
      <c r="C7" s="354">
        <f>'数据-取费表'!B2</f>
        <v>44926</v>
      </c>
      <c r="D7" s="355">
        <v>100</v>
      </c>
      <c r="E7" s="356">
        <f>C7</f>
        <v>44926</v>
      </c>
      <c r="F7" s="357">
        <f>SUMIF(59:59,YEAR(E7)&amp;"-"&amp;MONTH(E7),60:60)</f>
        <v>100</v>
      </c>
      <c r="G7" s="356">
        <f>C7</f>
        <v>44926</v>
      </c>
      <c r="H7" s="355">
        <f>SUMIF(59:59,YEAR(G7)&amp;"-"&amp;MONTH(G7),60:60)</f>
        <v>100</v>
      </c>
      <c r="I7" s="356">
        <f>C7</f>
        <v>44926</v>
      </c>
      <c r="J7" s="355">
        <f>SUMIF(59:59,YEAR(I7)&amp;"-"&amp;MONTH(I7),60:60)</f>
        <v>100</v>
      </c>
      <c r="K7" s="38"/>
      <c r="L7" s="2489"/>
      <c r="M7" s="2440"/>
      <c r="N7" s="2440"/>
      <c r="O7" s="2440"/>
      <c r="P7" s="3474" t="s">
        <v>1680</v>
      </c>
      <c r="Q7" s="3475"/>
      <c r="R7" s="664" t="s">
        <v>14</v>
      </c>
      <c r="S7" s="665">
        <f t="shared" ref="S7:S15" si="0">F7</f>
        <v>100</v>
      </c>
      <c r="T7" s="664" t="s">
        <v>14</v>
      </c>
      <c r="U7" s="665">
        <f t="shared" ref="U7:U15" si="1">H7</f>
        <v>100</v>
      </c>
      <c r="V7" s="664" t="s">
        <v>14</v>
      </c>
      <c r="W7" s="665">
        <f t="shared" ref="W7:W15" si="2">J7</f>
        <v>100</v>
      </c>
      <c r="X7" s="666"/>
      <c r="Y7" s="3439" t="s">
        <v>1680</v>
      </c>
      <c r="Z7" s="3440"/>
      <c r="AA7" s="50">
        <f>D7/F7</f>
        <v>1</v>
      </c>
      <c r="AB7" s="50">
        <f>D7/H7</f>
        <v>1</v>
      </c>
      <c r="AC7" s="802">
        <f>D7/J7</f>
        <v>1</v>
      </c>
    </row>
    <row r="8" spans="1:29" s="102" customFormat="1" ht="15.75" thickBot="1">
      <c r="A8" s="352" t="s">
        <v>1681</v>
      </c>
      <c r="B8" s="353"/>
      <c r="C8" s="358" t="s">
        <v>3496</v>
      </c>
      <c r="D8" s="355">
        <v>100</v>
      </c>
      <c r="E8" s="358" t="s">
        <v>3496</v>
      </c>
      <c r="F8" s="357">
        <f>SUMIF(62:62,E8,63:63)-SUMIF(62:62,C8,63:63)+100</f>
        <v>100</v>
      </c>
      <c r="G8" s="358" t="s">
        <v>3496</v>
      </c>
      <c r="H8" s="355">
        <f>SUMIF(62:62,G8,63:63)-SUMIF(62:62,C8,63:63)+100</f>
        <v>100</v>
      </c>
      <c r="I8" s="358" t="s">
        <v>3496</v>
      </c>
      <c r="J8" s="355">
        <f>SUMIF(62:62,I8,63:63)-SUMIF(62:62,C8,63:63)+100</f>
        <v>100</v>
      </c>
      <c r="K8" s="38"/>
      <c r="L8" s="2489"/>
      <c r="M8" s="2440"/>
      <c r="N8" s="2440"/>
      <c r="O8" s="2440"/>
      <c r="P8" s="3474" t="s">
        <v>1683</v>
      </c>
      <c r="Q8" s="3440"/>
      <c r="R8" s="664" t="s">
        <v>14</v>
      </c>
      <c r="S8" s="665">
        <f t="shared" si="0"/>
        <v>100</v>
      </c>
      <c r="T8" s="664" t="s">
        <v>14</v>
      </c>
      <c r="U8" s="665">
        <f t="shared" si="1"/>
        <v>100</v>
      </c>
      <c r="V8" s="664" t="s">
        <v>14</v>
      </c>
      <c r="W8" s="665">
        <f t="shared" si="2"/>
        <v>100</v>
      </c>
      <c r="X8" s="666"/>
      <c r="Y8" s="3439" t="s">
        <v>1683</v>
      </c>
      <c r="Z8" s="3440"/>
      <c r="AA8" s="50">
        <f t="shared" ref="AA8:AA47" si="3">D8/F8</f>
        <v>1</v>
      </c>
      <c r="AB8" s="50">
        <f t="shared" ref="AB8:AB47" si="4">D8/H8</f>
        <v>1</v>
      </c>
      <c r="AC8" s="802">
        <f t="shared" ref="AC8:AC47" si="5">D8/J8</f>
        <v>1</v>
      </c>
    </row>
    <row r="9" spans="1:29" s="102" customFormat="1" ht="15">
      <c r="A9" s="359" t="s">
        <v>1684</v>
      </c>
      <c r="B9" s="60" t="s">
        <v>1685</v>
      </c>
      <c r="C9" s="3171" t="s">
        <v>3498</v>
      </c>
      <c r="D9" s="59">
        <v>100</v>
      </c>
      <c r="E9" s="362" t="s">
        <v>3536</v>
      </c>
      <c r="F9" s="59">
        <f>SUMIF(64:64,E9,65:65)-SUMIF(64:64,C9,65:65)+100</f>
        <v>100</v>
      </c>
      <c r="G9" s="362" t="s">
        <v>3536</v>
      </c>
      <c r="H9" s="59">
        <f>SUMIF(64:64,G9,65:65)-SUMIF(64:64,C9,65:65)+100</f>
        <v>100</v>
      </c>
      <c r="I9" s="362" t="s">
        <v>21</v>
      </c>
      <c r="J9" s="59">
        <f>SUMIF(64:64,I9,65:65)-SUMIF(64:64,C9,65:65)+100</f>
        <v>105</v>
      </c>
      <c r="K9" s="38"/>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105</v>
      </c>
      <c r="X9" s="666"/>
      <c r="Y9" s="3390" t="s">
        <v>1687</v>
      </c>
      <c r="Z9" s="50" t="str">
        <f t="shared" ref="Z9:Z15" si="7">Q9</f>
        <v>用途</v>
      </c>
      <c r="AA9" s="50">
        <f t="shared" si="3"/>
        <v>1</v>
      </c>
      <c r="AB9" s="50">
        <f t="shared" si="4"/>
        <v>1</v>
      </c>
      <c r="AC9" s="802">
        <f t="shared" si="5"/>
        <v>0.95238095238095233</v>
      </c>
    </row>
    <row r="10" spans="1:29" s="366" customFormat="1" ht="27">
      <c r="A10" s="363"/>
      <c r="B10" s="364" t="s">
        <v>1688</v>
      </c>
      <c r="C10" s="3133" t="s">
        <v>3501</v>
      </c>
      <c r="D10" s="119">
        <v>100</v>
      </c>
      <c r="E10" s="3133" t="s">
        <v>3501</v>
      </c>
      <c r="F10" s="119">
        <f>SUMIF(66:66,E10,67:67)-SUMIF(66:66,C10,67:67)+100</f>
        <v>100</v>
      </c>
      <c r="G10" s="3134" t="s">
        <v>3532</v>
      </c>
      <c r="H10" s="119">
        <f>SUMIF(66:66,G10,67:67)-SUMIF(66:66,C10,67:67)+100</f>
        <v>102</v>
      </c>
      <c r="I10" s="3134" t="s">
        <v>3532</v>
      </c>
      <c r="J10" s="119">
        <f>SUMIF(66:66,I10,67:67)-SUMIF(66:66,C10,67:67)+100</f>
        <v>102</v>
      </c>
      <c r="K10" s="38"/>
      <c r="L10" s="2490"/>
      <c r="M10" s="2491"/>
      <c r="N10" s="2491"/>
      <c r="O10" s="2491"/>
      <c r="P10" s="3455"/>
      <c r="Q10" s="530" t="str">
        <f t="shared" si="6"/>
        <v>土地使用年限（年）</v>
      </c>
      <c r="R10" s="664" t="s">
        <v>14</v>
      </c>
      <c r="S10" s="665">
        <f t="shared" si="0"/>
        <v>100</v>
      </c>
      <c r="T10" s="664" t="s">
        <v>14</v>
      </c>
      <c r="U10" s="665">
        <f t="shared" si="1"/>
        <v>102</v>
      </c>
      <c r="V10" s="664" t="s">
        <v>14</v>
      </c>
      <c r="W10" s="665">
        <f t="shared" si="2"/>
        <v>102</v>
      </c>
      <c r="X10" s="666"/>
      <c r="Y10" s="3390"/>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5"/>
      <c r="Q11" s="530" t="str">
        <f t="shared" si="6"/>
        <v>容积率</v>
      </c>
      <c r="R11" s="664" t="s">
        <v>14</v>
      </c>
      <c r="S11" s="665">
        <f t="shared" si="0"/>
        <v>100</v>
      </c>
      <c r="T11" s="664" t="s">
        <v>14</v>
      </c>
      <c r="U11" s="665">
        <f t="shared" si="1"/>
        <v>100</v>
      </c>
      <c r="V11" s="664" t="s">
        <v>14</v>
      </c>
      <c r="W11" s="665">
        <f t="shared" si="2"/>
        <v>100</v>
      </c>
      <c r="X11" s="666"/>
      <c r="Y11" s="33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5"/>
      <c r="Q12" s="530">
        <f t="shared" si="6"/>
        <v>111</v>
      </c>
      <c r="R12" s="664" t="s">
        <v>14</v>
      </c>
      <c r="S12" s="665">
        <f t="shared" si="0"/>
        <v>100</v>
      </c>
      <c r="T12" s="664" t="s">
        <v>14</v>
      </c>
      <c r="U12" s="665">
        <f t="shared" si="1"/>
        <v>100</v>
      </c>
      <c r="V12" s="664" t="s">
        <v>14</v>
      </c>
      <c r="W12" s="665">
        <f t="shared" si="2"/>
        <v>100</v>
      </c>
      <c r="X12" s="666"/>
      <c r="Y12" s="33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5"/>
      <c r="Q13" s="530">
        <f t="shared" si="6"/>
        <v>111</v>
      </c>
      <c r="R13" s="664" t="s">
        <v>14</v>
      </c>
      <c r="S13" s="665">
        <f t="shared" si="0"/>
        <v>100</v>
      </c>
      <c r="T13" s="664" t="s">
        <v>14</v>
      </c>
      <c r="U13" s="665">
        <f t="shared" si="1"/>
        <v>100</v>
      </c>
      <c r="V13" s="664" t="s">
        <v>14</v>
      </c>
      <c r="W13" s="665">
        <f t="shared" si="2"/>
        <v>100</v>
      </c>
      <c r="X13" s="666"/>
      <c r="Y13" s="339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5"/>
      <c r="Q14" s="530">
        <f t="shared" si="6"/>
        <v>111</v>
      </c>
      <c r="R14" s="664" t="s">
        <v>14</v>
      </c>
      <c r="S14" s="665">
        <f t="shared" si="0"/>
        <v>100</v>
      </c>
      <c r="T14" s="664" t="s">
        <v>14</v>
      </c>
      <c r="U14" s="665">
        <f t="shared" si="1"/>
        <v>100</v>
      </c>
      <c r="V14" s="664" t="s">
        <v>14</v>
      </c>
      <c r="W14" s="665">
        <f t="shared" si="2"/>
        <v>100</v>
      </c>
      <c r="X14" s="666"/>
      <c r="Y14" s="339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97</v>
      </c>
      <c r="K15" s="540">
        <v>3</v>
      </c>
      <c r="L15" s="2493"/>
      <c r="M15" s="2488"/>
      <c r="N15" s="2488"/>
      <c r="O15" s="2488"/>
      <c r="P15" s="3476" t="s">
        <v>1691</v>
      </c>
      <c r="Q15" s="1263" t="str">
        <f t="shared" si="6"/>
        <v>办公集聚程度</v>
      </c>
      <c r="R15" s="667" t="s">
        <v>14</v>
      </c>
      <c r="S15" s="668">
        <f t="shared" si="0"/>
        <v>100</v>
      </c>
      <c r="T15" s="667" t="s">
        <v>14</v>
      </c>
      <c r="U15" s="668">
        <f t="shared" si="1"/>
        <v>100</v>
      </c>
      <c r="V15" s="667" t="s">
        <v>14</v>
      </c>
      <c r="W15" s="668">
        <f t="shared" si="2"/>
        <v>97</v>
      </c>
      <c r="X15" s="1265"/>
      <c r="Y15" s="3478" t="s">
        <v>1691</v>
      </c>
      <c r="Z15" s="1264" t="str">
        <f t="shared" si="7"/>
        <v>办公集聚程度</v>
      </c>
      <c r="AA15" s="1264">
        <f t="shared" si="3"/>
        <v>1</v>
      </c>
      <c r="AB15" s="1264">
        <f t="shared" si="4"/>
        <v>1</v>
      </c>
      <c r="AC15" s="1812">
        <f t="shared" si="5"/>
        <v>1.0309278350515463</v>
      </c>
    </row>
    <row r="16" spans="1:29" ht="15">
      <c r="A16" s="367"/>
      <c r="B16" s="555"/>
      <c r="C16" s="1758" t="s">
        <v>3502</v>
      </c>
      <c r="D16" s="387"/>
      <c r="E16" s="1758" t="s">
        <v>3502</v>
      </c>
      <c r="F16" s="387"/>
      <c r="G16" s="1758" t="s">
        <v>3502</v>
      </c>
      <c r="H16" s="389"/>
      <c r="I16" s="386" t="s">
        <v>3503</v>
      </c>
      <c r="J16" s="387"/>
      <c r="K16" s="541"/>
      <c r="L16" s="2493"/>
      <c r="M16" s="2488"/>
      <c r="N16" s="2488"/>
      <c r="O16" s="2488"/>
      <c r="P16" s="3477"/>
      <c r="Q16" s="1263"/>
      <c r="R16" s="667"/>
      <c r="S16" s="668"/>
      <c r="T16" s="667"/>
      <c r="U16" s="668"/>
      <c r="V16" s="667"/>
      <c r="W16" s="668"/>
      <c r="X16" s="1265"/>
      <c r="Y16" s="347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102</v>
      </c>
      <c r="I17" s="391"/>
      <c r="J17" s="394">
        <f>SUMIF(79:79,I18,80:80)-SUMIF(79:79,C18,80:80)+100</f>
        <v>102</v>
      </c>
      <c r="K17" s="540">
        <v>2</v>
      </c>
      <c r="L17" s="2493"/>
      <c r="M17" s="2488"/>
      <c r="N17" s="2488"/>
      <c r="O17" s="2488"/>
      <c r="P17" s="3477"/>
      <c r="Q17" s="1263" t="str">
        <f>B17</f>
        <v>交通便捷度</v>
      </c>
      <c r="R17" s="667" t="s">
        <v>14</v>
      </c>
      <c r="S17" s="668">
        <f>F17</f>
        <v>100</v>
      </c>
      <c r="T17" s="667" t="s">
        <v>14</v>
      </c>
      <c r="U17" s="668">
        <f>H17</f>
        <v>102</v>
      </c>
      <c r="V17" s="667" t="s">
        <v>14</v>
      </c>
      <c r="W17" s="668">
        <f>J17</f>
        <v>102</v>
      </c>
      <c r="X17" s="1265"/>
      <c r="Y17" s="3479"/>
      <c r="Z17" s="1264" t="str">
        <f>Q17</f>
        <v>交通便捷度</v>
      </c>
      <c r="AA17" s="1264">
        <f t="shared" si="3"/>
        <v>1</v>
      </c>
      <c r="AB17" s="1264">
        <f t="shared" si="4"/>
        <v>0.98039215686274506</v>
      </c>
      <c r="AC17" s="1812">
        <f t="shared" si="5"/>
        <v>0.98039215686274506</v>
      </c>
    </row>
    <row r="18" spans="1:29" ht="15">
      <c r="A18" s="367"/>
      <c r="B18" s="401"/>
      <c r="C18" s="1814" t="s">
        <v>3503</v>
      </c>
      <c r="D18" s="389"/>
      <c r="E18" s="1814" t="s">
        <v>3503</v>
      </c>
      <c r="F18" s="389"/>
      <c r="G18" s="1757" t="s">
        <v>3502</v>
      </c>
      <c r="H18" s="387"/>
      <c r="I18" s="1757" t="s">
        <v>3502</v>
      </c>
      <c r="J18" s="387"/>
      <c r="K18" s="541"/>
      <c r="L18" s="2493"/>
      <c r="M18" s="2488"/>
      <c r="N18" s="2488"/>
      <c r="O18" s="2488"/>
      <c r="P18" s="3477"/>
      <c r="Q18" s="1263"/>
      <c r="R18" s="667"/>
      <c r="S18" s="668"/>
      <c r="T18" s="667"/>
      <c r="U18" s="668"/>
      <c r="V18" s="667"/>
      <c r="W18" s="668"/>
      <c r="X18" s="1265"/>
      <c r="Y18" s="347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102</v>
      </c>
      <c r="I19" s="396"/>
      <c r="J19" s="389">
        <f>SUMIF(81:81,I20,82:82)-SUMIF(81:81,C20,82:82)+100</f>
        <v>100</v>
      </c>
      <c r="K19" s="540">
        <v>2</v>
      </c>
      <c r="L19" s="2493"/>
      <c r="M19" s="2488"/>
      <c r="N19" s="2488"/>
      <c r="O19" s="2488"/>
      <c r="P19" s="3477"/>
      <c r="Q19" s="1263" t="str">
        <f>B19</f>
        <v>公共配套设施</v>
      </c>
      <c r="R19" s="667" t="s">
        <v>14</v>
      </c>
      <c r="S19" s="668">
        <f>F19</f>
        <v>100</v>
      </c>
      <c r="T19" s="667" t="s">
        <v>14</v>
      </c>
      <c r="U19" s="668">
        <f>H19</f>
        <v>102</v>
      </c>
      <c r="V19" s="667" t="s">
        <v>14</v>
      </c>
      <c r="W19" s="668">
        <f>J19</f>
        <v>100</v>
      </c>
      <c r="X19" s="1265"/>
      <c r="Y19" s="3479"/>
      <c r="Z19" s="1264" t="str">
        <f>Q19</f>
        <v>公共配套设施</v>
      </c>
      <c r="AA19" s="1264">
        <f t="shared" si="3"/>
        <v>1</v>
      </c>
      <c r="AB19" s="1264">
        <f t="shared" si="4"/>
        <v>0.98039215686274506</v>
      </c>
      <c r="AC19" s="1812">
        <f t="shared" si="5"/>
        <v>1</v>
      </c>
    </row>
    <row r="20" spans="1:29" ht="15">
      <c r="A20" s="367"/>
      <c r="B20" s="401"/>
      <c r="C20" s="1758" t="s">
        <v>3503</v>
      </c>
      <c r="D20" s="387"/>
      <c r="E20" s="1751" t="s">
        <v>3503</v>
      </c>
      <c r="F20" s="387"/>
      <c r="G20" s="1752" t="s">
        <v>3502</v>
      </c>
      <c r="H20" s="387"/>
      <c r="I20" s="1752" t="s">
        <v>3503</v>
      </c>
      <c r="J20" s="387"/>
      <c r="K20" s="541"/>
      <c r="L20" s="2493"/>
      <c r="M20" s="2488"/>
      <c r="N20" s="2488"/>
      <c r="O20" s="2488"/>
      <c r="P20" s="3477"/>
      <c r="Q20" s="1263"/>
      <c r="R20" s="667"/>
      <c r="S20" s="668"/>
      <c r="T20" s="667"/>
      <c r="U20" s="668"/>
      <c r="V20" s="667"/>
      <c r="W20" s="668"/>
      <c r="X20" s="1265"/>
      <c r="Y20" s="347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77"/>
      <c r="Q21" s="1263" t="str">
        <f>B21</f>
        <v>基础设施水平</v>
      </c>
      <c r="R21" s="667" t="s">
        <v>14</v>
      </c>
      <c r="S21" s="668">
        <f>F21</f>
        <v>100</v>
      </c>
      <c r="T21" s="667" t="s">
        <v>14</v>
      </c>
      <c r="U21" s="668">
        <f>H21</f>
        <v>100</v>
      </c>
      <c r="V21" s="667" t="s">
        <v>14</v>
      </c>
      <c r="W21" s="668">
        <f>J21</f>
        <v>100</v>
      </c>
      <c r="X21" s="1265"/>
      <c r="Y21" s="3479"/>
      <c r="Z21" s="1264" t="str">
        <f>Q21</f>
        <v>基础设施水平</v>
      </c>
      <c r="AA21" s="1264">
        <f t="shared" ref="AA21" si="8">D21/F21</f>
        <v>1</v>
      </c>
      <c r="AB21" s="1264">
        <f t="shared" ref="AB21" si="9">D21/H21</f>
        <v>1</v>
      </c>
      <c r="AC21" s="1812">
        <f t="shared" ref="AC21" si="10">D21/J21</f>
        <v>1</v>
      </c>
    </row>
    <row r="22" spans="1:29" ht="15">
      <c r="A22" s="367"/>
      <c r="B22" s="557"/>
      <c r="C22" s="1814" t="s">
        <v>3522</v>
      </c>
      <c r="D22" s="387"/>
      <c r="E22" s="1814" t="s">
        <v>3522</v>
      </c>
      <c r="F22" s="387"/>
      <c r="G22" s="1814" t="s">
        <v>3522</v>
      </c>
      <c r="H22" s="387"/>
      <c r="I22" s="1814" t="s">
        <v>3522</v>
      </c>
      <c r="J22" s="387"/>
      <c r="K22" s="1064"/>
      <c r="L22" s="2493"/>
      <c r="M22" s="2488"/>
      <c r="N22" s="2488"/>
      <c r="O22" s="2488"/>
      <c r="P22" s="3477"/>
      <c r="Q22" s="1263"/>
      <c r="R22" s="667"/>
      <c r="S22" s="668"/>
      <c r="T22" s="667"/>
      <c r="U22" s="668"/>
      <c r="V22" s="667"/>
      <c r="W22" s="668"/>
      <c r="X22" s="1265"/>
      <c r="Y22" s="347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98</v>
      </c>
      <c r="K23" s="540">
        <v>2</v>
      </c>
      <c r="L23" s="2493"/>
      <c r="M23" s="2488"/>
      <c r="N23" s="2488"/>
      <c r="O23" s="2488"/>
      <c r="P23" s="3477"/>
      <c r="Q23" s="1263" t="str">
        <f>B23</f>
        <v>环境质量</v>
      </c>
      <c r="R23" s="667" t="s">
        <v>14</v>
      </c>
      <c r="S23" s="668">
        <f>F23</f>
        <v>100</v>
      </c>
      <c r="T23" s="667" t="s">
        <v>14</v>
      </c>
      <c r="U23" s="668">
        <f>H23</f>
        <v>100</v>
      </c>
      <c r="V23" s="667" t="s">
        <v>14</v>
      </c>
      <c r="W23" s="668">
        <f>J23</f>
        <v>98</v>
      </c>
      <c r="X23" s="1265"/>
      <c r="Y23" s="3479"/>
      <c r="Z23" s="1264" t="str">
        <f>Q23</f>
        <v>环境质量</v>
      </c>
      <c r="AA23" s="1264">
        <f t="shared" si="3"/>
        <v>1</v>
      </c>
      <c r="AB23" s="1264">
        <f t="shared" si="4"/>
        <v>1</v>
      </c>
      <c r="AC23" s="1812">
        <f t="shared" si="5"/>
        <v>1.0204081632653061</v>
      </c>
    </row>
    <row r="24" spans="1:29" ht="15">
      <c r="A24" s="367"/>
      <c r="B24" s="557"/>
      <c r="C24" s="1758" t="s">
        <v>3502</v>
      </c>
      <c r="D24" s="387"/>
      <c r="E24" s="1758" t="s">
        <v>3502</v>
      </c>
      <c r="F24" s="387"/>
      <c r="G24" s="1758" t="s">
        <v>3502</v>
      </c>
      <c r="H24" s="387"/>
      <c r="I24" s="1758" t="s">
        <v>3503</v>
      </c>
      <c r="J24" s="387"/>
      <c r="K24" s="541"/>
      <c r="L24" s="2493"/>
      <c r="M24" s="2488"/>
      <c r="N24" s="2488"/>
      <c r="O24" s="2488"/>
      <c r="P24" s="3477"/>
      <c r="Q24" s="1263"/>
      <c r="R24" s="667"/>
      <c r="S24" s="668"/>
      <c r="T24" s="667"/>
      <c r="U24" s="668"/>
      <c r="V24" s="667"/>
      <c r="W24" s="668"/>
      <c r="X24" s="1265"/>
      <c r="Y24" s="3479"/>
      <c r="Z24" s="1264"/>
      <c r="AA24" s="1264">
        <v>1</v>
      </c>
      <c r="AB24" s="1264">
        <v>1</v>
      </c>
      <c r="AC24" s="1812">
        <v>1</v>
      </c>
    </row>
    <row r="25" spans="1:29" ht="27">
      <c r="A25" s="348"/>
      <c r="B25" s="556" t="s">
        <v>1815</v>
      </c>
      <c r="C25" s="1762"/>
      <c r="D25" s="374">
        <v>100</v>
      </c>
      <c r="E25" s="373"/>
      <c r="F25" s="374">
        <f>SUMIF(87:87,E26,88:88)-SUMIF(87:87,C26,88:88)+100</f>
        <v>98</v>
      </c>
      <c r="G25" s="1762"/>
      <c r="H25" s="374">
        <f>SUMIF(87:87,G26,88:88)-SUMIF(87:87,C26,88:88)+100</f>
        <v>100</v>
      </c>
      <c r="I25" s="373"/>
      <c r="J25" s="374">
        <f>SUMIF(87:87,I26,88:88)-SUMIF(87:87,C26,88:88)+100</f>
        <v>100</v>
      </c>
      <c r="K25" s="540">
        <v>1</v>
      </c>
      <c r="L25" s="2493"/>
      <c r="M25" s="2488"/>
      <c r="N25" s="2488"/>
      <c r="O25" s="2488"/>
      <c r="P25" s="3477"/>
      <c r="Q25" s="1263" t="str">
        <f>B25</f>
        <v>毗邻道路的类型与等级</v>
      </c>
      <c r="R25" s="667" t="s">
        <v>14</v>
      </c>
      <c r="S25" s="668">
        <f>F25</f>
        <v>98</v>
      </c>
      <c r="T25" s="667" t="s">
        <v>14</v>
      </c>
      <c r="U25" s="668">
        <f>H25</f>
        <v>100</v>
      </c>
      <c r="V25" s="667" t="s">
        <v>14</v>
      </c>
      <c r="W25" s="668">
        <f>J25</f>
        <v>100</v>
      </c>
      <c r="X25" s="1265"/>
      <c r="Y25" s="3479"/>
      <c r="Z25" s="1264" t="str">
        <f>Q25</f>
        <v>毗邻道路的类型与等级</v>
      </c>
      <c r="AA25" s="1264">
        <f t="shared" si="3"/>
        <v>1.0204081632653061</v>
      </c>
      <c r="AB25" s="1264">
        <f t="shared" si="4"/>
        <v>1</v>
      </c>
      <c r="AC25" s="1812">
        <f t="shared" si="5"/>
        <v>1</v>
      </c>
    </row>
    <row r="26" spans="1:29" ht="15">
      <c r="A26" s="348"/>
      <c r="B26" s="401"/>
      <c r="C26" s="558" t="s">
        <v>3526</v>
      </c>
      <c r="D26" s="374"/>
      <c r="E26" s="542" t="s">
        <v>3529</v>
      </c>
      <c r="F26" s="374"/>
      <c r="G26" s="558" t="s">
        <v>3526</v>
      </c>
      <c r="H26" s="374"/>
      <c r="I26" s="542" t="s">
        <v>3526</v>
      </c>
      <c r="J26" s="374"/>
      <c r="K26" s="541"/>
      <c r="L26" s="2493"/>
      <c r="M26" s="2488"/>
      <c r="N26" s="2488"/>
      <c r="O26" s="2488"/>
      <c r="P26" s="3477"/>
      <c r="Q26" s="1263"/>
      <c r="R26" s="667"/>
      <c r="S26" s="668"/>
      <c r="T26" s="667"/>
      <c r="U26" s="668"/>
      <c r="V26" s="667"/>
      <c r="W26" s="668"/>
      <c r="X26" s="1265"/>
      <c r="Y26" s="34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77"/>
      <c r="Q27" s="1263" t="str">
        <f t="shared" ref="Q27:Q47" si="11">B27</f>
        <v>楼层</v>
      </c>
      <c r="R27" s="667" t="s">
        <v>14</v>
      </c>
      <c r="S27" s="668">
        <f>F27</f>
        <v>100</v>
      </c>
      <c r="T27" s="667" t="s">
        <v>14</v>
      </c>
      <c r="U27" s="668">
        <f>H27</f>
        <v>100</v>
      </c>
      <c r="V27" s="667" t="s">
        <v>14</v>
      </c>
      <c r="W27" s="668">
        <f>J27</f>
        <v>100</v>
      </c>
      <c r="X27" s="1265"/>
      <c r="Y27" s="34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77"/>
      <c r="Q28" s="530" t="str">
        <f t="shared" si="11"/>
        <v>朝向</v>
      </c>
      <c r="R28" s="664" t="s">
        <v>14</v>
      </c>
      <c r="S28" s="665">
        <f>F28</f>
        <v>100</v>
      </c>
      <c r="T28" s="664" t="s">
        <v>14</v>
      </c>
      <c r="U28" s="665">
        <f>H28</f>
        <v>100</v>
      </c>
      <c r="V28" s="664" t="s">
        <v>14</v>
      </c>
      <c r="W28" s="665">
        <f>J28</f>
        <v>100</v>
      </c>
      <c r="X28" s="666"/>
      <c r="Y28" s="34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77"/>
      <c r="Q29" s="1263">
        <f t="shared" si="11"/>
        <v>111</v>
      </c>
      <c r="R29" s="667" t="s">
        <v>14</v>
      </c>
      <c r="S29" s="668">
        <f t="shared" ref="S29:S47" si="12">F29</f>
        <v>100</v>
      </c>
      <c r="T29" s="667" t="s">
        <v>14</v>
      </c>
      <c r="U29" s="668">
        <f t="shared" ref="U29:U47" si="13">H29</f>
        <v>100</v>
      </c>
      <c r="V29" s="667" t="s">
        <v>14</v>
      </c>
      <c r="W29" s="668">
        <f t="shared" ref="W29:W47" si="14">J29</f>
        <v>100</v>
      </c>
      <c r="X29" s="1265"/>
      <c r="Y29" s="34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77"/>
      <c r="Q30" s="1263">
        <f t="shared" si="11"/>
        <v>111</v>
      </c>
      <c r="R30" s="667" t="s">
        <v>14</v>
      </c>
      <c r="S30" s="668">
        <f t="shared" si="12"/>
        <v>100</v>
      </c>
      <c r="T30" s="667" t="s">
        <v>14</v>
      </c>
      <c r="U30" s="668">
        <f t="shared" si="13"/>
        <v>100</v>
      </c>
      <c r="V30" s="667" t="s">
        <v>14</v>
      </c>
      <c r="W30" s="668">
        <f t="shared" si="14"/>
        <v>100</v>
      </c>
      <c r="X30" s="1265"/>
      <c r="Y30" s="34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77"/>
      <c r="Q31" s="1263">
        <f t="shared" si="11"/>
        <v>111</v>
      </c>
      <c r="R31" s="667" t="s">
        <v>14</v>
      </c>
      <c r="S31" s="668">
        <f t="shared" si="12"/>
        <v>100</v>
      </c>
      <c r="T31" s="667" t="s">
        <v>14</v>
      </c>
      <c r="U31" s="668">
        <f t="shared" si="13"/>
        <v>100</v>
      </c>
      <c r="V31" s="667" t="s">
        <v>14</v>
      </c>
      <c r="W31" s="668">
        <f t="shared" si="14"/>
        <v>100</v>
      </c>
      <c r="X31" s="1265"/>
      <c r="Y31" s="347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77"/>
      <c r="Q32" s="1263">
        <f t="shared" si="11"/>
        <v>111</v>
      </c>
      <c r="R32" s="667" t="s">
        <v>14</v>
      </c>
      <c r="S32" s="668">
        <f t="shared" si="12"/>
        <v>100</v>
      </c>
      <c r="T32" s="667" t="s">
        <v>14</v>
      </c>
      <c r="U32" s="668">
        <f t="shared" si="13"/>
        <v>100</v>
      </c>
      <c r="V32" s="667" t="s">
        <v>14</v>
      </c>
      <c r="W32" s="668">
        <f t="shared" si="14"/>
        <v>100</v>
      </c>
      <c r="X32" s="1265"/>
      <c r="Y32" s="3479"/>
      <c r="Z32" s="1264">
        <f t="shared" si="15"/>
        <v>111</v>
      </c>
      <c r="AA32" s="1264">
        <f t="shared" si="3"/>
        <v>1</v>
      </c>
      <c r="AB32" s="1264">
        <f t="shared" si="4"/>
        <v>1</v>
      </c>
      <c r="AC32" s="1812">
        <f t="shared" si="5"/>
        <v>1</v>
      </c>
    </row>
    <row r="33" spans="1:29" ht="15">
      <c r="A33" s="379" t="s">
        <v>1694</v>
      </c>
      <c r="B33" s="60" t="s">
        <v>1817</v>
      </c>
      <c r="C33" s="1764" t="s">
        <v>3504</v>
      </c>
      <c r="D33" s="405">
        <v>100</v>
      </c>
      <c r="E33" s="1764" t="s">
        <v>3504</v>
      </c>
      <c r="F33" s="400">
        <f>SUMIF(101:101,E33,102:102)-SUMIF(101:101,C33,102:102)+100</f>
        <v>100</v>
      </c>
      <c r="G33" s="1764" t="s">
        <v>3504</v>
      </c>
      <c r="H33" s="374">
        <f>SUMIF(101:101,G33,102:102)-SUMIF(101:101,C33,102:102)+100</f>
        <v>100</v>
      </c>
      <c r="I33" s="1764" t="s">
        <v>3504</v>
      </c>
      <c r="J33" s="405">
        <f>SUMIF(101:101,I33,102:102)-SUMIF(101:101,C33,102:102)+100</f>
        <v>100</v>
      </c>
      <c r="K33" s="538">
        <v>2</v>
      </c>
      <c r="L33" s="2493"/>
      <c r="M33" s="2488"/>
      <c r="N33" s="2488"/>
      <c r="O33" s="2488"/>
      <c r="P33" s="3480" t="s">
        <v>1696</v>
      </c>
      <c r="Q33" s="1263" t="str">
        <f t="shared" si="11"/>
        <v>建筑类型</v>
      </c>
      <c r="R33" s="667" t="s">
        <v>14</v>
      </c>
      <c r="S33" s="668">
        <f t="shared" si="12"/>
        <v>100</v>
      </c>
      <c r="T33" s="667" t="s">
        <v>14</v>
      </c>
      <c r="U33" s="668">
        <f t="shared" si="13"/>
        <v>100</v>
      </c>
      <c r="V33" s="667" t="s">
        <v>14</v>
      </c>
      <c r="W33" s="668">
        <f t="shared" si="14"/>
        <v>100</v>
      </c>
      <c r="X33" s="1265"/>
      <c r="Y33" s="3483" t="s">
        <v>1696</v>
      </c>
      <c r="Z33" s="1264" t="str">
        <f t="shared" si="15"/>
        <v>建筑类型</v>
      </c>
      <c r="AA33" s="1264">
        <f t="shared" si="3"/>
        <v>1</v>
      </c>
      <c r="AB33" s="1264">
        <f t="shared" si="4"/>
        <v>1</v>
      </c>
      <c r="AC33" s="1812">
        <f t="shared" si="5"/>
        <v>1</v>
      </c>
    </row>
    <row r="34" spans="1:29" s="408" customFormat="1" ht="15">
      <c r="A34" s="406"/>
      <c r="B34" s="364" t="s">
        <v>1697</v>
      </c>
      <c r="C34" s="407">
        <f>'数据-汇总表'!E31</f>
        <v>31274.160000000003</v>
      </c>
      <c r="D34" s="119">
        <v>100</v>
      </c>
      <c r="E34" s="369">
        <v>22666.71</v>
      </c>
      <c r="F34" s="364">
        <f>LOOKUP(E34,104:104,105:105)-LOOKUP(C34,104:104,105:105)+100</f>
        <v>100</v>
      </c>
      <c r="G34" s="368">
        <v>11235</v>
      </c>
      <c r="H34" s="119">
        <f>LOOKUP(G34,104:104,105:105)-LOOKUP(C34,104:104,105:105)+100</f>
        <v>101</v>
      </c>
      <c r="I34" s="368">
        <v>30822.51</v>
      </c>
      <c r="J34" s="119">
        <f>LOOKUP(I34,104:104,105:105)-LOOKUP(C34,104:104,105:105)+100</f>
        <v>100</v>
      </c>
      <c r="K34" s="539"/>
      <c r="L34" s="2492"/>
      <c r="M34" s="2494"/>
      <c r="N34" s="2494"/>
      <c r="O34" s="2494"/>
      <c r="P34" s="3481"/>
      <c r="Q34" s="531" t="str">
        <f t="shared" si="11"/>
        <v>项目建筑规模</v>
      </c>
      <c r="R34" s="669" t="s">
        <v>14</v>
      </c>
      <c r="S34" s="670">
        <f t="shared" si="12"/>
        <v>100</v>
      </c>
      <c r="T34" s="669" t="s">
        <v>14</v>
      </c>
      <c r="U34" s="670">
        <f t="shared" si="13"/>
        <v>101</v>
      </c>
      <c r="V34" s="669" t="s">
        <v>14</v>
      </c>
      <c r="W34" s="670">
        <f t="shared" si="14"/>
        <v>100</v>
      </c>
      <c r="X34" s="671"/>
      <c r="Y34" s="3483"/>
      <c r="Z34" s="672" t="str">
        <f t="shared" si="15"/>
        <v>项目建筑规模</v>
      </c>
      <c r="AA34" s="1264">
        <f t="shared" si="3"/>
        <v>1</v>
      </c>
      <c r="AB34" s="1264">
        <f t="shared" si="4"/>
        <v>0.99009900990099009</v>
      </c>
      <c r="AC34" s="1812">
        <f t="shared" si="5"/>
        <v>1</v>
      </c>
    </row>
    <row r="35" spans="1:29" ht="15">
      <c r="A35" s="409"/>
      <c r="B35" s="364" t="s">
        <v>1698</v>
      </c>
      <c r="C35" s="399" t="s">
        <v>3472</v>
      </c>
      <c r="D35" s="374">
        <v>100</v>
      </c>
      <c r="E35" s="399" t="s">
        <v>3472</v>
      </c>
      <c r="F35" s="400">
        <f>SUMIF(106:106,E35,107:107)-SUMIF(106:106,C35,107:107)+100</f>
        <v>100</v>
      </c>
      <c r="G35" s="399" t="s">
        <v>3472</v>
      </c>
      <c r="H35" s="374">
        <f>SUMIF(106:106,G35,107:107)-SUMIF(106:106,C35,107:107)+100</f>
        <v>100</v>
      </c>
      <c r="I35" s="399" t="s">
        <v>3472</v>
      </c>
      <c r="J35" s="374">
        <f>SUMIF(106:106,I35,107:107)-SUMIF(106:106,C35,107:107)+100</f>
        <v>100</v>
      </c>
      <c r="K35" s="538">
        <v>2</v>
      </c>
      <c r="L35" s="2493"/>
      <c r="M35" s="2488"/>
      <c r="N35" s="2488"/>
      <c r="O35" s="2488"/>
      <c r="P35" s="3481"/>
      <c r="Q35" s="1263" t="str">
        <f t="shared" si="11"/>
        <v>建筑结构</v>
      </c>
      <c r="R35" s="667" t="s">
        <v>14</v>
      </c>
      <c r="S35" s="668">
        <f t="shared" si="12"/>
        <v>100</v>
      </c>
      <c r="T35" s="667" t="s">
        <v>14</v>
      </c>
      <c r="U35" s="668">
        <f t="shared" si="13"/>
        <v>100</v>
      </c>
      <c r="V35" s="667" t="s">
        <v>14</v>
      </c>
      <c r="W35" s="668">
        <f t="shared" si="14"/>
        <v>100</v>
      </c>
      <c r="X35" s="1265"/>
      <c r="Y35" s="3483"/>
      <c r="Z35" s="1264" t="str">
        <f t="shared" si="15"/>
        <v>建筑结构</v>
      </c>
      <c r="AA35" s="1264">
        <f t="shared" si="3"/>
        <v>1</v>
      </c>
      <c r="AB35" s="1264">
        <f t="shared" si="4"/>
        <v>1</v>
      </c>
      <c r="AC35" s="1812">
        <f t="shared" si="5"/>
        <v>1</v>
      </c>
    </row>
    <row r="36" spans="1:29" ht="15">
      <c r="A36" s="409"/>
      <c r="B36" s="364" t="s">
        <v>1785</v>
      </c>
      <c r="C36" s="399" t="s">
        <v>3507</v>
      </c>
      <c r="D36" s="374">
        <v>100</v>
      </c>
      <c r="E36" s="399" t="s">
        <v>3507</v>
      </c>
      <c r="F36" s="400">
        <f>SUMIF(108:108,E36,109:109)-SUMIF(108:108,C36,109:109)+100</f>
        <v>100</v>
      </c>
      <c r="G36" s="399" t="s">
        <v>3507</v>
      </c>
      <c r="H36" s="374">
        <f>SUMIF(108:108,G36,109:109)-SUMIF(108:108,C36,109:109)+100</f>
        <v>100</v>
      </c>
      <c r="I36" s="399" t="s">
        <v>3507</v>
      </c>
      <c r="J36" s="374">
        <f>SUMIF(108:108,I36,109:109)-SUMIF(108:108,C36,109:109)+100</f>
        <v>100</v>
      </c>
      <c r="K36" s="538">
        <v>2</v>
      </c>
      <c r="L36" s="2493"/>
      <c r="M36" s="2488"/>
      <c r="N36" s="2488"/>
      <c r="O36" s="2488"/>
      <c r="P36" s="3481"/>
      <c r="Q36" s="1263" t="str">
        <f t="shared" si="11"/>
        <v>公共部分装修</v>
      </c>
      <c r="R36" s="667" t="s">
        <v>14</v>
      </c>
      <c r="S36" s="668">
        <f t="shared" si="12"/>
        <v>100</v>
      </c>
      <c r="T36" s="667" t="s">
        <v>14</v>
      </c>
      <c r="U36" s="668">
        <f t="shared" si="13"/>
        <v>100</v>
      </c>
      <c r="V36" s="667" t="s">
        <v>14</v>
      </c>
      <c r="W36" s="668">
        <f t="shared" si="14"/>
        <v>100</v>
      </c>
      <c r="X36" s="1265"/>
      <c r="Y36" s="3483"/>
      <c r="Z36" s="1264" t="str">
        <f t="shared" si="15"/>
        <v>公共部分装修</v>
      </c>
      <c r="AA36" s="1264">
        <f t="shared" si="3"/>
        <v>1</v>
      </c>
      <c r="AB36" s="1264">
        <f t="shared" si="4"/>
        <v>1</v>
      </c>
      <c r="AC36" s="1812">
        <f t="shared" si="5"/>
        <v>1</v>
      </c>
    </row>
    <row r="37" spans="1:29" ht="15">
      <c r="A37" s="409"/>
      <c r="B37" s="364" t="s">
        <v>1786</v>
      </c>
      <c r="C37" s="411">
        <v>0.89</v>
      </c>
      <c r="D37" s="374">
        <v>100</v>
      </c>
      <c r="E37" s="411">
        <v>0.8</v>
      </c>
      <c r="F37" s="400">
        <f>LOOKUP(E37,111:111,112:112)-LOOKUP(C37,111:111,112:112)+100</f>
        <v>100</v>
      </c>
      <c r="G37" s="411">
        <v>0.9</v>
      </c>
      <c r="H37" s="400">
        <f>LOOKUP(G37,111:111,112:112)-LOOKUP(C37,111:111,112:112)+100</f>
        <v>102</v>
      </c>
      <c r="I37" s="411">
        <v>0.9</v>
      </c>
      <c r="J37" s="374">
        <f>LOOKUP(I37,111:111,112:112)-LOOKUP(C37,111:111,112:112)+100</f>
        <v>102</v>
      </c>
      <c r="K37" s="538">
        <v>2</v>
      </c>
      <c r="L37" s="2493"/>
      <c r="M37" s="2488"/>
      <c r="N37" s="2488"/>
      <c r="O37" s="2488"/>
      <c r="P37" s="3481"/>
      <c r="Q37" s="1263" t="str">
        <f t="shared" si="11"/>
        <v>成新度</v>
      </c>
      <c r="R37" s="667" t="s">
        <v>14</v>
      </c>
      <c r="S37" s="668">
        <f t="shared" si="12"/>
        <v>100</v>
      </c>
      <c r="T37" s="667" t="s">
        <v>14</v>
      </c>
      <c r="U37" s="668">
        <f t="shared" si="13"/>
        <v>102</v>
      </c>
      <c r="V37" s="667" t="s">
        <v>14</v>
      </c>
      <c r="W37" s="668">
        <f t="shared" si="14"/>
        <v>102</v>
      </c>
      <c r="X37" s="1265"/>
      <c r="Y37" s="3483"/>
      <c r="Z37" s="1264" t="str">
        <f t="shared" si="15"/>
        <v>成新度</v>
      </c>
      <c r="AA37" s="1264">
        <f t="shared" si="3"/>
        <v>1</v>
      </c>
      <c r="AB37" s="1264">
        <f t="shared" si="4"/>
        <v>0.98039215686274506</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81"/>
      <c r="Q38" s="530" t="str">
        <f t="shared" si="11"/>
        <v>写字楼等级</v>
      </c>
      <c r="R38" s="664" t="s">
        <v>14</v>
      </c>
      <c r="S38" s="665">
        <f t="shared" si="12"/>
        <v>100</v>
      </c>
      <c r="T38" s="664" t="s">
        <v>14</v>
      </c>
      <c r="U38" s="665">
        <f t="shared" si="13"/>
        <v>100</v>
      </c>
      <c r="V38" s="664" t="s">
        <v>14</v>
      </c>
      <c r="W38" s="665">
        <f t="shared" si="14"/>
        <v>100</v>
      </c>
      <c r="X38" s="666"/>
      <c r="Y38" s="3483"/>
      <c r="Z38" s="50" t="str">
        <f t="shared" si="15"/>
        <v>写字楼等级</v>
      </c>
      <c r="AA38" s="50">
        <f t="shared" si="3"/>
        <v>1</v>
      </c>
      <c r="AB38" s="50">
        <f t="shared" si="4"/>
        <v>1</v>
      </c>
      <c r="AC38" s="802">
        <f t="shared" si="5"/>
        <v>1</v>
      </c>
    </row>
    <row r="39" spans="1:29" ht="15">
      <c r="A39" s="409"/>
      <c r="B39" s="364" t="s">
        <v>1819</v>
      </c>
      <c r="C39" s="399" t="s">
        <v>3509</v>
      </c>
      <c r="D39" s="374">
        <v>100</v>
      </c>
      <c r="E39" s="399" t="s">
        <v>3509</v>
      </c>
      <c r="F39" s="400">
        <f>SUMIF(115:115,E39,116:116)-SUMIF(115:115,C39,116:116)+100</f>
        <v>100</v>
      </c>
      <c r="G39" s="399" t="s">
        <v>3509</v>
      </c>
      <c r="H39" s="374">
        <f>SUMIF(115:115,G39,116:116)-SUMIF(115:115,C39,116:116)+100</f>
        <v>100</v>
      </c>
      <c r="I39" s="399" t="s">
        <v>3509</v>
      </c>
      <c r="J39" s="374">
        <f>SUMIF(115:115,I39,116:116)-SUMIF(115:115,C39,116:116)+100</f>
        <v>100</v>
      </c>
      <c r="K39" s="538">
        <v>2</v>
      </c>
      <c r="L39" s="2493"/>
      <c r="M39" s="2488"/>
      <c r="N39" s="2488"/>
      <c r="O39" s="2488"/>
      <c r="P39" s="3481" t="s">
        <v>1696</v>
      </c>
      <c r="Q39" s="1263" t="str">
        <f t="shared" si="11"/>
        <v>物业管理</v>
      </c>
      <c r="R39" s="667" t="s">
        <v>14</v>
      </c>
      <c r="S39" s="668">
        <f t="shared" si="12"/>
        <v>100</v>
      </c>
      <c r="T39" s="667" t="s">
        <v>14</v>
      </c>
      <c r="U39" s="668">
        <f t="shared" si="13"/>
        <v>100</v>
      </c>
      <c r="V39" s="667" t="s">
        <v>14</v>
      </c>
      <c r="W39" s="668">
        <f t="shared" si="14"/>
        <v>100</v>
      </c>
      <c r="X39" s="1265"/>
      <c r="Y39" s="34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81"/>
      <c r="Q40" s="1263" t="str">
        <f t="shared" si="11"/>
        <v>市政基础设施</v>
      </c>
      <c r="R40" s="667" t="s">
        <v>14</v>
      </c>
      <c r="S40" s="668">
        <f t="shared" si="12"/>
        <v>100</v>
      </c>
      <c r="T40" s="667" t="s">
        <v>14</v>
      </c>
      <c r="U40" s="668">
        <f t="shared" si="13"/>
        <v>100</v>
      </c>
      <c r="V40" s="667" t="s">
        <v>14</v>
      </c>
      <c r="W40" s="668">
        <f t="shared" si="14"/>
        <v>100</v>
      </c>
      <c r="X40" s="1265"/>
      <c r="Y40" s="3483"/>
      <c r="Z40" s="1264" t="str">
        <f t="shared" si="15"/>
        <v>市政基础设施</v>
      </c>
      <c r="AA40" s="1264">
        <f t="shared" si="3"/>
        <v>1</v>
      </c>
      <c r="AB40" s="1264">
        <f t="shared" si="4"/>
        <v>1</v>
      </c>
      <c r="AC40" s="1812">
        <f t="shared" si="5"/>
        <v>1</v>
      </c>
    </row>
    <row r="41" spans="1:29" ht="15">
      <c r="A41" s="409"/>
      <c r="B41" s="364" t="s">
        <v>1789</v>
      </c>
      <c r="C41" s="542" t="s">
        <v>3515</v>
      </c>
      <c r="D41" s="374">
        <v>100</v>
      </c>
      <c r="E41" s="542" t="s">
        <v>3515</v>
      </c>
      <c r="F41" s="400">
        <f>SUMIF(119:119,E41,120:120)-SUMIF(119:119,C41,120:120)+100</f>
        <v>100</v>
      </c>
      <c r="G41" s="542" t="s">
        <v>3515</v>
      </c>
      <c r="H41" s="374">
        <f>SUMIF(119:119,G41,120:120)-SUMIF(119:119,C41,120:120)+100</f>
        <v>100</v>
      </c>
      <c r="I41" s="542" t="s">
        <v>3515</v>
      </c>
      <c r="J41" s="374">
        <f>SUMIF(119:119,I41,120:120)-SUMIF(119:119,C41,120:120)+100</f>
        <v>100</v>
      </c>
      <c r="K41" s="538">
        <v>10</v>
      </c>
      <c r="L41" s="2493"/>
      <c r="M41" s="2488"/>
      <c r="N41" s="2488"/>
      <c r="O41" s="2488"/>
      <c r="P41" s="3481"/>
      <c r="Q41" s="1263" t="str">
        <f t="shared" si="11"/>
        <v>层高</v>
      </c>
      <c r="R41" s="667" t="s">
        <v>14</v>
      </c>
      <c r="S41" s="668">
        <f t="shared" si="12"/>
        <v>100</v>
      </c>
      <c r="T41" s="667" t="s">
        <v>14</v>
      </c>
      <c r="U41" s="668">
        <f t="shared" si="13"/>
        <v>100</v>
      </c>
      <c r="V41" s="667" t="s">
        <v>14</v>
      </c>
      <c r="W41" s="668">
        <f t="shared" si="14"/>
        <v>100</v>
      </c>
      <c r="X41" s="1265"/>
      <c r="Y41" s="34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81"/>
      <c r="Q42" s="531" t="str">
        <f t="shared" si="11"/>
        <v>单套建筑面积</v>
      </c>
      <c r="R42" s="669" t="s">
        <v>14</v>
      </c>
      <c r="S42" s="670">
        <f t="shared" si="12"/>
        <v>100</v>
      </c>
      <c r="T42" s="669" t="s">
        <v>14</v>
      </c>
      <c r="U42" s="670">
        <f t="shared" si="13"/>
        <v>100</v>
      </c>
      <c r="V42" s="669" t="s">
        <v>14</v>
      </c>
      <c r="W42" s="670">
        <f t="shared" si="14"/>
        <v>100</v>
      </c>
      <c r="X42" s="671"/>
      <c r="Y42" s="3483"/>
      <c r="Z42" s="672" t="str">
        <f t="shared" si="15"/>
        <v>单套建筑面积</v>
      </c>
      <c r="AA42" s="1264">
        <f t="shared" si="3"/>
        <v>1</v>
      </c>
      <c r="AB42" s="1264">
        <f t="shared" si="4"/>
        <v>1</v>
      </c>
      <c r="AC42" s="1812">
        <f t="shared" si="5"/>
        <v>1</v>
      </c>
    </row>
    <row r="43" spans="1:29" ht="15">
      <c r="A43" s="409"/>
      <c r="B43" s="364" t="s">
        <v>1792</v>
      </c>
      <c r="C43" s="399" t="s">
        <v>3512</v>
      </c>
      <c r="D43" s="374">
        <v>100</v>
      </c>
      <c r="E43" s="399" t="s">
        <v>3512</v>
      </c>
      <c r="F43" s="400">
        <f>SUMIF(123:123,E43,124:124)-SUMIF(123:123,C43,124:124)+100</f>
        <v>100</v>
      </c>
      <c r="G43" s="399" t="s">
        <v>3512</v>
      </c>
      <c r="H43" s="374">
        <f>SUMIF(123:123,G43,124:124)-SUMIF(123:123,C43,124:124)+100</f>
        <v>100</v>
      </c>
      <c r="I43" s="399" t="s">
        <v>3512</v>
      </c>
      <c r="J43" s="374">
        <f>SUMIF(123:123,I43,124:124)-SUMIF(123:123,C43,124:124)+100</f>
        <v>100</v>
      </c>
      <c r="K43" s="538">
        <v>2</v>
      </c>
      <c r="L43" s="2493"/>
      <c r="M43" s="2488"/>
      <c r="N43" s="2488"/>
      <c r="O43" s="2488"/>
      <c r="P43" s="3481"/>
      <c r="Q43" s="1263" t="str">
        <f t="shared" si="11"/>
        <v>内部装修</v>
      </c>
      <c r="R43" s="667" t="s">
        <v>14</v>
      </c>
      <c r="S43" s="668">
        <f t="shared" si="12"/>
        <v>100</v>
      </c>
      <c r="T43" s="667" t="s">
        <v>14</v>
      </c>
      <c r="U43" s="668">
        <f t="shared" si="13"/>
        <v>100</v>
      </c>
      <c r="V43" s="667" t="s">
        <v>14</v>
      </c>
      <c r="W43" s="668">
        <f t="shared" si="14"/>
        <v>100</v>
      </c>
      <c r="X43" s="1265"/>
      <c r="Y43" s="3483"/>
      <c r="Z43" s="1264" t="str">
        <f t="shared" si="15"/>
        <v>内部装修</v>
      </c>
      <c r="AA43" s="1264">
        <f t="shared" si="3"/>
        <v>1</v>
      </c>
      <c r="AB43" s="1264">
        <f t="shared" si="4"/>
        <v>1</v>
      </c>
      <c r="AC43" s="1812">
        <f t="shared" si="5"/>
        <v>1</v>
      </c>
    </row>
    <row r="44" spans="1:29" ht="15">
      <c r="A44" s="409"/>
      <c r="B44" s="364" t="s">
        <v>1707</v>
      </c>
      <c r="C44" s="399" t="s">
        <v>3502</v>
      </c>
      <c r="D44" s="374">
        <v>100</v>
      </c>
      <c r="E44" s="399" t="s">
        <v>3502</v>
      </c>
      <c r="F44" s="400">
        <f>SUMIF(125:125,E44,126:126)-SUMIF(125:125,C44,126:126)+100</f>
        <v>100</v>
      </c>
      <c r="G44" s="399" t="s">
        <v>3502</v>
      </c>
      <c r="H44" s="374">
        <f>SUMIF(125:125,G44,126:126)-SUMIF(125:125,C44,126:126)+100</f>
        <v>100</v>
      </c>
      <c r="I44" s="399" t="s">
        <v>3502</v>
      </c>
      <c r="J44" s="374">
        <f>SUMIF(125:125,I44,126:126)-SUMIF(125:125,C44,126:126)+100</f>
        <v>100</v>
      </c>
      <c r="K44" s="538">
        <v>2</v>
      </c>
      <c r="L44" s="2493"/>
      <c r="M44" s="2488"/>
      <c r="N44" s="2488"/>
      <c r="O44" s="2488"/>
      <c r="P44" s="3481"/>
      <c r="Q44" s="1263" t="str">
        <f t="shared" si="11"/>
        <v>内部装修维护情况</v>
      </c>
      <c r="R44" s="667" t="s">
        <v>14</v>
      </c>
      <c r="S44" s="668">
        <f t="shared" si="12"/>
        <v>100</v>
      </c>
      <c r="T44" s="667" t="s">
        <v>14</v>
      </c>
      <c r="U44" s="668">
        <f t="shared" si="13"/>
        <v>100</v>
      </c>
      <c r="V44" s="667" t="s">
        <v>14</v>
      </c>
      <c r="W44" s="668">
        <f t="shared" si="14"/>
        <v>100</v>
      </c>
      <c r="X44" s="1265"/>
      <c r="Y44" s="3483"/>
      <c r="Z44" s="1264" t="str">
        <f t="shared" si="15"/>
        <v>内部装修维护情况</v>
      </c>
      <c r="AA44" s="1264">
        <f t="shared" si="3"/>
        <v>1</v>
      </c>
      <c r="AB44" s="1264">
        <f t="shared" si="4"/>
        <v>1</v>
      </c>
      <c r="AC44" s="1812">
        <f t="shared" si="5"/>
        <v>1</v>
      </c>
    </row>
    <row r="45" spans="1:29" s="102" customFormat="1" ht="15">
      <c r="A45" s="410"/>
      <c r="B45" s="3177" t="s">
        <v>3517</v>
      </c>
      <c r="C45" s="407" t="s">
        <v>3519</v>
      </c>
      <c r="D45" s="119">
        <v>100</v>
      </c>
      <c r="E45" s="371" t="s">
        <v>3521</v>
      </c>
      <c r="F45" s="364">
        <f>SUMIF(127:127,E45,128:128)-SUMIF(127:127,C45,128:128)+100</f>
        <v>94</v>
      </c>
      <c r="G45" s="371">
        <v>0</v>
      </c>
      <c r="H45" s="119">
        <f>SUMIF(127:127,G45,128:128)-SUMIF(127:127,C45,128:128)+100</f>
        <v>106</v>
      </c>
      <c r="I45" s="371" t="s">
        <v>3519</v>
      </c>
      <c r="J45" s="119">
        <f>SUMIF(127:127,I45,128:128)-SUMIF(127:127,C45,128:128)+100</f>
        <v>100</v>
      </c>
      <c r="K45" s="539"/>
      <c r="L45" s="2489"/>
      <c r="M45" s="2440"/>
      <c r="N45" s="2440"/>
      <c r="O45" s="2440"/>
      <c r="P45" s="3481"/>
      <c r="Q45" s="530" t="str">
        <f t="shared" si="11"/>
        <v>地下面积占比</v>
      </c>
      <c r="R45" s="664" t="s">
        <v>14</v>
      </c>
      <c r="S45" s="665">
        <f t="shared" si="12"/>
        <v>94</v>
      </c>
      <c r="T45" s="664" t="s">
        <v>14</v>
      </c>
      <c r="U45" s="665">
        <f t="shared" si="13"/>
        <v>106</v>
      </c>
      <c r="V45" s="664" t="s">
        <v>14</v>
      </c>
      <c r="W45" s="665">
        <f t="shared" si="14"/>
        <v>100</v>
      </c>
      <c r="X45" s="666"/>
      <c r="Y45" s="3483"/>
      <c r="Z45" s="50" t="str">
        <f t="shared" si="15"/>
        <v>地下面积占比</v>
      </c>
      <c r="AA45" s="50">
        <f t="shared" si="3"/>
        <v>1.0638297872340425</v>
      </c>
      <c r="AB45" s="50">
        <f t="shared" si="4"/>
        <v>0.94339622641509435</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81"/>
      <c r="Q46" s="1263">
        <f t="shared" si="11"/>
        <v>111</v>
      </c>
      <c r="R46" s="667" t="s">
        <v>14</v>
      </c>
      <c r="S46" s="668">
        <f t="shared" si="12"/>
        <v>100</v>
      </c>
      <c r="T46" s="667" t="s">
        <v>14</v>
      </c>
      <c r="U46" s="668">
        <f t="shared" si="13"/>
        <v>100</v>
      </c>
      <c r="V46" s="667" t="s">
        <v>14</v>
      </c>
      <c r="W46" s="668">
        <f t="shared" si="14"/>
        <v>100</v>
      </c>
      <c r="X46" s="1265"/>
      <c r="Y46" s="348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82"/>
      <c r="Q47" s="1263">
        <f t="shared" si="11"/>
        <v>111</v>
      </c>
      <c r="R47" s="667" t="s">
        <v>14</v>
      </c>
      <c r="S47" s="668">
        <f t="shared" si="12"/>
        <v>100</v>
      </c>
      <c r="T47" s="667" t="s">
        <v>14</v>
      </c>
      <c r="U47" s="668">
        <f t="shared" si="13"/>
        <v>100</v>
      </c>
      <c r="V47" s="667" t="s">
        <v>14</v>
      </c>
      <c r="W47" s="668">
        <f t="shared" si="14"/>
        <v>100</v>
      </c>
      <c r="X47" s="1265"/>
      <c r="Y47" s="3484"/>
      <c r="Z47" s="1264">
        <f t="shared" si="15"/>
        <v>111</v>
      </c>
      <c r="AA47" s="1264">
        <f t="shared" si="3"/>
        <v>1</v>
      </c>
      <c r="AB47" s="1264">
        <f t="shared" si="4"/>
        <v>1</v>
      </c>
      <c r="AC47" s="1812">
        <f t="shared" si="5"/>
        <v>1</v>
      </c>
    </row>
    <row r="48" spans="1:29" ht="15">
      <c r="A48" s="416" t="s">
        <v>1708</v>
      </c>
      <c r="B48" s="417"/>
      <c r="C48" s="1081" t="s">
        <v>0</v>
      </c>
      <c r="D48" s="418"/>
      <c r="E48" s="419">
        <v>38000</v>
      </c>
      <c r="F48" s="420"/>
      <c r="G48" s="421">
        <v>38000</v>
      </c>
      <c r="H48" s="422"/>
      <c r="I48" s="419">
        <v>34081</v>
      </c>
      <c r="J48" s="422"/>
      <c r="K48" s="674"/>
      <c r="L48" s="2495"/>
      <c r="M48" s="2488"/>
      <c r="N48" s="2488"/>
      <c r="O48" s="2488"/>
      <c r="P48" s="3455" t="str">
        <f>A48</f>
        <v>成交单价（元/平方米）</v>
      </c>
      <c r="Q48" s="3485"/>
      <c r="R48" s="3472">
        <f>E48</f>
        <v>38000</v>
      </c>
      <c r="S48" s="3472"/>
      <c r="T48" s="3472">
        <f>G48</f>
        <v>38000</v>
      </c>
      <c r="U48" s="3472"/>
      <c r="V48" s="3472">
        <f>I48</f>
        <v>34081</v>
      </c>
      <c r="W48" s="3472"/>
      <c r="X48" s="385"/>
      <c r="Y48" s="673"/>
      <c r="Z48" s="385"/>
      <c r="AA48" s="385"/>
      <c r="AB48" s="385"/>
      <c r="AC48" s="555"/>
    </row>
    <row r="49" spans="1:29" ht="15.75" thickBot="1">
      <c r="A49" s="423" t="s">
        <v>1793</v>
      </c>
      <c r="B49" s="424"/>
      <c r="C49" s="1082">
        <f>R50</f>
        <v>35406</v>
      </c>
      <c r="D49" s="2141" t="s">
        <v>2138</v>
      </c>
      <c r="E49" s="1083">
        <f>R49</f>
        <v>41251</v>
      </c>
      <c r="F49" s="2142"/>
      <c r="G49" s="1082">
        <f>T49</f>
        <v>32791</v>
      </c>
      <c r="H49" s="2142"/>
      <c r="I49" s="1083">
        <f>V49</f>
        <v>32175</v>
      </c>
      <c r="J49" s="2142"/>
      <c r="K49" s="2144">
        <f>F49+H49+J49</f>
        <v>0</v>
      </c>
      <c r="L49" s="2495"/>
      <c r="M49" s="2488"/>
      <c r="N49" s="2488"/>
      <c r="O49" s="2488"/>
      <c r="P49" s="3455" t="str">
        <f>A49</f>
        <v>比较价值（元/平方米）</v>
      </c>
      <c r="Q49" s="3485"/>
      <c r="R49" s="3472">
        <f>IF(F1="售价",ROUND(PRODUCT(R48,AA7:AA47),0),ROUND(PRODUCT(R48,AA7:AA47),1))</f>
        <v>41251</v>
      </c>
      <c r="S49" s="3472"/>
      <c r="T49" s="3472">
        <f>IF(F1="售价",ROUND(PRODUCT(T48,AB7:AB47),0),ROUND(PRODUCT(T48,AB7:AB47),1))</f>
        <v>32791</v>
      </c>
      <c r="U49" s="3472"/>
      <c r="V49" s="3472">
        <f>IF(F1="售价",ROUND(PRODUCT(V48,AC7:AC47),0),ROUND(PRODUCT(V48,AC7:AC47),1))</f>
        <v>32175</v>
      </c>
      <c r="W49" s="3472"/>
      <c r="X49" s="385"/>
      <c r="Y49" s="385"/>
      <c r="Z49" s="385"/>
      <c r="AA49" s="385"/>
      <c r="AB49" s="385"/>
      <c r="AC49" s="555"/>
    </row>
    <row r="50" spans="1:29" ht="15.75" thickBot="1">
      <c r="A50" s="427" t="s">
        <v>1794</v>
      </c>
      <c r="B50" s="428"/>
      <c r="C50" s="351">
        <f>R50</f>
        <v>35406</v>
      </c>
      <c r="D50" s="351"/>
      <c r="E50" s="351"/>
      <c r="F50" s="351"/>
      <c r="G50" s="351"/>
      <c r="H50" s="351"/>
      <c r="I50" s="351"/>
      <c r="J50" s="429"/>
      <c r="K50" s="675"/>
      <c r="L50" s="2495"/>
      <c r="M50" s="2488"/>
      <c r="N50" s="2488"/>
      <c r="O50" s="2488"/>
      <c r="P50" s="3486" t="str">
        <f>A50</f>
        <v>估价对象XX用房的比较价值（楼面单价，元/平方米）</v>
      </c>
      <c r="Q50" s="3487"/>
      <c r="R50" s="3488">
        <f>IF(F1="售价",ROUND(IF(D49="简单平均",AVERAGE(R49:V49),R49*F49+T49*H49+V49*J49),0),ROUND(IF(D49="简单平均",AVERAGE(R49:V49),R49*F49+T49*H49+V49*J49),1))</f>
        <v>35406</v>
      </c>
      <c r="S50" s="3488"/>
      <c r="T50" s="3488"/>
      <c r="U50" s="3488"/>
      <c r="V50" s="3488"/>
      <c r="W50" s="3488"/>
      <c r="X50" s="1798"/>
      <c r="Y50" s="1798"/>
      <c r="Z50" s="1798"/>
      <c r="AA50" s="1798"/>
      <c r="AB50" s="1798"/>
      <c r="AC50" s="1799"/>
    </row>
    <row r="51" spans="1:29">
      <c r="A51" s="2488"/>
      <c r="B51" s="2488"/>
      <c r="C51" s="2488"/>
      <c r="D51" s="2488"/>
      <c r="E51" s="2488">
        <v>2007</v>
      </c>
      <c r="F51" s="2488"/>
      <c r="G51" s="2488">
        <v>2022</v>
      </c>
      <c r="H51" s="2488"/>
      <c r="I51" s="2488">
        <v>2022</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8.5552631578947436E-2</v>
      </c>
      <c r="F53" s="435" t="str">
        <f>IF(OR(E53&gt;=0.3,E53&lt;=-0.3),"超过30%","")</f>
        <v/>
      </c>
      <c r="G53" s="434">
        <f>IF(G48&lt;G49,G49/G48-1,G48/G49-1)</f>
        <v>0.15885456375224916</v>
      </c>
      <c r="H53" s="435" t="str">
        <f>IF(OR(G53&gt;=0.3,G53&lt;=-0.3),"超过30%","")</f>
        <v/>
      </c>
      <c r="I53" s="434">
        <f>IF(I48&lt;I49,I49/I48-1,I48/I49-1)</f>
        <v>5.9238539238539278E-2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0.2579976212985271</v>
      </c>
      <c r="F54" s="435" t="str">
        <f>IF(OR(E54&gt;=0.2,E54&lt;=-0.2),"超过20%","")</f>
        <v>超过20%</v>
      </c>
      <c r="G54" s="434">
        <f>IF(G49&lt;I49,I49/G49-1,G49/I49-1)</f>
        <v>1.9145299145299166E-2</v>
      </c>
      <c r="H54" s="435" t="str">
        <f>IF(OR(G54&gt;=0.2,G54&lt;=-0.2),"超过20%","")</f>
        <v/>
      </c>
      <c r="I54" s="434">
        <f>IF(I49&lt;E49,E49/I49-1,I49/E49-1)</f>
        <v>0.28208236208236204</v>
      </c>
      <c r="J54" s="435" t="str">
        <f>IF(OR(I54&gt;=0.2,I54&lt;=-0.2),"超过20%","")</f>
        <v>超过20%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0.1149907573134592</v>
      </c>
      <c r="H55" s="435" t="str">
        <f>IF(OR(G55&gt;=0.3,G55&lt;=-0.3),"超过30%","")</f>
        <v/>
      </c>
      <c r="I55" s="434">
        <f>IF(I48&lt;E48,E48/I48-1,I48/E48-1)</f>
        <v>0.1149907573134592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科教</v>
      </c>
      <c r="D64" s="3172" t="s">
        <v>3537</v>
      </c>
      <c r="E64" s="3172" t="s">
        <v>3497</v>
      </c>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100</v>
      </c>
      <c r="E65" s="467">
        <v>105</v>
      </c>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3499</v>
      </c>
      <c r="D66" s="513" t="s">
        <v>3500</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98</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v>
      </c>
      <c r="D68" s="478" t="str">
        <f t="shared" ref="D68:L68" si="17">D69&amp;"（含）"&amp;"-"&amp;E69</f>
        <v>（含）-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73" t="s">
        <v>3523</v>
      </c>
      <c r="D87" s="3173" t="s">
        <v>3524</v>
      </c>
      <c r="E87" s="3173" t="s">
        <v>3525</v>
      </c>
      <c r="F87" s="3173" t="s">
        <v>3527</v>
      </c>
      <c r="G87" s="3173" t="s">
        <v>3528</v>
      </c>
      <c r="H87" s="3173" t="s">
        <v>3530</v>
      </c>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72" t="s">
        <v>3505</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0(含)-20000</v>
      </c>
      <c r="D103" s="509" t="str">
        <f t="shared" ref="D103:L103" si="23">D104&amp;"(含)"&amp;"-"&amp;E104</f>
        <v>20000(含)-40000</v>
      </c>
      <c r="E103" s="509" t="str">
        <f t="shared" si="23"/>
        <v>40000(含)-60000</v>
      </c>
      <c r="F103" s="509" t="str">
        <f t="shared" si="23"/>
        <v>60000(含)-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20000</v>
      </c>
      <c r="E104" s="6">
        <v>40000</v>
      </c>
      <c r="F104" s="6">
        <v>60000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73" t="s">
        <v>3506</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73" t="s">
        <v>3508</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73" t="s">
        <v>3510</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76" t="s">
        <v>3516</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90</v>
      </c>
      <c r="E120" s="475">
        <f t="shared" ref="E120:M120" si="29">D120-$K41</f>
        <v>80</v>
      </c>
      <c r="F120" s="475">
        <f t="shared" si="29"/>
        <v>70</v>
      </c>
      <c r="G120" s="475">
        <f t="shared" si="29"/>
        <v>60</v>
      </c>
      <c r="H120" s="475">
        <f t="shared" si="29"/>
        <v>50</v>
      </c>
      <c r="I120" s="475">
        <f t="shared" si="29"/>
        <v>40</v>
      </c>
      <c r="J120" s="475">
        <f t="shared" si="29"/>
        <v>30</v>
      </c>
      <c r="K120" s="475">
        <f t="shared" si="29"/>
        <v>20</v>
      </c>
      <c r="L120" s="475">
        <f t="shared" si="29"/>
        <v>10</v>
      </c>
      <c r="M120" s="475">
        <f t="shared" si="29"/>
        <v>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74" t="s">
        <v>3511</v>
      </c>
      <c r="D123" s="3174" t="s">
        <v>3512</v>
      </c>
      <c r="E123" s="3174" t="s">
        <v>3513</v>
      </c>
      <c r="F123" s="3175" t="s">
        <v>3514</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28.5" thickTop="1">
      <c r="A127" s="406"/>
      <c r="B127" s="469" t="str">
        <f>B45</f>
        <v>地下面积占比</v>
      </c>
      <c r="C127" s="485">
        <v>0</v>
      </c>
      <c r="D127" s="485" t="s">
        <v>3518</v>
      </c>
      <c r="E127" s="485" t="s">
        <v>3519</v>
      </c>
      <c r="F127" s="485" t="s">
        <v>3520</v>
      </c>
      <c r="G127" s="485" t="s">
        <v>3521</v>
      </c>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f>C128-$D$135</f>
        <v>97</v>
      </c>
      <c r="E128" s="467">
        <f t="shared" ref="E128:G128" si="31">D128-$D$135</f>
        <v>94</v>
      </c>
      <c r="F128" s="467">
        <f t="shared" si="31"/>
        <v>91</v>
      </c>
      <c r="G128" s="467">
        <f t="shared" si="31"/>
        <v>88</v>
      </c>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row r="135" spans="1:29">
      <c r="D135" s="347">
        <v>3</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F7:F47 H7:H47 J7:J47">
    <cfRule type="cellIs" dxfId="132" priority="1" operator="notEqual">
      <formula>100</formula>
    </cfRule>
  </conditionalFormatting>
  <conditionalFormatting sqref="F49">
    <cfRule type="expression" dxfId="131" priority="4">
      <formula>$D$49="简单平均"</formula>
    </cfRule>
  </conditionalFormatting>
  <conditionalFormatting sqref="F53:F55 H53:H55">
    <cfRule type="containsText" dxfId="130" priority="17"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G55">
    <cfRule type="expression" dxfId="127" priority="13"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conditionalFormatting sqref="J53:J55">
    <cfRule type="containsText" dxfId="12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AL62"/>
  <sheetViews>
    <sheetView topLeftCell="U7" zoomScale="80" zoomScaleNormal="80" workbookViewId="0">
      <selection activeCell="AL50" sqref="AL50"/>
    </sheetView>
  </sheetViews>
  <sheetFormatPr defaultColWidth="9" defaultRowHeight="13.5"/>
  <cols>
    <col min="1" max="16384" width="9" style="3168"/>
  </cols>
  <sheetData>
    <row r="13" spans="17:19">
      <c r="Q13" s="3168">
        <v>22666.71</v>
      </c>
      <c r="R13" s="3168">
        <f>Q13-15776</f>
        <v>6890.7099999999991</v>
      </c>
      <c r="S13" s="3168">
        <f>R13/Q13</f>
        <v>0.30400133058569151</v>
      </c>
    </row>
    <row r="14" spans="17:19">
      <c r="Q14" s="3168">
        <f>8.5*10000/Q13</f>
        <v>3.7499928308960588</v>
      </c>
    </row>
    <row r="18" spans="10:10">
      <c r="J18" s="3168" t="s">
        <v>3493</v>
      </c>
    </row>
    <row r="21" spans="10:10">
      <c r="J21" s="3168">
        <f>2/15</f>
        <v>0.13333333333333333</v>
      </c>
    </row>
    <row r="49" spans="3:38">
      <c r="AL49" s="3168">
        <f>4239.05/30822.51</f>
        <v>0.1375309797936638</v>
      </c>
    </row>
    <row r="62" spans="3:38">
      <c r="C62" s="3168">
        <f>21325-19526</f>
        <v>1799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80" sqref="E8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38.520000000000003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112314</v>
      </c>
      <c r="C2" s="1289" t="s">
        <v>805</v>
      </c>
      <c r="D2" s="1289"/>
      <c r="E2" s="1295"/>
      <c r="F2" s="1296"/>
      <c r="G2" s="2479"/>
      <c r="H2" s="2469"/>
      <c r="I2" s="2469"/>
      <c r="J2" s="2469"/>
      <c r="K2" s="2470"/>
      <c r="L2" s="2469"/>
      <c r="M2" s="2469"/>
    </row>
    <row r="3" spans="1:37" ht="18" customHeight="1" thickBot="1">
      <c r="A3" s="1297" t="s">
        <v>806</v>
      </c>
      <c r="B3" s="1298">
        <f ca="1">IF(ISERROR(B2*10000/F43),0,ROUND(B2*10000/F43,0))</f>
        <v>43332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6030</v>
      </c>
      <c r="D5" s="1273" t="s">
        <v>693</v>
      </c>
      <c r="E5" s="1008"/>
      <c r="F5" s="1009"/>
      <c r="G5" s="1292"/>
      <c r="H5" s="291">
        <v>1</v>
      </c>
      <c r="I5" s="292" t="s">
        <v>692</v>
      </c>
      <c r="J5" s="1007">
        <f ca="1">J6+J10+J12</f>
        <v>0</v>
      </c>
      <c r="K5" s="1273" t="s">
        <v>693</v>
      </c>
      <c r="L5" s="1008"/>
      <c r="M5" s="1009"/>
    </row>
    <row r="6" spans="1:37" ht="18" customHeight="1">
      <c r="A6" s="1006" t="s">
        <v>398</v>
      </c>
      <c r="B6" s="3491" t="s">
        <v>694</v>
      </c>
      <c r="C6" s="1011">
        <f ca="1">ROUND(F6*F8*F7*(1-F9)/10000,0)</f>
        <v>6022</v>
      </c>
      <c r="D6" s="147" t="s">
        <v>2109</v>
      </c>
      <c r="E6" s="294" t="s">
        <v>696</v>
      </c>
      <c r="F6" s="295">
        <f ca="1">INDIRECT("'数据-取费表'!u"&amp;$G$1)</f>
        <v>6.7</v>
      </c>
      <c r="G6" s="1292"/>
      <c r="H6" s="1006" t="s">
        <v>398</v>
      </c>
      <c r="I6" s="3491" t="s">
        <v>694</v>
      </c>
      <c r="J6" s="293">
        <f ca="1">ROUND(M6*M8*M7*(1-M9)/10000,0)</f>
        <v>0</v>
      </c>
      <c r="K6" s="147" t="s">
        <v>2108</v>
      </c>
      <c r="L6" s="294" t="s">
        <v>696</v>
      </c>
      <c r="M6" s="295">
        <f ca="1">INDIRECT("'数据-取费表'!z"&amp;$G$1)</f>
        <v>0</v>
      </c>
    </row>
    <row r="7" spans="1:37" ht="18" customHeight="1">
      <c r="A7" s="1010"/>
      <c r="B7" s="3492"/>
      <c r="C7" s="1012"/>
      <c r="D7" s="299"/>
      <c r="E7" s="1013" t="s">
        <v>697</v>
      </c>
      <c r="F7" s="295">
        <f ca="1">IF(INDIRECT("'数据-取费表'!ah"&amp;$G$1)="",INDIRECT("'数据-取费表'!k"&amp;$G$1),INDIRECT("'数据-取费表'!ah"&amp;$G$1))</f>
        <v>25919.38</v>
      </c>
      <c r="G7" s="1292"/>
      <c r="H7" s="296"/>
      <c r="I7" s="3492"/>
      <c r="J7" s="298"/>
      <c r="K7" s="299"/>
      <c r="L7" s="294" t="s">
        <v>697</v>
      </c>
      <c r="M7" s="295">
        <f ca="1">F7</f>
        <v>25919.38</v>
      </c>
    </row>
    <row r="8" spans="1:37" ht="18" customHeight="1">
      <c r="A8" s="296"/>
      <c r="B8" s="3492"/>
      <c r="C8" s="298"/>
      <c r="D8" s="299"/>
      <c r="E8" s="294" t="s">
        <v>698</v>
      </c>
      <c r="F8" s="295">
        <f ca="1">INDIRECT("'数据-取费表'!ai"&amp;$G$1)</f>
        <v>365</v>
      </c>
      <c r="G8" s="1292"/>
      <c r="H8" s="296"/>
      <c r="I8" s="3492"/>
      <c r="J8" s="298"/>
      <c r="K8" s="299"/>
      <c r="L8" s="294" t="s">
        <v>698</v>
      </c>
      <c r="M8" s="295">
        <f ca="1">INDIRECT("'数据-取费表'!ai"&amp;$G$1)</f>
        <v>365</v>
      </c>
    </row>
    <row r="9" spans="1:37" ht="18" customHeight="1">
      <c r="A9" s="296"/>
      <c r="B9" s="3493"/>
      <c r="C9" s="298"/>
      <c r="D9" s="299"/>
      <c r="E9" s="294" t="s">
        <v>699</v>
      </c>
      <c r="F9" s="304">
        <f ca="1">INDIRECT("'数据-取费表'!w"&amp;$G$1)</f>
        <v>0.05</v>
      </c>
      <c r="G9" s="1292"/>
      <c r="H9" s="296"/>
      <c r="I9" s="3493"/>
      <c r="J9" s="298"/>
      <c r="K9" s="299"/>
      <c r="L9" s="305" t="s">
        <v>699</v>
      </c>
      <c r="M9" s="306">
        <f ca="1">INDIRECT("'数据-取费表'!ab"&amp;$G$1)</f>
        <v>0</v>
      </c>
    </row>
    <row r="10" spans="1:37" ht="18" customHeight="1">
      <c r="A10" s="1006" t="s">
        <v>402</v>
      </c>
      <c r="B10" s="1274" t="s">
        <v>700</v>
      </c>
      <c r="C10" s="308">
        <f ca="1">ROUND(IF(F10="押一",C6/12*F11,IF(F10="押二",C6/12*2*F11,IF(F10="押三",C6/12*3*F11,C11*F11))),0)</f>
        <v>8</v>
      </c>
      <c r="D10" s="150" t="s">
        <v>2117</v>
      </c>
      <c r="E10" s="305" t="s">
        <v>701</v>
      </c>
      <c r="F10" s="1053" t="s">
        <v>3475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17235</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12441</v>
      </c>
      <c r="D14" s="1257" t="s">
        <v>708</v>
      </c>
      <c r="E14" s="1255"/>
      <c r="F14" s="311"/>
      <c r="G14" s="1292"/>
      <c r="H14" s="928" t="s">
        <v>398</v>
      </c>
      <c r="I14" s="294" t="s">
        <v>709</v>
      </c>
      <c r="J14" s="21">
        <f ca="1">C29</f>
        <v>19365</v>
      </c>
      <c r="K14" s="12"/>
      <c r="L14" s="759"/>
      <c r="M14" s="760"/>
    </row>
    <row r="15" spans="1:37" s="1304" customFormat="1" ht="18" customHeight="1" thickBot="1">
      <c r="A15" s="928" t="s">
        <v>399</v>
      </c>
      <c r="B15" s="294" t="s">
        <v>710</v>
      </c>
      <c r="C15" s="21">
        <f ca="1">ROUND(C14*F15,0)</f>
        <v>622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204</v>
      </c>
      <c r="K16" s="1024" t="s">
        <v>715</v>
      </c>
      <c r="L16" s="1025"/>
      <c r="M16" s="1009"/>
    </row>
    <row r="17" spans="1:37" s="1304" customFormat="1" ht="18" customHeight="1">
      <c r="A17" s="928" t="s">
        <v>681</v>
      </c>
      <c r="B17" s="294" t="s">
        <v>716</v>
      </c>
      <c r="C17" s="21">
        <f ca="1">ROUND(F17*(F43+INDIRECT("'数据-取费表'!S"&amp;$G$1))/10000,0)</f>
        <v>518</v>
      </c>
      <c r="D17" s="294" t="s">
        <v>717</v>
      </c>
      <c r="E17" s="294" t="s">
        <v>718</v>
      </c>
      <c r="F17" s="23">
        <f>'数据-取费表'!B35</f>
        <v>200</v>
      </c>
      <c r="G17" s="1303"/>
      <c r="H17" s="928" t="s">
        <v>398</v>
      </c>
      <c r="I17" s="294" t="s">
        <v>719</v>
      </c>
      <c r="J17" s="2140">
        <f ca="1">ROUND(IF(AND(项目基本情况!B11="自然人",项目基本情况!B10="北京市"),J6*M17/(1+'数据-取费表'!C42),J18+J19+J20),2)</f>
        <v>10.029999999999999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249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13830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415</v>
      </c>
      <c r="D20" s="315" t="s">
        <v>729</v>
      </c>
      <c r="E20" s="294" t="s">
        <v>712</v>
      </c>
      <c r="F20" s="314">
        <f>'数据-取费表'!B37</f>
        <v>0.03</v>
      </c>
      <c r="G20" s="1303"/>
      <c r="H20" s="928" t="s">
        <v>680</v>
      </c>
      <c r="I20" s="147" t="s">
        <v>730</v>
      </c>
      <c r="J20" s="22">
        <f ca="1">ROUND(M20*M21/10000,2)</f>
        <v>10.029999999999999</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8357.9699999999993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193.65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520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ROUND(J5*M24,2)</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-204</v>
      </c>
      <c r="K25" s="1032" t="s">
        <v>753</v>
      </c>
      <c r="L25" s="1033"/>
      <c r="M25" s="1034"/>
    </row>
    <row r="26" spans="1:37">
      <c r="A26" s="928" t="s">
        <v>397</v>
      </c>
      <c r="B26" s="294" t="s">
        <v>754</v>
      </c>
      <c r="C26" s="21">
        <f ca="1">ROUND((C19+C20)*F26,0)</f>
        <v>2849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19365</v>
      </c>
      <c r="D29" s="1029"/>
      <c r="E29" s="1027"/>
      <c r="F29" s="1030"/>
      <c r="G29" s="1303"/>
      <c r="H29" s="325" t="s">
        <v>396</v>
      </c>
      <c r="I29" s="326" t="s">
        <v>768</v>
      </c>
      <c r="J29" s="327">
        <f ca="1">ROUND(J26/(1+F40)^F41,0)</f>
        <v>0</v>
      </c>
      <c r="K29" s="328" t="s">
        <v>769</v>
      </c>
      <c r="L29" s="329"/>
      <c r="M29" s="330">
        <f ca="1">INDIRECT("'数据-取费表'!k"&amp;$G$1)</f>
        <v>25919.38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1019.43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321.17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688.23</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10.029999999999999</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8357.9699999999993</v>
      </c>
      <c r="G35" s="1292"/>
      <c r="H35" s="2471"/>
      <c r="I35" s="1305"/>
      <c r="J35" s="1306"/>
      <c r="K35" s="2475"/>
      <c r="L35" s="2474"/>
      <c r="M35" s="2474"/>
    </row>
    <row r="36" spans="1:18" ht="18" customHeight="1">
      <c r="A36" s="1039" t="s">
        <v>402</v>
      </c>
      <c r="B36" s="294" t="s">
        <v>738</v>
      </c>
      <c r="C36" s="21">
        <f ca="1">ROUND(C29*F36,2)</f>
        <v>193.65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25.85</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150.75</v>
      </c>
      <c r="D38" s="1029" t="s">
        <v>748</v>
      </c>
      <c r="E38" s="1027" t="s">
        <v>744</v>
      </c>
      <c r="F38" s="1023">
        <f ca="1">INDIRECT("'数据-取费表'!Am"&amp;$G$1)</f>
        <v>2.5000000000000001E-2</v>
      </c>
      <c r="G38" s="1292"/>
      <c r="H38" s="2474"/>
      <c r="I38" s="1305"/>
      <c r="J38" s="1306"/>
      <c r="K38" s="2472"/>
      <c r="L38" s="2474"/>
      <c r="M38" s="2474"/>
    </row>
    <row r="39" spans="1:18" ht="24.6" customHeight="1" thickTop="1">
      <c r="A39" s="1016" t="s">
        <v>394</v>
      </c>
      <c r="B39" s="1031" t="s">
        <v>772</v>
      </c>
      <c r="C39" s="302">
        <f ca="1">C5-C30</f>
        <v>4640</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111914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43178</v>
      </c>
      <c r="D43" s="328" t="s">
        <v>777</v>
      </c>
      <c r="E43" s="329" t="s">
        <v>778</v>
      </c>
      <c r="F43" s="330">
        <f ca="1">INDIRECT("'数据-取费表'!k"&amp;$G$1)</f>
        <v>25919.38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-115564</v>
      </c>
      <c r="D46" s="1313" t="str">
        <f>C2</f>
        <v>万元</v>
      </c>
      <c r="E46" s="1307"/>
      <c r="F46" s="1307"/>
      <c r="I46" s="1314" t="s">
        <v>810</v>
      </c>
      <c r="J46" s="1315"/>
      <c r="K46" s="1316"/>
      <c r="L46" s="1317">
        <f ca="1">IF(M47="住宅",0,IF(L48&gt;J51,L60,J60))</f>
        <v>400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3472</v>
      </c>
      <c r="K47" s="1323" t="s">
        <v>816</v>
      </c>
      <c r="L47" s="1324">
        <f ca="1">INDIRECT("'数据-取费表'!d"&amp;$G$1)</f>
        <v>50</v>
      </c>
      <c r="M47" s="1288" t="str">
        <f>IF(ISNUMBER(FIND("住宅",C1)),"住宅","非住宅")</f>
        <v>非住宅</v>
      </c>
      <c r="O47" s="1325" t="s">
        <v>403</v>
      </c>
      <c r="P47" s="1326" t="s">
        <v>817</v>
      </c>
      <c r="Q47" s="1327">
        <f ca="1">C40+J29</f>
        <v>111914</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38.520000000000003</v>
      </c>
      <c r="O48" s="1325" t="s">
        <v>404</v>
      </c>
      <c r="P48" s="1326" t="s">
        <v>821</v>
      </c>
      <c r="Q48" s="1327">
        <f ca="1">J60</f>
        <v>400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2014</v>
      </c>
      <c r="K49" s="1330" t="s">
        <v>824</v>
      </c>
      <c r="L49" s="1333"/>
      <c r="O49" s="1334" t="s">
        <v>405</v>
      </c>
      <c r="P49" s="1326" t="s">
        <v>825</v>
      </c>
      <c r="Q49" s="1327">
        <f ca="1">C29</f>
        <v>19365</v>
      </c>
      <c r="R49" s="1327" t="s">
        <v>818</v>
      </c>
    </row>
    <row r="50" spans="1:18" s="1292" customFormat="1" ht="13.5" thickBot="1">
      <c r="A50" s="922"/>
      <c r="B50" s="925"/>
      <c r="C50" s="1055"/>
      <c r="D50" s="899"/>
      <c r="E50" s="993" t="s">
        <v>697</v>
      </c>
      <c r="F50" s="994">
        <f ca="1">F7</f>
        <v>25919.38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61652</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89" t="s">
        <v>837</v>
      </c>
      <c r="L53" s="3490"/>
      <c r="O53" s="1325" t="s">
        <v>409</v>
      </c>
      <c r="P53" s="1326" t="s">
        <v>838</v>
      </c>
      <c r="Q53" s="1327">
        <f ca="1">Q47+Q48</f>
        <v>112314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17235</v>
      </c>
      <c r="D56" s="1352"/>
      <c r="E56" s="1353"/>
      <c r="F56" s="1345"/>
      <c r="I56" s="1354" t="s">
        <v>842</v>
      </c>
      <c r="J56" s="1355" t="s">
        <v>3474</v>
      </c>
      <c r="K56" s="1328" t="s">
        <v>843</v>
      </c>
      <c r="L56" s="1331" t="str">
        <f ca="1">IF(L48&lt;J51,"——",L48-J53)</f>
        <v>——</v>
      </c>
      <c r="O56" s="1325" t="s">
        <v>403</v>
      </c>
      <c r="P56" s="1326" t="s">
        <v>817</v>
      </c>
      <c r="Q56" s="1327">
        <f ca="1">C40+J29</f>
        <v>111914</v>
      </c>
      <c r="R56" s="1327" t="s">
        <v>818</v>
      </c>
    </row>
    <row r="57" spans="1:18" s="1292" customFormat="1" ht="24.75" thickBot="1">
      <c r="A57" s="1356"/>
      <c r="B57" s="896" t="s">
        <v>767</v>
      </c>
      <c r="C57" s="230">
        <f ca="1">C29</f>
        <v>19365</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230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7746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10.029999999999999</v>
      </c>
      <c r="D62" s="911" t="s">
        <v>786</v>
      </c>
      <c r="E62" s="896" t="s">
        <v>787</v>
      </c>
      <c r="F62" s="317">
        <f t="shared" si="0"/>
        <v>12</v>
      </c>
      <c r="I62" s="1367" t="s">
        <v>858</v>
      </c>
      <c r="J62" s="610" t="s">
        <v>859</v>
      </c>
      <c r="K62" s="610" t="s">
        <v>860</v>
      </c>
      <c r="L62" s="610" t="s">
        <v>861</v>
      </c>
      <c r="M62" s="1368" t="s">
        <v>862</v>
      </c>
      <c r="O62" s="1325" t="s">
        <v>409</v>
      </c>
      <c r="P62" s="1326" t="s">
        <v>863</v>
      </c>
      <c r="Q62" s="1327">
        <f ca="1">Q56+Q57</f>
        <v>111914</v>
      </c>
      <c r="R62" s="1327" t="s">
        <v>410</v>
      </c>
    </row>
    <row r="63" spans="1:18" s="1292" customFormat="1" ht="13.5" thickBot="1">
      <c r="A63" s="318"/>
      <c r="B63" s="902"/>
      <c r="C63" s="26"/>
      <c r="D63" s="912"/>
      <c r="E63" s="896" t="s">
        <v>788</v>
      </c>
      <c r="F63" s="295">
        <f t="shared" ca="1" si="0"/>
        <v>8357.9699999999993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193.65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25.85</v>
      </c>
      <c r="D65" s="910" t="s">
        <v>743</v>
      </c>
      <c r="E65" s="896" t="s">
        <v>744</v>
      </c>
      <c r="F65" s="321">
        <f t="shared" ca="1" si="0"/>
        <v>1.5E-3</v>
      </c>
      <c r="I65" s="1367" t="s">
        <v>867</v>
      </c>
      <c r="J65" s="610">
        <v>40</v>
      </c>
      <c r="K65" s="610">
        <v>30</v>
      </c>
      <c r="L65" s="610">
        <v>50</v>
      </c>
      <c r="M65" s="1369">
        <v>0.02</v>
      </c>
      <c r="O65" s="1325" t="s">
        <v>403</v>
      </c>
      <c r="P65" s="1326" t="s">
        <v>868</v>
      </c>
      <c r="Q65" s="1327">
        <f ca="1">C40+J29</f>
        <v>111914</v>
      </c>
      <c r="R65" s="1327" t="s">
        <v>818</v>
      </c>
    </row>
    <row r="66" spans="1:18" s="1292" customFormat="1" ht="16.5" thickBot="1">
      <c r="A66" s="928" t="s">
        <v>793</v>
      </c>
      <c r="B66" s="896" t="s">
        <v>728</v>
      </c>
      <c r="C66" s="21">
        <f ca="1">ROUND(C48*F66,2)</f>
        <v>0</v>
      </c>
      <c r="D66" s="910" t="s">
        <v>794</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-230</v>
      </c>
      <c r="D67" s="909" t="s">
        <v>753</v>
      </c>
      <c r="E67" s="914"/>
      <c r="F67" s="915"/>
      <c r="O67" s="1334" t="s">
        <v>405</v>
      </c>
      <c r="P67" s="1326" t="s">
        <v>850</v>
      </c>
      <c r="Q67" s="1370">
        <f ca="1">L51</f>
        <v>61652</v>
      </c>
      <c r="R67" s="1327" t="s">
        <v>870</v>
      </c>
    </row>
    <row r="68" spans="1:18" s="1292" customFormat="1" ht="16.5" thickBot="1">
      <c r="A68" s="893" t="s">
        <v>395</v>
      </c>
      <c r="B68" s="894" t="s">
        <v>774</v>
      </c>
      <c r="C68" s="293">
        <f ca="1">ROUND(C67*(1-((1+F70)/(1+F68))^F69)/(F68-F70),0)</f>
        <v>-3650</v>
      </c>
      <c r="D68" s="911" t="s">
        <v>758</v>
      </c>
      <c r="E68" s="896" t="s">
        <v>759</v>
      </c>
      <c r="F68" s="304">
        <f ca="1">F40</f>
        <v>5.5E-2</v>
      </c>
      <c r="O68" s="1334" t="s">
        <v>406</v>
      </c>
      <c r="P68" s="1371" t="s">
        <v>871</v>
      </c>
      <c r="Q68" s="1327">
        <f ca="1">ROUND(Q69-Q70*Q71,0)</f>
        <v>3347</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4640</v>
      </c>
      <c r="R69" s="1327" t="s">
        <v>818</v>
      </c>
    </row>
    <row r="70" spans="1:18" s="1292" customFormat="1" ht="13.5" thickBot="1">
      <c r="A70" s="900"/>
      <c r="B70" s="901"/>
      <c r="C70" s="302"/>
      <c r="D70" s="912"/>
      <c r="E70" s="896" t="s">
        <v>766</v>
      </c>
      <c r="F70" s="991"/>
      <c r="O70" s="1334" t="s">
        <v>412</v>
      </c>
      <c r="P70" s="1371" t="s">
        <v>873</v>
      </c>
      <c r="Q70" s="1327">
        <f ca="1">C13</f>
        <v>17235</v>
      </c>
      <c r="R70" s="1327" t="s">
        <v>818</v>
      </c>
    </row>
    <row r="71" spans="1:18" s="1292" customFormat="1" ht="13.5" thickBot="1">
      <c r="A71" s="917" t="s">
        <v>396</v>
      </c>
      <c r="B71" s="918" t="s">
        <v>776</v>
      </c>
      <c r="C71" s="327">
        <f ca="1">ROUND(C68*10000/F71,0)</f>
        <v>-1408</v>
      </c>
      <c r="D71" s="919" t="s">
        <v>777</v>
      </c>
      <c r="E71" s="920" t="s">
        <v>778</v>
      </c>
      <c r="F71" s="330">
        <f ca="1">F43</f>
        <v>25919.38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f ca="1">C13+收益法仓储!C13+'收益法仓储 (2)'!C13</f>
        <v>20563</v>
      </c>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1293</v>
      </c>
      <c r="D75" s="1292"/>
      <c r="E75" s="1292">
        <f ca="1">ROUND(E74*C76,0)</f>
        <v>1542</v>
      </c>
      <c r="F75" s="1292"/>
      <c r="K75" s="1309"/>
      <c r="L75" s="1292"/>
      <c r="O75" s="1325" t="s">
        <v>409</v>
      </c>
      <c r="P75" s="1326" t="s">
        <v>838</v>
      </c>
      <c r="Q75" s="1327">
        <f ca="1">Q65+Q66</f>
        <v>111914</v>
      </c>
      <c r="R75" s="1327" t="s">
        <v>410</v>
      </c>
    </row>
    <row r="76" spans="1:18">
      <c r="B76" s="333" t="s">
        <v>796</v>
      </c>
      <c r="C76" s="334">
        <f ca="1">INDIRECT("'数据-取费表'!j"&amp;$G$1)</f>
        <v>7.4999999999999997E-2</v>
      </c>
      <c r="E76" s="250">
        <f ca="1">C39+收益法仓储!C39+'收益法仓储 (2)'!C39</f>
        <v>5312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0.72099999999999997</v>
      </c>
    </row>
    <row r="80" spans="1:18">
      <c r="B80" s="331" t="s">
        <v>800</v>
      </c>
      <c r="C80" s="266">
        <f ca="1">ROUND(C75/C39,3)</f>
        <v>0.27900000000000003</v>
      </c>
      <c r="E80" s="250">
        <f ca="1">ROUND(E75/E76,3)</f>
        <v>0.28999999999999998</v>
      </c>
    </row>
    <row r="81" spans="2:3">
      <c r="B81" s="262" t="s">
        <v>801</v>
      </c>
      <c r="C81" s="230"/>
    </row>
    <row r="82" spans="2:3">
      <c r="B82" s="265" t="s">
        <v>802</v>
      </c>
      <c r="C82" s="267">
        <f ca="1">1-C83</f>
        <v>0.84599999999999997</v>
      </c>
    </row>
    <row r="83" spans="2:3">
      <c r="B83" s="265" t="s">
        <v>803</v>
      </c>
      <c r="C83" s="266">
        <f ca="1">ROUND(C13/C40,3)</f>
        <v>0.154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1" t="s">
        <v>694</v>
      </c>
      <c r="C6" s="1011">
        <f ca="1">ROUND(F6*F8*F7*(1-F9),0)</f>
        <v>0</v>
      </c>
      <c r="D6" s="147" t="s">
        <v>2106</v>
      </c>
      <c r="E6" s="294" t="s">
        <v>696</v>
      </c>
      <c r="F6" s="295">
        <f ca="1">INDIRECT("'数据-取费表'!u"&amp;$G$1)</f>
        <v>0</v>
      </c>
      <c r="G6" s="1292"/>
      <c r="H6" s="1006" t="s">
        <v>398</v>
      </c>
      <c r="I6" s="3491" t="s">
        <v>694</v>
      </c>
      <c r="J6" s="293">
        <f ca="1">ROUND(M6*M8*M7*(1-M9),0)</f>
        <v>0</v>
      </c>
      <c r="K6" s="1284" t="s">
        <v>2107</v>
      </c>
      <c r="L6" s="294" t="s">
        <v>696</v>
      </c>
      <c r="M6" s="295">
        <f ca="1">INDIRECT("'数据-取费表'!z"&amp;$G$1)</f>
        <v>0</v>
      </c>
    </row>
    <row r="7" spans="1:37" ht="18" customHeight="1">
      <c r="A7" s="1010"/>
      <c r="B7" s="3492"/>
      <c r="C7" s="1012"/>
      <c r="D7" s="299"/>
      <c r="E7" s="1013" t="s">
        <v>697</v>
      </c>
      <c r="F7" s="295">
        <f ca="1">IF(INDIRECT("'数据-取费表'!ah"&amp;$G$1)="",INDIRECT("'数据-取费表'!k"&amp;$G$1),INDIRECT("'数据-取费表'!ah"&amp;$G$1))</f>
        <v>0</v>
      </c>
      <c r="G7" s="1292"/>
      <c r="H7" s="296"/>
      <c r="I7" s="3492"/>
      <c r="J7" s="298"/>
      <c r="K7" s="299"/>
      <c r="L7" s="294" t="s">
        <v>697</v>
      </c>
      <c r="M7" s="295">
        <f ca="1">F7</f>
        <v>0</v>
      </c>
    </row>
    <row r="8" spans="1:37" ht="18" customHeight="1">
      <c r="A8" s="296"/>
      <c r="B8" s="3492"/>
      <c r="C8" s="298"/>
      <c r="D8" s="299"/>
      <c r="E8" s="294" t="s">
        <v>698</v>
      </c>
      <c r="F8" s="295">
        <f ca="1">INDIRECT("'数据-取费表'!ai"&amp;$G$1)</f>
        <v>0</v>
      </c>
      <c r="G8" s="1292"/>
      <c r="H8" s="296"/>
      <c r="I8" s="3492"/>
      <c r="J8" s="298"/>
      <c r="K8" s="299"/>
      <c r="L8" s="294" t="s">
        <v>698</v>
      </c>
      <c r="M8" s="295">
        <f ca="1">INDIRECT("'数据-取费表'!ai"&amp;$G$1)</f>
        <v>0</v>
      </c>
    </row>
    <row r="9" spans="1:37" ht="18" customHeight="1">
      <c r="A9" s="296"/>
      <c r="B9" s="3493"/>
      <c r="C9" s="298"/>
      <c r="D9" s="299"/>
      <c r="E9" s="294" t="s">
        <v>699</v>
      </c>
      <c r="F9" s="304">
        <f ca="1">INDIRECT("'数据-取费表'!w"&amp;$G$1)</f>
        <v>0</v>
      </c>
      <c r="G9" s="1292"/>
      <c r="H9" s="296"/>
      <c r="I9" s="349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9" t="s">
        <v>837</v>
      </c>
      <c r="L53" s="349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494" t="s">
        <v>2317</v>
      </c>
      <c r="K2" s="349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96" t="s">
        <v>2327</v>
      </c>
      <c r="K3" s="349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96" t="s">
        <v>2329</v>
      </c>
      <c r="K4" s="349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98" t="s">
        <v>2333</v>
      </c>
      <c r="B6" s="3499"/>
      <c r="C6" s="3500"/>
      <c r="D6" s="2622"/>
      <c r="E6" s="2623"/>
      <c r="F6" s="2624"/>
      <c r="G6" s="2625"/>
      <c r="H6" s="2600"/>
      <c r="I6" s="2601"/>
      <c r="J6" s="3501">
        <v>1</v>
      </c>
      <c r="K6" s="350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01"/>
      <c r="K7" s="350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05" t="s">
        <v>2347</v>
      </c>
      <c r="C8" s="3506"/>
      <c r="D8" s="2641" t="s">
        <v>2348</v>
      </c>
      <c r="E8" s="2642" t="s">
        <v>2349</v>
      </c>
      <c r="F8" s="2643" t="s">
        <v>2350</v>
      </c>
      <c r="G8" s="2644"/>
      <c r="H8" s="2600"/>
      <c r="I8" s="2601"/>
      <c r="J8" s="3501"/>
      <c r="K8" s="350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05" t="s">
        <v>2353</v>
      </c>
      <c r="C9" s="3506"/>
      <c r="D9" s="2641">
        <f>ROUND(D6*E9,0)</f>
        <v>0</v>
      </c>
      <c r="E9" s="2645"/>
      <c r="F9" s="2646" t="s">
        <v>2354</v>
      </c>
      <c r="G9" s="2625"/>
      <c r="H9" s="2600"/>
      <c r="I9" s="2601"/>
      <c r="J9" s="3501"/>
      <c r="K9" s="3503"/>
      <c r="L9" s="2635" t="s">
        <v>2355</v>
      </c>
      <c r="M9" s="2636"/>
      <c r="N9" s="2612"/>
      <c r="O9" s="2637"/>
      <c r="P9" s="2637"/>
      <c r="Q9" s="2638">
        <v>365</v>
      </c>
      <c r="R9" s="2639">
        <f t="shared" si="0"/>
        <v>0</v>
      </c>
      <c r="S9" s="2593"/>
      <c r="T9" s="2593"/>
      <c r="U9" s="2593"/>
      <c r="V9" s="2601"/>
    </row>
    <row r="10" spans="1:22" s="2605" customFormat="1" ht="13.15" customHeight="1">
      <c r="A10" s="2640">
        <v>2</v>
      </c>
      <c r="B10" s="3505" t="s">
        <v>2356</v>
      </c>
      <c r="C10" s="3506"/>
      <c r="D10" s="2641">
        <f>ROUND(D6*E10,0)</f>
        <v>0</v>
      </c>
      <c r="E10" s="2645"/>
      <c r="F10" s="2646" t="s">
        <v>2357</v>
      </c>
      <c r="G10" s="2625"/>
      <c r="H10" s="2600"/>
      <c r="I10" s="2601"/>
      <c r="J10" s="3501"/>
      <c r="K10" s="3503"/>
      <c r="L10" s="2635" t="s">
        <v>2358</v>
      </c>
      <c r="M10" s="2636"/>
      <c r="N10" s="2612"/>
      <c r="O10" s="2637"/>
      <c r="P10" s="2637"/>
      <c r="Q10" s="2638">
        <v>365</v>
      </c>
      <c r="R10" s="2639">
        <f t="shared" si="0"/>
        <v>0</v>
      </c>
      <c r="S10" s="2593"/>
      <c r="T10" s="2593"/>
      <c r="U10" s="2593"/>
      <c r="V10" s="2601"/>
    </row>
    <row r="11" spans="1:22" s="2605" customFormat="1" ht="13.15" customHeight="1">
      <c r="A11" s="2640">
        <v>3</v>
      </c>
      <c r="B11" s="3505" t="s">
        <v>2359</v>
      </c>
      <c r="C11" s="3506"/>
      <c r="D11" s="2641">
        <f>D12+D14+D15+D16</f>
        <v>0</v>
      </c>
      <c r="E11" s="2647" t="e">
        <f>D11/D6</f>
        <v>#DIV/0!</v>
      </c>
      <c r="F11" s="2643"/>
      <c r="G11" s="2644"/>
      <c r="H11" s="2600"/>
      <c r="I11" s="2601"/>
      <c r="J11" s="3501"/>
      <c r="K11" s="350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07" t="s">
        <v>2362</v>
      </c>
      <c r="C12" s="3508"/>
      <c r="D12" s="2649">
        <f>ROUND(D13*1.2%*(1-30%),0)</f>
        <v>0</v>
      </c>
      <c r="E12" s="2650">
        <v>1.2E-2</v>
      </c>
      <c r="F12" s="2643" t="s">
        <v>2363</v>
      </c>
      <c r="G12" s="2644"/>
      <c r="H12" s="2600"/>
      <c r="I12" s="2601"/>
      <c r="J12" s="3501"/>
      <c r="K12" s="350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01"/>
      <c r="K13" s="350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07" t="s">
        <v>2368</v>
      </c>
      <c r="C14" s="3508"/>
      <c r="D14" s="2649">
        <f>ROUND(E14*B5/10000,0)</f>
        <v>0</v>
      </c>
      <c r="E14" s="2638"/>
      <c r="F14" s="2643" t="s">
        <v>2369</v>
      </c>
      <c r="G14" s="2644"/>
      <c r="H14" s="2600"/>
      <c r="I14" s="2601"/>
      <c r="J14" s="3501"/>
      <c r="K14" s="350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07" t="s">
        <v>2372</v>
      </c>
      <c r="C15" s="3508"/>
      <c r="D15" s="2649">
        <f>ROUND(D6*E15,0)</f>
        <v>0</v>
      </c>
      <c r="E15" s="2650">
        <v>5.5E-2</v>
      </c>
      <c r="F15" s="2643" t="s">
        <v>2373</v>
      </c>
      <c r="G15" s="2625"/>
      <c r="H15" s="2600"/>
      <c r="I15" s="2601"/>
      <c r="J15" s="3501">
        <v>2</v>
      </c>
      <c r="K15" s="350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07" t="s">
        <v>2381</v>
      </c>
      <c r="C16" s="3508"/>
      <c r="D16" s="2660">
        <f>D6*E16</f>
        <v>0</v>
      </c>
      <c r="E16" s="2661"/>
      <c r="F16" s="2646" t="s">
        <v>2382</v>
      </c>
      <c r="G16" s="2625"/>
      <c r="H16" s="2600"/>
      <c r="I16" s="2601"/>
      <c r="J16" s="3501"/>
      <c r="K16" s="350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09" t="s">
        <v>2384</v>
      </c>
      <c r="C17" s="3510"/>
      <c r="D17" s="2663">
        <f>ROUND(D6*E17,0)</f>
        <v>0</v>
      </c>
      <c r="E17" s="2664"/>
      <c r="F17" s="2665" t="s">
        <v>2385</v>
      </c>
      <c r="G17" s="2625"/>
      <c r="H17" s="2600"/>
      <c r="I17" s="2601"/>
      <c r="J17" s="3501"/>
      <c r="K17" s="350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01"/>
      <c r="K18" s="350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01"/>
      <c r="K19" s="350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01">
        <v>3</v>
      </c>
      <c r="K20" s="350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01"/>
      <c r="K21" s="350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01"/>
      <c r="K22" s="350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01"/>
      <c r="K23" s="350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01"/>
      <c r="K24" s="350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1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94" t="s">
        <v>2317</v>
      </c>
      <c r="K32" s="349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96" t="s">
        <v>2327</v>
      </c>
      <c r="K33" s="349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96" t="s">
        <v>2329</v>
      </c>
      <c r="K34" s="349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01">
        <v>1</v>
      </c>
      <c r="K36" s="350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01"/>
      <c r="K37" s="350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01"/>
      <c r="K38" s="350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01"/>
      <c r="K39" s="350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01"/>
      <c r="K40" s="350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1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估价对象为北京市房地产，为所有。根据《国有土地使用证》[]，估价对象（分摊）出让国有建设用地使用权面积为10084.67平方米，建筑面积为31274.16平方米。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估价对象为北京市房地产,属开发建设的，该项目尚在开发建设中。根据《国有土地使用证》[]，估价对象（分摊）出让国有建设用地使用权面积为10084.67平方米，规划建筑面积为31274.16平方米。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M39" sqref="M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3633</v>
      </c>
      <c r="D1" s="1271" t="s">
        <v>43</v>
      </c>
      <c r="E1" s="1272" t="s">
        <v>678</v>
      </c>
      <c r="F1" s="999">
        <f ca="1">J53</f>
        <v>38.520000000000003</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14143</v>
      </c>
      <c r="C2" s="1289" t="s">
        <v>805</v>
      </c>
      <c r="D2" s="1289"/>
      <c r="E2" s="1295"/>
      <c r="F2" s="1296"/>
      <c r="G2" s="2479"/>
      <c r="H2" s="2469"/>
      <c r="I2" s="2469"/>
      <c r="J2" s="2469"/>
      <c r="K2" s="2470"/>
      <c r="L2" s="2469"/>
      <c r="M2" s="2469"/>
    </row>
    <row r="3" spans="1:37" ht="18" customHeight="1" thickBot="1">
      <c r="A3" s="1297" t="s">
        <v>806</v>
      </c>
      <c r="B3" s="1298">
        <f ca="1">IF(ISERROR(B2*10000/F43),0,ROUND(B2*10000/F43,0))</f>
        <v>36547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764</v>
      </c>
      <c r="D5" s="1273" t="s">
        <v>693</v>
      </c>
      <c r="E5" s="1008"/>
      <c r="F5" s="1009"/>
      <c r="G5" s="1292"/>
      <c r="H5" s="291">
        <v>1</v>
      </c>
      <c r="I5" s="292" t="s">
        <v>692</v>
      </c>
      <c r="J5" s="1007">
        <f ca="1">J6+J10+J12</f>
        <v>0</v>
      </c>
      <c r="K5" s="1273" t="s">
        <v>693</v>
      </c>
      <c r="L5" s="1008"/>
      <c r="M5" s="1009"/>
    </row>
    <row r="6" spans="1:37" ht="18" customHeight="1">
      <c r="A6" s="1006" t="s">
        <v>398</v>
      </c>
      <c r="B6" s="3491" t="s">
        <v>694</v>
      </c>
      <c r="C6" s="1011">
        <f ca="1">ROUND(F6*F8*F7*(1-F9)/10000,0)</f>
        <v>763</v>
      </c>
      <c r="D6" s="147" t="s">
        <v>2109</v>
      </c>
      <c r="E6" s="294" t="s">
        <v>696</v>
      </c>
      <c r="F6" s="295">
        <f ca="1">INDIRECT("'数据-取费表'!u"&amp;$G$1)</f>
        <v>6</v>
      </c>
      <c r="G6" s="1292"/>
      <c r="H6" s="1006" t="s">
        <v>398</v>
      </c>
      <c r="I6" s="3491" t="s">
        <v>694</v>
      </c>
      <c r="J6" s="293">
        <f ca="1">ROUND(M6*M8*M7*(1-M9)/10000,0)</f>
        <v>0</v>
      </c>
      <c r="K6" s="147" t="s">
        <v>2108</v>
      </c>
      <c r="L6" s="294" t="s">
        <v>696</v>
      </c>
      <c r="M6" s="295">
        <f ca="1">INDIRECT("'数据-取费表'!z"&amp;$G$1)</f>
        <v>0</v>
      </c>
    </row>
    <row r="7" spans="1:37" ht="18" customHeight="1">
      <c r="A7" s="1010"/>
      <c r="B7" s="3492"/>
      <c r="C7" s="1012"/>
      <c r="D7" s="299"/>
      <c r="E7" s="1013" t="s">
        <v>697</v>
      </c>
      <c r="F7" s="295">
        <f ca="1">IF(INDIRECT("'数据-取费表'!ah"&amp;$G$1)="",INDIRECT("'数据-取费表'!k"&amp;$G$1),INDIRECT("'数据-取费表'!ah"&amp;$G$1))</f>
        <v>3869.79</v>
      </c>
      <c r="G7" s="1292"/>
      <c r="H7" s="296"/>
      <c r="I7" s="3492"/>
      <c r="J7" s="298"/>
      <c r="K7" s="299"/>
      <c r="L7" s="294" t="s">
        <v>697</v>
      </c>
      <c r="M7" s="295">
        <f ca="1">F7</f>
        <v>3869.79</v>
      </c>
    </row>
    <row r="8" spans="1:37" ht="18" customHeight="1">
      <c r="A8" s="296"/>
      <c r="B8" s="3492"/>
      <c r="C8" s="298"/>
      <c r="D8" s="299"/>
      <c r="E8" s="294" t="s">
        <v>698</v>
      </c>
      <c r="F8" s="295">
        <f ca="1">INDIRECT("'数据-取费表'!ai"&amp;$G$1)</f>
        <v>365</v>
      </c>
      <c r="G8" s="1292"/>
      <c r="H8" s="296"/>
      <c r="I8" s="3492"/>
      <c r="J8" s="298"/>
      <c r="K8" s="299"/>
      <c r="L8" s="294" t="s">
        <v>698</v>
      </c>
      <c r="M8" s="295">
        <f ca="1">INDIRECT("'数据-取费表'!ai"&amp;$G$1)</f>
        <v>365</v>
      </c>
    </row>
    <row r="9" spans="1:37" ht="18" customHeight="1">
      <c r="A9" s="296"/>
      <c r="B9" s="3493"/>
      <c r="C9" s="298"/>
      <c r="D9" s="299"/>
      <c r="E9" s="294" t="s">
        <v>699</v>
      </c>
      <c r="F9" s="304">
        <f ca="1">INDIRECT("'数据-取费表'!w"&amp;$G$1)</f>
        <v>0.1</v>
      </c>
      <c r="G9" s="1292"/>
      <c r="H9" s="296"/>
      <c r="I9" s="3493"/>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3475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2464</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1857</v>
      </c>
      <c r="D14" s="1257" t="s">
        <v>708</v>
      </c>
      <c r="E14" s="1255"/>
      <c r="F14" s="311"/>
      <c r="G14" s="1292"/>
      <c r="H14" s="928" t="s">
        <v>398</v>
      </c>
      <c r="I14" s="294" t="s">
        <v>709</v>
      </c>
      <c r="J14" s="21">
        <f ca="1">C29</f>
        <v>2768</v>
      </c>
      <c r="K14" s="12"/>
      <c r="L14" s="759"/>
      <c r="M14" s="760"/>
    </row>
    <row r="15" spans="1:37" s="1304" customFormat="1" ht="18" customHeight="1" thickBot="1">
      <c r="A15" s="928" t="s">
        <v>399</v>
      </c>
      <c r="B15" s="294" t="s">
        <v>710</v>
      </c>
      <c r="C15" s="21">
        <f ca="1">ROUND(C14*F15,0)</f>
        <v>93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77</v>
      </c>
      <c r="D17" s="294" t="s">
        <v>717</v>
      </c>
      <c r="E17" s="294" t="s">
        <v>718</v>
      </c>
      <c r="F17" s="23">
        <f>'数据-取费表'!B35</f>
        <v>200</v>
      </c>
      <c r="G17" s="1303"/>
      <c r="H17" s="928" t="s">
        <v>398</v>
      </c>
      <c r="I17" s="294" t="s">
        <v>719</v>
      </c>
      <c r="J17" s="2140">
        <f ca="1">ROUND(IF(AND(项目基本情况!B11="自然人",项目基本情况!B10="北京市"),J6*M17/(1+'数据-取费表'!C42),J18+J19+J20),2)</f>
        <v>1.5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2064</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62</v>
      </c>
      <c r="D20" s="315" t="s">
        <v>729</v>
      </c>
      <c r="E20" s="294" t="s">
        <v>712</v>
      </c>
      <c r="F20" s="314">
        <f>'数据-取费表'!B37</f>
        <v>0.03</v>
      </c>
      <c r="G20" s="1303"/>
      <c r="H20" s="928" t="s">
        <v>680</v>
      </c>
      <c r="I20" s="147" t="s">
        <v>730</v>
      </c>
      <c r="J20" s="22">
        <f ca="1">ROUND(M20*M21/10000,2)</f>
        <v>1.5</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1247.8499999999999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27.68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319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2768</v>
      </c>
      <c r="D29" s="1029"/>
      <c r="E29" s="1027"/>
      <c r="F29" s="1030"/>
      <c r="G29" s="1303"/>
      <c r="H29" s="325" t="s">
        <v>396</v>
      </c>
      <c r="I29" s="326" t="s">
        <v>768</v>
      </c>
      <c r="J29" s="327">
        <f ca="1">ROUND(J26/(1+F40)^F41,0)</f>
        <v>0</v>
      </c>
      <c r="K29" s="328" t="s">
        <v>769</v>
      </c>
      <c r="L29" s="329"/>
      <c r="M29" s="330">
        <f ca="1">INDIRECT("'数据-取费表'!k"&amp;$G$1)</f>
        <v>3869.79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129.38999999999999</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40.69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87.2</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1.5</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1247.8499999999999</v>
      </c>
      <c r="G35" s="1292"/>
      <c r="H35" s="2471"/>
      <c r="I35" s="1305"/>
      <c r="J35" s="1306"/>
      <c r="K35" s="2475"/>
      <c r="L35" s="2474"/>
      <c r="M35" s="2474"/>
    </row>
    <row r="36" spans="1:18" ht="18" customHeight="1">
      <c r="A36" s="1039" t="s">
        <v>402</v>
      </c>
      <c r="B36" s="294" t="s">
        <v>738</v>
      </c>
      <c r="C36" s="21">
        <f ca="1">ROUND(C29*F36,2)</f>
        <v>27.68</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3.7</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19.100000000000001</v>
      </c>
      <c r="D38" s="1029" t="s">
        <v>748</v>
      </c>
      <c r="E38" s="1027" t="s">
        <v>712</v>
      </c>
      <c r="F38" s="1023">
        <f ca="1">INDIRECT("'数据-取费表'!Am"&amp;$G$1)</f>
        <v>2.5000000000000001E-2</v>
      </c>
      <c r="G38" s="1292"/>
      <c r="H38" s="2474"/>
      <c r="I38" s="1305"/>
      <c r="J38" s="1306"/>
      <c r="K38" s="2472"/>
      <c r="L38" s="2474"/>
      <c r="M38" s="2474"/>
    </row>
    <row r="39" spans="1:18" ht="24.6" customHeight="1" thickTop="1">
      <c r="A39" s="1016" t="s">
        <v>394</v>
      </c>
      <c r="B39" s="1031" t="s">
        <v>752</v>
      </c>
      <c r="C39" s="302">
        <f ca="1">C5-C30</f>
        <v>584</v>
      </c>
      <c r="D39" s="1032" t="s">
        <v>753</v>
      </c>
      <c r="E39" s="1033"/>
      <c r="F39" s="1034"/>
      <c r="G39" s="1292"/>
      <c r="H39" s="2474"/>
      <c r="I39" s="1305"/>
      <c r="J39" s="1306"/>
      <c r="K39" s="2472"/>
      <c r="L39" s="2474"/>
      <c r="M39" s="2474"/>
    </row>
    <row r="40" spans="1:18" ht="18" customHeight="1">
      <c r="A40" s="291" t="s">
        <v>395</v>
      </c>
      <c r="B40" s="292" t="s">
        <v>774</v>
      </c>
      <c r="C40" s="293">
        <f ca="1">ROUND(C39*(1-((1+F42)/(1+F40))^F41)/(F40-F42),0)</f>
        <v>14086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36400</v>
      </c>
      <c r="D43" s="328" t="s">
        <v>777</v>
      </c>
      <c r="E43" s="329" t="s">
        <v>778</v>
      </c>
      <c r="F43" s="330">
        <f ca="1">INDIRECT("'数据-取费表'!k"&amp;$G$1)</f>
        <v>3869.79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-14610</v>
      </c>
      <c r="D46" s="1313" t="str">
        <f>C2</f>
        <v>万元</v>
      </c>
      <c r="E46" s="1307"/>
      <c r="F46" s="1307"/>
      <c r="I46" s="1314" t="s">
        <v>810</v>
      </c>
      <c r="J46" s="1315"/>
      <c r="K46" s="1316"/>
      <c r="L46" s="1317">
        <f ca="1">IF(M47="住宅",0,IF(L48&gt;J51,L60,J60))</f>
        <v>57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3472</v>
      </c>
      <c r="K47" s="1323" t="s">
        <v>816</v>
      </c>
      <c r="L47" s="1324">
        <f ca="1">INDIRECT("'数据-取费表'!d"&amp;$G$1)</f>
        <v>50</v>
      </c>
      <c r="M47" s="1288" t="str">
        <f>IF(ISNUMBER(FIND("住宅",C1)),"住宅","非住宅")</f>
        <v>非住宅</v>
      </c>
      <c r="O47" s="1325" t="s">
        <v>403</v>
      </c>
      <c r="P47" s="1326" t="s">
        <v>817</v>
      </c>
      <c r="Q47" s="1327">
        <f ca="1">C40+J29</f>
        <v>14086</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38.520000000000003</v>
      </c>
      <c r="O48" s="1325" t="s">
        <v>404</v>
      </c>
      <c r="P48" s="1326" t="s">
        <v>821</v>
      </c>
      <c r="Q48" s="1327">
        <f ca="1">J60</f>
        <v>57</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2768</v>
      </c>
      <c r="R49" s="1327" t="s">
        <v>818</v>
      </c>
    </row>
    <row r="50" spans="1:18" s="1292" customFormat="1" ht="13.5" thickBot="1">
      <c r="A50" s="922"/>
      <c r="B50" s="925"/>
      <c r="C50" s="1055"/>
      <c r="D50" s="899"/>
      <c r="E50" s="993" t="s">
        <v>697</v>
      </c>
      <c r="F50" s="994">
        <f ca="1">F7</f>
        <v>3869.79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7352</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89" t="s">
        <v>837</v>
      </c>
      <c r="L53" s="3490"/>
      <c r="O53" s="1325" t="s">
        <v>409</v>
      </c>
      <c r="P53" s="1326" t="s">
        <v>838</v>
      </c>
      <c r="Q53" s="1327">
        <f ca="1">Q47+Q48</f>
        <v>14143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2464</v>
      </c>
      <c r="D56" s="1352"/>
      <c r="E56" s="1353"/>
      <c r="F56" s="1345"/>
      <c r="I56" s="1354" t="s">
        <v>842</v>
      </c>
      <c r="J56" s="1355" t="s">
        <v>3474</v>
      </c>
      <c r="K56" s="1328" t="s">
        <v>843</v>
      </c>
      <c r="L56" s="1331" t="str">
        <f ca="1">IF(L48&lt;J51,"——",L48-J53)</f>
        <v>——</v>
      </c>
      <c r="O56" s="1325" t="s">
        <v>403</v>
      </c>
      <c r="P56" s="1326" t="s">
        <v>817</v>
      </c>
      <c r="Q56" s="1327">
        <f ca="1">C40+J29</f>
        <v>14086</v>
      </c>
      <c r="R56" s="1327" t="s">
        <v>818</v>
      </c>
    </row>
    <row r="57" spans="1:18" s="1292" customFormat="1" ht="24.75" thickBot="1">
      <c r="A57" s="1356"/>
      <c r="B57" s="896" t="s">
        <v>767</v>
      </c>
      <c r="C57" s="230">
        <f ca="1">C29</f>
        <v>2768</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1.5</v>
      </c>
      <c r="D62" s="911" t="s">
        <v>731</v>
      </c>
      <c r="E62" s="896" t="s">
        <v>732</v>
      </c>
      <c r="F62" s="317">
        <f t="shared" si="0"/>
        <v>12</v>
      </c>
      <c r="I62" s="1367" t="s">
        <v>858</v>
      </c>
      <c r="J62" s="610" t="s">
        <v>859</v>
      </c>
      <c r="K62" s="610" t="s">
        <v>860</v>
      </c>
      <c r="L62" s="610" t="s">
        <v>861</v>
      </c>
      <c r="M62" s="1368" t="s">
        <v>862</v>
      </c>
      <c r="O62" s="1325" t="s">
        <v>409</v>
      </c>
      <c r="P62" s="1326" t="s">
        <v>838</v>
      </c>
      <c r="Q62" s="1327">
        <f ca="1">Q56+Q57</f>
        <v>14086</v>
      </c>
      <c r="R62" s="1327" t="s">
        <v>410</v>
      </c>
    </row>
    <row r="63" spans="1:18" s="1292" customFormat="1" ht="13.5" thickBot="1">
      <c r="A63" s="318"/>
      <c r="B63" s="902"/>
      <c r="C63" s="26"/>
      <c r="D63" s="912"/>
      <c r="E63" s="896" t="s">
        <v>736</v>
      </c>
      <c r="F63" s="295">
        <f t="shared" ca="1" si="0"/>
        <v>1247.8499999999999</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27.68</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3.7</v>
      </c>
      <c r="D65" s="910" t="s">
        <v>743</v>
      </c>
      <c r="E65" s="896" t="s">
        <v>712</v>
      </c>
      <c r="F65" s="321">
        <f t="shared" ca="1" si="0"/>
        <v>1.5E-3</v>
      </c>
      <c r="I65" s="1367" t="s">
        <v>867</v>
      </c>
      <c r="J65" s="610">
        <v>40</v>
      </c>
      <c r="K65" s="610">
        <v>30</v>
      </c>
      <c r="L65" s="610">
        <v>50</v>
      </c>
      <c r="M65" s="1369">
        <v>0.02</v>
      </c>
      <c r="O65" s="1325" t="s">
        <v>403</v>
      </c>
      <c r="P65" s="1326" t="s">
        <v>817</v>
      </c>
      <c r="Q65" s="1327">
        <f ca="1">C40+J29</f>
        <v>14086</v>
      </c>
      <c r="R65" s="1327" t="s">
        <v>818</v>
      </c>
    </row>
    <row r="66" spans="1:18" s="1292" customFormat="1" ht="16.5" thickBot="1">
      <c r="A66" s="928" t="s">
        <v>793</v>
      </c>
      <c r="B66" s="896" t="s">
        <v>728</v>
      </c>
      <c r="C66" s="21">
        <f ca="1">ROUND(C48*F66,2)</f>
        <v>0</v>
      </c>
      <c r="D66" s="910" t="s">
        <v>748</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-33</v>
      </c>
      <c r="D67" s="909" t="s">
        <v>753</v>
      </c>
      <c r="E67" s="914"/>
      <c r="F67" s="915"/>
      <c r="O67" s="1334" t="s">
        <v>405</v>
      </c>
      <c r="P67" s="1326" t="s">
        <v>850</v>
      </c>
      <c r="Q67" s="1370">
        <f ca="1">L51</f>
        <v>7352</v>
      </c>
      <c r="R67" s="1327" t="s">
        <v>870</v>
      </c>
    </row>
    <row r="68" spans="1:18" s="1292" customFormat="1" ht="16.5" thickBot="1">
      <c r="A68" s="893" t="s">
        <v>395</v>
      </c>
      <c r="B68" s="894" t="s">
        <v>774</v>
      </c>
      <c r="C68" s="293">
        <f ca="1">ROUND(C67*(1-((1+F70)/(1+F68))^F69)/(F68-F70),0)</f>
        <v>-524</v>
      </c>
      <c r="D68" s="911" t="s">
        <v>758</v>
      </c>
      <c r="E68" s="896" t="s">
        <v>759</v>
      </c>
      <c r="F68" s="304">
        <f ca="1">F40</f>
        <v>5.5E-2</v>
      </c>
      <c r="O68" s="1334" t="s">
        <v>406</v>
      </c>
      <c r="P68" s="1371" t="s">
        <v>871</v>
      </c>
      <c r="Q68" s="1327">
        <f ca="1">ROUND(Q69-Q70*Q71,0)</f>
        <v>399</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584</v>
      </c>
      <c r="R69" s="1327" t="s">
        <v>818</v>
      </c>
    </row>
    <row r="70" spans="1:18" s="1292" customFormat="1" ht="13.5" thickBot="1">
      <c r="A70" s="900"/>
      <c r="B70" s="901"/>
      <c r="C70" s="302"/>
      <c r="D70" s="912"/>
      <c r="E70" s="896" t="s">
        <v>766</v>
      </c>
      <c r="F70" s="991"/>
      <c r="O70" s="1334" t="s">
        <v>412</v>
      </c>
      <c r="P70" s="1371" t="s">
        <v>873</v>
      </c>
      <c r="Q70" s="1327">
        <f ca="1">C13</f>
        <v>2464</v>
      </c>
      <c r="R70" s="1327" t="s">
        <v>818</v>
      </c>
    </row>
    <row r="71" spans="1:18" s="1292" customFormat="1" ht="13.5" thickBot="1">
      <c r="A71" s="917" t="s">
        <v>396</v>
      </c>
      <c r="B71" s="918" t="s">
        <v>776</v>
      </c>
      <c r="C71" s="327">
        <f ca="1">ROUND(C68*10000/F71,0)</f>
        <v>-1354</v>
      </c>
      <c r="D71" s="919" t="s">
        <v>777</v>
      </c>
      <c r="E71" s="920" t="s">
        <v>778</v>
      </c>
      <c r="F71" s="330">
        <f ca="1">F43</f>
        <v>3869.79</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185</v>
      </c>
      <c r="D75" s="1292"/>
      <c r="E75" s="1292"/>
      <c r="F75" s="1292"/>
      <c r="K75" s="1309"/>
      <c r="L75" s="1292"/>
      <c r="O75" s="1325" t="s">
        <v>409</v>
      </c>
      <c r="P75" s="1326" t="s">
        <v>838</v>
      </c>
      <c r="Q75" s="1327">
        <f ca="1">Q65+Q66</f>
        <v>14086</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0.68300000000000005</v>
      </c>
    </row>
    <row r="80" spans="1:18">
      <c r="B80" s="331" t="s">
        <v>800</v>
      </c>
      <c r="C80" s="266">
        <f ca="1">ROUND(C75/C39,3)</f>
        <v>0.317</v>
      </c>
    </row>
    <row r="81" spans="2:3">
      <c r="B81" s="262" t="s">
        <v>801</v>
      </c>
      <c r="C81" s="230"/>
    </row>
    <row r="82" spans="2:3">
      <c r="B82" s="265" t="s">
        <v>802</v>
      </c>
      <c r="C82" s="267">
        <f ca="1">1-C83</f>
        <v>0.82499999999999996</v>
      </c>
    </row>
    <row r="83" spans="2:3">
      <c r="B83" s="265" t="s">
        <v>803</v>
      </c>
      <c r="C83" s="266">
        <f ca="1">ROUND(C13/C40,3)</f>
        <v>0.17499999999999999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3334</v>
      </c>
      <c r="D1" s="1271" t="s">
        <v>43</v>
      </c>
      <c r="E1" s="1272" t="s">
        <v>678</v>
      </c>
      <c r="F1" s="999">
        <f ca="1">J53</f>
        <v>38.520000000000003</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2322</v>
      </c>
      <c r="C2" s="1289" t="s">
        <v>805</v>
      </c>
      <c r="D2" s="1289"/>
      <c r="E2" s="1295"/>
      <c r="F2" s="1296"/>
      <c r="G2" s="2479"/>
      <c r="H2" s="2469"/>
      <c r="I2" s="2469"/>
      <c r="J2" s="2469"/>
      <c r="K2" s="2470"/>
      <c r="L2" s="2469"/>
      <c r="M2" s="2469"/>
    </row>
    <row r="3" spans="1:37" ht="18" customHeight="1" thickBot="1">
      <c r="A3" s="1297" t="s">
        <v>806</v>
      </c>
      <c r="B3" s="1298">
        <f ca="1">IF(ISERROR(B2*10000/F43),0,ROUND(B2*10000/F43,0))</f>
        <v>15636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122</v>
      </c>
      <c r="D5" s="1273" t="s">
        <v>693</v>
      </c>
      <c r="E5" s="1008"/>
      <c r="F5" s="1009"/>
      <c r="G5" s="1292"/>
      <c r="H5" s="291">
        <v>1</v>
      </c>
      <c r="I5" s="292" t="s">
        <v>692</v>
      </c>
      <c r="J5" s="1007">
        <f ca="1">J6+J10+J12</f>
        <v>0</v>
      </c>
      <c r="K5" s="1273" t="s">
        <v>693</v>
      </c>
      <c r="L5" s="1008"/>
      <c r="M5" s="1009"/>
    </row>
    <row r="6" spans="1:37" ht="18" customHeight="1">
      <c r="A6" s="1006" t="s">
        <v>398</v>
      </c>
      <c r="B6" s="3491" t="s">
        <v>694</v>
      </c>
      <c r="C6" s="1011">
        <f ca="1">ROUND(F6*F8*F7*(1-F9)/10000,0)</f>
        <v>122</v>
      </c>
      <c r="D6" s="147" t="s">
        <v>2109</v>
      </c>
      <c r="E6" s="294" t="s">
        <v>696</v>
      </c>
      <c r="F6" s="295">
        <f ca="1">INDIRECT("'数据-取费表'!u"&amp;$G$1)</f>
        <v>2.5</v>
      </c>
      <c r="G6" s="1292"/>
      <c r="H6" s="1006" t="s">
        <v>398</v>
      </c>
      <c r="I6" s="3491" t="s">
        <v>694</v>
      </c>
      <c r="J6" s="293">
        <f ca="1">ROUND(M6*M8*M7*(1-M9)/10000,0)</f>
        <v>0</v>
      </c>
      <c r="K6" s="147" t="s">
        <v>2108</v>
      </c>
      <c r="L6" s="294" t="s">
        <v>696</v>
      </c>
      <c r="M6" s="295">
        <f ca="1">INDIRECT("'数据-取费表'!z"&amp;$G$1)</f>
        <v>0</v>
      </c>
    </row>
    <row r="7" spans="1:37" ht="18" customHeight="1">
      <c r="A7" s="1010"/>
      <c r="B7" s="3492"/>
      <c r="C7" s="1012"/>
      <c r="D7" s="299"/>
      <c r="E7" s="1013" t="s">
        <v>697</v>
      </c>
      <c r="F7" s="295">
        <f ca="1">IF(INDIRECT("'数据-取费表'!ah"&amp;$G$1)="",INDIRECT("'数据-取费表'!k"&amp;$G$1),INDIRECT("'数据-取费表'!ah"&amp;$G$1))</f>
        <v>1484.9900000000002</v>
      </c>
      <c r="G7" s="1292"/>
      <c r="H7" s="296"/>
      <c r="I7" s="3492"/>
      <c r="J7" s="298"/>
      <c r="K7" s="299"/>
      <c r="L7" s="294" t="s">
        <v>697</v>
      </c>
      <c r="M7" s="295">
        <f ca="1">F7</f>
        <v>1484.9900000000002</v>
      </c>
    </row>
    <row r="8" spans="1:37" ht="18" customHeight="1">
      <c r="A8" s="296"/>
      <c r="B8" s="3492"/>
      <c r="C8" s="298"/>
      <c r="D8" s="299"/>
      <c r="E8" s="294" t="s">
        <v>698</v>
      </c>
      <c r="F8" s="295">
        <f ca="1">INDIRECT("'数据-取费表'!ai"&amp;$G$1)</f>
        <v>365</v>
      </c>
      <c r="G8" s="1292"/>
      <c r="H8" s="296"/>
      <c r="I8" s="3492"/>
      <c r="J8" s="298"/>
      <c r="K8" s="299"/>
      <c r="L8" s="294" t="s">
        <v>698</v>
      </c>
      <c r="M8" s="295">
        <f ca="1">INDIRECT("'数据-取费表'!ai"&amp;$G$1)</f>
        <v>365</v>
      </c>
    </row>
    <row r="9" spans="1:37" ht="18" customHeight="1">
      <c r="A9" s="296"/>
      <c r="B9" s="3493"/>
      <c r="C9" s="298"/>
      <c r="D9" s="299"/>
      <c r="E9" s="294" t="s">
        <v>699</v>
      </c>
      <c r="F9" s="304">
        <f ca="1">INDIRECT("'数据-取费表'!w"&amp;$G$1)</f>
        <v>0.1</v>
      </c>
      <c r="G9" s="1292"/>
      <c r="H9" s="296"/>
      <c r="I9" s="349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3475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864</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713</v>
      </c>
      <c r="D14" s="1257" t="s">
        <v>708</v>
      </c>
      <c r="E14" s="1255"/>
      <c r="F14" s="311"/>
      <c r="G14" s="1292"/>
      <c r="H14" s="928" t="s">
        <v>398</v>
      </c>
      <c r="I14" s="294" t="s">
        <v>709</v>
      </c>
      <c r="J14" s="21">
        <f ca="1">C29</f>
        <v>971</v>
      </c>
      <c r="K14" s="12"/>
      <c r="L14" s="759"/>
      <c r="M14" s="760"/>
    </row>
    <row r="15" spans="1:37" s="1304" customFormat="1" ht="18" customHeight="1" thickBot="1">
      <c r="A15" s="928" t="s">
        <v>399</v>
      </c>
      <c r="B15" s="294" t="s">
        <v>710</v>
      </c>
      <c r="C15" s="21">
        <f ca="1">ROUND(C14*F15,0)</f>
        <v>36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10</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0.56999999999999995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793</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v>
      </c>
      <c r="D20" s="315" t="s">
        <v>729</v>
      </c>
      <c r="E20" s="294" t="s">
        <v>712</v>
      </c>
      <c r="F20" s="314">
        <f>'数据-取费表'!B37</f>
        <v>0.03</v>
      </c>
      <c r="G20" s="1303"/>
      <c r="H20" s="928" t="s">
        <v>680</v>
      </c>
      <c r="I20" s="147" t="s">
        <v>730</v>
      </c>
      <c r="J20" s="22">
        <f ca="1">ROUND(M20*M21/10000,2)</f>
        <v>0.56999999999999995</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478.85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9.7100000000000009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-10</v>
      </c>
      <c r="K25" s="1032" t="s">
        <v>753</v>
      </c>
      <c r="L25" s="1033"/>
      <c r="M25" s="1034"/>
    </row>
    <row r="26" spans="1:37">
      <c r="A26" s="928" t="s">
        <v>397</v>
      </c>
      <c r="B26" s="294" t="s">
        <v>754</v>
      </c>
      <c r="C26" s="21">
        <f ca="1">ROUND((C19+C20)*F26,0)</f>
        <v>41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971</v>
      </c>
      <c r="D29" s="1029"/>
      <c r="E29" s="1027"/>
      <c r="F29" s="1030"/>
      <c r="G29" s="1303"/>
      <c r="H29" s="325" t="s">
        <v>396</v>
      </c>
      <c r="I29" s="326" t="s">
        <v>768</v>
      </c>
      <c r="J29" s="327">
        <f ca="1">ROUND(J26/(1+F40)^F41,0)</f>
        <v>0</v>
      </c>
      <c r="K29" s="328" t="s">
        <v>769</v>
      </c>
      <c r="L29" s="329"/>
      <c r="M29" s="330">
        <f ca="1">INDIRECT("'数据-取费表'!k"&amp;$G$1)</f>
        <v>1484.9900000000002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21.02</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6.51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13.94</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0.56999999999999995</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478.85</v>
      </c>
      <c r="G35" s="1292"/>
      <c r="H35" s="2471"/>
      <c r="I35" s="1305"/>
      <c r="J35" s="1306"/>
      <c r="K35" s="2475"/>
      <c r="L35" s="2474"/>
      <c r="M35" s="2474"/>
    </row>
    <row r="36" spans="1:18" ht="18" customHeight="1">
      <c r="A36" s="1039" t="s">
        <v>402</v>
      </c>
      <c r="B36" s="294" t="s">
        <v>738</v>
      </c>
      <c r="C36" s="21">
        <f ca="1">ROUND(C29*F36,2)</f>
        <v>9.7100000000000009</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1.3</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1.83</v>
      </c>
      <c r="D38" s="1029" t="s">
        <v>748</v>
      </c>
      <c r="E38" s="1027" t="s">
        <v>712</v>
      </c>
      <c r="F38" s="1023">
        <f ca="1">INDIRECT("'数据-取费表'!Am"&amp;$G$1)</f>
        <v>1.4999999999999999E-2</v>
      </c>
      <c r="G38" s="1292"/>
      <c r="H38" s="2474"/>
      <c r="I38" s="1305"/>
      <c r="J38" s="1306"/>
      <c r="K38" s="2472"/>
      <c r="L38" s="2474"/>
      <c r="M38" s="2474"/>
    </row>
    <row r="39" spans="1:18" ht="24.6" customHeight="1" thickTop="1">
      <c r="A39" s="1016" t="s">
        <v>394</v>
      </c>
      <c r="B39" s="1031" t="s">
        <v>752</v>
      </c>
      <c r="C39" s="302">
        <f ca="1">C5-C30</f>
        <v>88</v>
      </c>
      <c r="D39" s="1032" t="s">
        <v>753</v>
      </c>
      <c r="E39" s="1033"/>
      <c r="F39" s="1034"/>
      <c r="G39" s="1292"/>
      <c r="H39" s="2474"/>
      <c r="I39" s="1305"/>
      <c r="J39" s="1306"/>
      <c r="K39" s="2472"/>
      <c r="L39" s="2474"/>
      <c r="M39" s="2474"/>
    </row>
    <row r="40" spans="1:18" ht="18" customHeight="1">
      <c r="A40" s="291" t="s">
        <v>395</v>
      </c>
      <c r="B40" s="292" t="s">
        <v>774</v>
      </c>
      <c r="C40" s="293">
        <f ca="1">ROUND(C39*(1-((1+F42)/(1+F40))^F41)/(F40-F42),0)</f>
        <v>2302</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15502</v>
      </c>
      <c r="D43" s="328" t="s">
        <v>777</v>
      </c>
      <c r="E43" s="329" t="s">
        <v>778</v>
      </c>
      <c r="F43" s="330">
        <f ca="1">INDIRECT("'数据-取费表'!k"&amp;$G$1)</f>
        <v>1484.9900000000002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-2505</v>
      </c>
      <c r="D46" s="1313" t="str">
        <f>C2</f>
        <v>万元</v>
      </c>
      <c r="E46" s="1307"/>
      <c r="F46" s="1307"/>
      <c r="I46" s="1314" t="s">
        <v>810</v>
      </c>
      <c r="J46" s="1315"/>
      <c r="K46" s="1316"/>
      <c r="L46" s="1317">
        <f ca="1">IF(M47="住宅",0,IF(L48&gt;J51,L60,J60))</f>
        <v>20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3472</v>
      </c>
      <c r="K47" s="1323" t="s">
        <v>816</v>
      </c>
      <c r="L47" s="1324">
        <f ca="1">INDIRECT("'数据-取费表'!d"&amp;$G$1)</f>
        <v>50</v>
      </c>
      <c r="M47" s="1288" t="str">
        <f>IF(ISNUMBER(FIND("住宅",C1)),"住宅","非住宅")</f>
        <v>非住宅</v>
      </c>
      <c r="O47" s="1325" t="s">
        <v>403</v>
      </c>
      <c r="P47" s="1326" t="s">
        <v>817</v>
      </c>
      <c r="Q47" s="1327">
        <f ca="1">C40+J29</f>
        <v>2302</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38.520000000000003</v>
      </c>
      <c r="O48" s="1325" t="s">
        <v>404</v>
      </c>
      <c r="P48" s="1326" t="s">
        <v>821</v>
      </c>
      <c r="Q48" s="1327">
        <f ca="1">J60</f>
        <v>20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971</v>
      </c>
      <c r="R49" s="1327" t="s">
        <v>818</v>
      </c>
    </row>
    <row r="50" spans="1:18" s="1292" customFormat="1" ht="13.5" thickBot="1">
      <c r="A50" s="922"/>
      <c r="B50" s="925"/>
      <c r="C50" s="1055"/>
      <c r="D50" s="899"/>
      <c r="E50" s="993" t="s">
        <v>697</v>
      </c>
      <c r="F50" s="994">
        <f ca="1">F7</f>
        <v>1484.9900000000002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463</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89" t="s">
        <v>837</v>
      </c>
      <c r="L53" s="3490"/>
      <c r="O53" s="1325" t="s">
        <v>409</v>
      </c>
      <c r="P53" s="1326" t="s">
        <v>838</v>
      </c>
      <c r="Q53" s="1327">
        <f ca="1">Q47+Q48</f>
        <v>2322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864</v>
      </c>
      <c r="D56" s="1352"/>
      <c r="E56" s="1353"/>
      <c r="F56" s="1345"/>
      <c r="I56" s="1354" t="s">
        <v>842</v>
      </c>
      <c r="J56" s="1355" t="s">
        <v>3474</v>
      </c>
      <c r="K56" s="1328" t="s">
        <v>843</v>
      </c>
      <c r="L56" s="1331" t="str">
        <f ca="1">IF(L48&lt;J51,"——",L48-J53)</f>
        <v>——</v>
      </c>
      <c r="O56" s="1325" t="s">
        <v>403</v>
      </c>
      <c r="P56" s="1326" t="s">
        <v>817</v>
      </c>
      <c r="Q56" s="1327">
        <f ca="1">C40+J29</f>
        <v>2302</v>
      </c>
      <c r="R56" s="1327" t="s">
        <v>818</v>
      </c>
    </row>
    <row r="57" spans="1:18" s="1292" customFormat="1" ht="24.75" thickBot="1">
      <c r="A57" s="1356"/>
      <c r="B57" s="896" t="s">
        <v>767</v>
      </c>
      <c r="C57" s="230">
        <f ca="1">C29</f>
        <v>971</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0.56999999999999995</v>
      </c>
      <c r="D62" s="911" t="s">
        <v>731</v>
      </c>
      <c r="E62" s="896" t="s">
        <v>732</v>
      </c>
      <c r="F62" s="317">
        <f t="shared" si="0"/>
        <v>12</v>
      </c>
      <c r="I62" s="1367" t="s">
        <v>858</v>
      </c>
      <c r="J62" s="610" t="s">
        <v>859</v>
      </c>
      <c r="K62" s="610" t="s">
        <v>860</v>
      </c>
      <c r="L62" s="610" t="s">
        <v>861</v>
      </c>
      <c r="M62" s="1368" t="s">
        <v>862</v>
      </c>
      <c r="O62" s="1325" t="s">
        <v>409</v>
      </c>
      <c r="P62" s="1326" t="s">
        <v>838</v>
      </c>
      <c r="Q62" s="1327">
        <f ca="1">Q56+Q57</f>
        <v>2302</v>
      </c>
      <c r="R62" s="1327" t="s">
        <v>410</v>
      </c>
    </row>
    <row r="63" spans="1:18" s="1292" customFormat="1" ht="13.5" thickBot="1">
      <c r="A63" s="318"/>
      <c r="B63" s="902"/>
      <c r="C63" s="26"/>
      <c r="D63" s="912"/>
      <c r="E63" s="896" t="s">
        <v>736</v>
      </c>
      <c r="F63" s="295">
        <f t="shared" ca="1" si="0"/>
        <v>478.85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9.7100000000000009</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v>
      </c>
      <c r="D65" s="910" t="s">
        <v>743</v>
      </c>
      <c r="E65" s="896" t="s">
        <v>712</v>
      </c>
      <c r="F65" s="321">
        <f t="shared" ca="1" si="0"/>
        <v>1.5E-3</v>
      </c>
      <c r="I65" s="1367" t="s">
        <v>867</v>
      </c>
      <c r="J65" s="610">
        <v>40</v>
      </c>
      <c r="K65" s="610">
        <v>30</v>
      </c>
      <c r="L65" s="610">
        <v>50</v>
      </c>
      <c r="M65" s="1369">
        <v>0.02</v>
      </c>
      <c r="O65" s="1325" t="s">
        <v>403</v>
      </c>
      <c r="P65" s="1326" t="s">
        <v>817</v>
      </c>
      <c r="Q65" s="1327">
        <f ca="1">C40+J29</f>
        <v>2302</v>
      </c>
      <c r="R65" s="1327" t="s">
        <v>818</v>
      </c>
    </row>
    <row r="66" spans="1:18" s="1292" customFormat="1" ht="16.5" thickBot="1">
      <c r="A66" s="928" t="s">
        <v>793</v>
      </c>
      <c r="B66" s="896" t="s">
        <v>728</v>
      </c>
      <c r="C66" s="21">
        <f ca="1">ROUND(C48*F66,2)</f>
        <v>0</v>
      </c>
      <c r="D66" s="910" t="s">
        <v>748</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-12</v>
      </c>
      <c r="D67" s="909" t="s">
        <v>753</v>
      </c>
      <c r="E67" s="914"/>
      <c r="F67" s="915"/>
      <c r="O67" s="1334" t="s">
        <v>405</v>
      </c>
      <c r="P67" s="1326" t="s">
        <v>850</v>
      </c>
      <c r="Q67" s="1370">
        <f ca="1">L51</f>
        <v>463</v>
      </c>
      <c r="R67" s="1327" t="s">
        <v>870</v>
      </c>
    </row>
    <row r="68" spans="1:18" s="1292" customFormat="1" ht="16.5" thickBot="1">
      <c r="A68" s="893" t="s">
        <v>395</v>
      </c>
      <c r="B68" s="894" t="s">
        <v>774</v>
      </c>
      <c r="C68" s="293">
        <f ca="1">ROUND(C67*(1-((1+F70)/(1+F68))^F69)/(F68-F70),0)</f>
        <v>-203</v>
      </c>
      <c r="D68" s="911" t="s">
        <v>758</v>
      </c>
      <c r="E68" s="896" t="s">
        <v>759</v>
      </c>
      <c r="F68" s="304">
        <f ca="1">F40</f>
        <v>0.05</v>
      </c>
      <c r="O68" s="1334" t="s">
        <v>406</v>
      </c>
      <c r="P68" s="1371" t="s">
        <v>871</v>
      </c>
      <c r="Q68" s="1327">
        <f ca="1">ROUND(Q69-Q70*Q71,0)</f>
        <v>23</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88</v>
      </c>
      <c r="R69" s="1327" t="s">
        <v>818</v>
      </c>
    </row>
    <row r="70" spans="1:18" s="1292" customFormat="1" ht="13.5" thickBot="1">
      <c r="A70" s="900"/>
      <c r="B70" s="901"/>
      <c r="C70" s="302"/>
      <c r="D70" s="912"/>
      <c r="E70" s="896" t="s">
        <v>766</v>
      </c>
      <c r="F70" s="991"/>
      <c r="O70" s="1334" t="s">
        <v>412</v>
      </c>
      <c r="P70" s="1371" t="s">
        <v>873</v>
      </c>
      <c r="Q70" s="1327">
        <f ca="1">C13</f>
        <v>864</v>
      </c>
      <c r="R70" s="1327" t="s">
        <v>818</v>
      </c>
    </row>
    <row r="71" spans="1:18" s="1292" customFormat="1" ht="13.5" thickBot="1">
      <c r="A71" s="917" t="s">
        <v>396</v>
      </c>
      <c r="B71" s="918" t="s">
        <v>776</v>
      </c>
      <c r="C71" s="327">
        <f ca="1">ROUND(C68*10000/F71,0)</f>
        <v>-1367</v>
      </c>
      <c r="D71" s="919" t="s">
        <v>777</v>
      </c>
      <c r="E71" s="920" t="s">
        <v>778</v>
      </c>
      <c r="F71" s="330">
        <f ca="1">F43</f>
        <v>1484.9900000000002</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65</v>
      </c>
      <c r="D75" s="1292"/>
      <c r="E75" s="1292"/>
      <c r="F75" s="1292"/>
      <c r="K75" s="1309"/>
      <c r="L75" s="1292"/>
      <c r="O75" s="1325" t="s">
        <v>409</v>
      </c>
      <c r="P75" s="1326" t="s">
        <v>838</v>
      </c>
      <c r="Q75" s="1327">
        <f ca="1">Q65+Q66</f>
        <v>2302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0.26100000000000001</v>
      </c>
    </row>
    <row r="80" spans="1:18">
      <c r="B80" s="331" t="s">
        <v>800</v>
      </c>
      <c r="C80" s="266">
        <f ca="1">ROUND(C75/C39,3)</f>
        <v>0.73899999999999999</v>
      </c>
    </row>
    <row r="81" spans="2:3">
      <c r="B81" s="262" t="s">
        <v>801</v>
      </c>
      <c r="C81" s="230"/>
    </row>
    <row r="82" spans="2:3">
      <c r="B82" s="265" t="s">
        <v>802</v>
      </c>
      <c r="C82" s="267">
        <f ca="1">1-C83</f>
        <v>0.625</v>
      </c>
    </row>
    <row r="83" spans="2:3">
      <c r="B83" s="265" t="s">
        <v>803</v>
      </c>
      <c r="C83" s="266">
        <f ca="1">ROUND(C13/C40,3)</f>
        <v>0.375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128779</v>
      </c>
      <c r="C2" s="1729" t="s">
        <v>1651</v>
      </c>
      <c r="D2" s="1730" t="s">
        <v>1652</v>
      </c>
      <c r="E2" s="2393">
        <f>SUM(E6:E13)</f>
        <v>31274.160000000003</v>
      </c>
      <c r="F2" s="2480"/>
      <c r="G2" s="459"/>
      <c r="H2" s="459"/>
      <c r="I2" s="459"/>
      <c r="J2" s="459"/>
      <c r="K2" s="459"/>
      <c r="L2" s="459"/>
      <c r="M2" s="459"/>
      <c r="N2" s="459"/>
      <c r="O2" s="459"/>
      <c r="P2" s="459"/>
      <c r="Q2" s="459"/>
      <c r="R2" s="459"/>
      <c r="S2" s="459"/>
    </row>
    <row r="3" spans="1:22" ht="15.75">
      <c r="A3" s="1728" t="s">
        <v>686</v>
      </c>
      <c r="B3" s="2387">
        <f ca="1">ROUND(B2*10000/E2,0)</f>
        <v>41177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13" t="s">
        <v>1654</v>
      </c>
      <c r="C5" s="351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112314</v>
      </c>
      <c r="C6" s="1729" t="s">
        <v>1651</v>
      </c>
      <c r="D6" s="2480"/>
      <c r="E6" s="2392">
        <f>IF(OR(A6=0,F6="否"),0,'数据-取费表'!K6+'数据-取费表'!S6)</f>
        <v>25919.38</v>
      </c>
      <c r="F6" s="1732" t="s">
        <v>1657</v>
      </c>
      <c r="G6" s="459"/>
      <c r="H6" s="459"/>
      <c r="I6" s="459"/>
      <c r="J6" s="459"/>
      <c r="K6" s="459"/>
      <c r="L6" s="459"/>
      <c r="M6" s="459"/>
      <c r="N6" s="459"/>
      <c r="O6" s="459"/>
      <c r="P6" s="459"/>
      <c r="Q6" s="459"/>
      <c r="R6" s="459"/>
      <c r="S6" s="459"/>
    </row>
    <row r="7" spans="1:22">
      <c r="A7" s="2390" t="str">
        <f>'数据-取费表'!AN7</f>
        <v>收益法仓储</v>
      </c>
      <c r="B7" s="2388">
        <f ca="1">IF(F7="是",'数据-取费表'!AO7,0)</f>
        <v>14143</v>
      </c>
      <c r="C7" s="1729" t="s">
        <v>1651</v>
      </c>
      <c r="D7" s="2480"/>
      <c r="E7" s="2392">
        <f>IF(OR(A7=0,F7="否"),0,'数据-取费表'!K7+'数据-取费表'!S7)</f>
        <v>3869.79</v>
      </c>
      <c r="F7" s="1732" t="s">
        <v>1657</v>
      </c>
      <c r="G7" s="459"/>
      <c r="H7" s="459"/>
      <c r="I7" s="459"/>
      <c r="J7" s="459"/>
      <c r="K7" s="459"/>
      <c r="L7" s="459"/>
      <c r="M7" s="459"/>
      <c r="N7" s="459"/>
      <c r="O7" s="459"/>
      <c r="P7" s="459"/>
      <c r="Q7" s="459"/>
      <c r="R7" s="459"/>
      <c r="S7" s="459"/>
    </row>
    <row r="8" spans="1:22">
      <c r="A8" s="2390" t="str">
        <f>'数据-取费表'!AN8</f>
        <v>收益法仓储 (2)</v>
      </c>
      <c r="B8" s="2388">
        <f ca="1">IF(F8="是",'数据-取费表'!AO8,0)</f>
        <v>2322</v>
      </c>
      <c r="C8" s="1729" t="s">
        <v>1651</v>
      </c>
      <c r="D8" s="2480"/>
      <c r="E8" s="2392">
        <f>IF(OR(A8=0,F8="否"),0,'数据-取费表'!K8+'数据-取费表'!S8)</f>
        <v>1484.9900000000002</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31274.160000000003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59" t="s">
        <v>1667</v>
      </c>
      <c r="D4" s="3460"/>
      <c r="E4" s="3461" t="s">
        <v>1668</v>
      </c>
      <c r="F4" s="3462"/>
      <c r="G4" s="3459" t="s">
        <v>1669</v>
      </c>
      <c r="H4" s="3460"/>
      <c r="I4" s="3459" t="s">
        <v>1670</v>
      </c>
      <c r="J4" s="3460"/>
      <c r="K4" s="1744" t="s">
        <v>1671</v>
      </c>
      <c r="L4" s="2487"/>
      <c r="M4" s="2488"/>
      <c r="N4" s="2488"/>
      <c r="O4" s="2488"/>
      <c r="P4" s="3520" t="s">
        <v>1672</v>
      </c>
      <c r="Q4" s="3521"/>
      <c r="R4" s="3516" t="s">
        <v>1668</v>
      </c>
      <c r="S4" s="3517"/>
      <c r="T4" s="3516" t="s">
        <v>1669</v>
      </c>
      <c r="U4" s="3517"/>
      <c r="V4" s="3472" t="s">
        <v>1670</v>
      </c>
      <c r="W4" s="3472"/>
      <c r="X4" s="1265"/>
      <c r="Y4" s="3516" t="s">
        <v>1672</v>
      </c>
      <c r="Z4" s="3517"/>
      <c r="AA4" s="3515" t="s">
        <v>1668</v>
      </c>
      <c r="AB4" s="3515" t="s">
        <v>1669</v>
      </c>
      <c r="AC4" s="3515" t="s">
        <v>1670</v>
      </c>
    </row>
    <row r="5" spans="1:29" ht="15">
      <c r="A5" s="348"/>
      <c r="B5" s="349"/>
      <c r="C5" s="3447" t="s">
        <v>1673</v>
      </c>
      <c r="D5" s="3448"/>
      <c r="E5" s="3518" t="s">
        <v>1674</v>
      </c>
      <c r="F5" s="3446"/>
      <c r="G5" s="3447" t="s">
        <v>1675</v>
      </c>
      <c r="H5" s="3448"/>
      <c r="I5" s="3447" t="s">
        <v>1676</v>
      </c>
      <c r="J5" s="3448"/>
      <c r="K5" s="1745"/>
      <c r="L5" s="2487"/>
      <c r="M5" s="2488"/>
      <c r="N5" s="2488"/>
      <c r="O5" s="2488"/>
      <c r="P5" s="3522"/>
      <c r="Q5" s="3466"/>
      <c r="R5" s="3443"/>
      <c r="S5" s="3444"/>
      <c r="T5" s="3443"/>
      <c r="U5" s="3444"/>
      <c r="V5" s="3472"/>
      <c r="W5" s="3472"/>
      <c r="X5" s="1265"/>
      <c r="Y5" s="3443"/>
      <c r="Z5" s="3444"/>
      <c r="AA5" s="3437"/>
      <c r="AB5" s="3437"/>
      <c r="AC5" s="3437"/>
    </row>
    <row r="6" spans="1:29" ht="15.75" thickBot="1">
      <c r="A6" s="350"/>
      <c r="B6" s="351"/>
      <c r="C6" s="3449" t="s">
        <v>1677</v>
      </c>
      <c r="D6" s="3450"/>
      <c r="E6" s="3519" t="s">
        <v>1677</v>
      </c>
      <c r="F6" s="3453"/>
      <c r="G6" s="3449" t="s">
        <v>1677</v>
      </c>
      <c r="H6" s="3450"/>
      <c r="I6" s="3449" t="s">
        <v>1677</v>
      </c>
      <c r="J6" s="3450"/>
      <c r="K6" s="1745" t="s">
        <v>1678</v>
      </c>
      <c r="L6" s="2487"/>
      <c r="M6" s="2488"/>
      <c r="N6" s="2488"/>
      <c r="O6" s="2488"/>
      <c r="P6" s="3523"/>
      <c r="Q6" s="3468"/>
      <c r="R6" s="3443"/>
      <c r="S6" s="3444"/>
      <c r="T6" s="3469"/>
      <c r="U6" s="3470"/>
      <c r="V6" s="3472"/>
      <c r="W6" s="3472"/>
      <c r="X6" s="1265"/>
      <c r="Y6" s="3469"/>
      <c r="Z6" s="3470"/>
      <c r="AA6" s="3438"/>
      <c r="AB6" s="3438"/>
      <c r="AC6" s="3438"/>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9" t="s">
        <v>1680</v>
      </c>
      <c r="Q7" s="3475"/>
      <c r="R7" s="664" t="s">
        <v>20</v>
      </c>
      <c r="S7" s="665">
        <f t="shared" ref="S7:S15" si="0">F7</f>
        <v>0</v>
      </c>
      <c r="T7" s="664" t="s">
        <v>20</v>
      </c>
      <c r="U7" s="665">
        <f t="shared" ref="U7:U15" si="1">H7</f>
        <v>0</v>
      </c>
      <c r="V7" s="664" t="s">
        <v>20</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9" t="s">
        <v>1683</v>
      </c>
      <c r="Q8" s="3440"/>
      <c r="R8" s="664" t="s">
        <v>20</v>
      </c>
      <c r="S8" s="665">
        <f t="shared" si="0"/>
        <v>100</v>
      </c>
      <c r="T8" s="664" t="s">
        <v>20</v>
      </c>
      <c r="U8" s="665">
        <f t="shared" si="1"/>
        <v>100</v>
      </c>
      <c r="V8" s="664" t="s">
        <v>20</v>
      </c>
      <c r="W8" s="665">
        <f t="shared" si="2"/>
        <v>100</v>
      </c>
      <c r="X8" s="666"/>
      <c r="Y8" s="3439" t="s">
        <v>1683</v>
      </c>
      <c r="Z8" s="344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9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5"/>
      <c r="Q11" s="530" t="str">
        <f t="shared" si="6"/>
        <v>容积率</v>
      </c>
      <c r="R11" s="664" t="s">
        <v>18</v>
      </c>
      <c r="S11" s="665" t="e">
        <f t="shared" si="0"/>
        <v>#N/A</v>
      </c>
      <c r="T11" s="664" t="s">
        <v>18</v>
      </c>
      <c r="U11" s="665" t="e">
        <f t="shared" si="1"/>
        <v>#N/A</v>
      </c>
      <c r="V11" s="664" t="s">
        <v>18</v>
      </c>
      <c r="W11" s="665" t="e">
        <f t="shared" si="2"/>
        <v>#N/A</v>
      </c>
      <c r="X11" s="666"/>
      <c r="Y11" s="339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5"/>
      <c r="Q12" s="530">
        <f t="shared" si="6"/>
        <v>111</v>
      </c>
      <c r="R12" s="664" t="s">
        <v>18</v>
      </c>
      <c r="S12" s="665">
        <f t="shared" si="0"/>
        <v>100</v>
      </c>
      <c r="T12" s="664" t="s">
        <v>18</v>
      </c>
      <c r="U12" s="665">
        <f t="shared" si="1"/>
        <v>100</v>
      </c>
      <c r="V12" s="664" t="s">
        <v>18</v>
      </c>
      <c r="W12" s="665">
        <f t="shared" si="2"/>
        <v>100</v>
      </c>
      <c r="X12" s="666"/>
      <c r="Y12" s="33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5"/>
      <c r="Q13" s="530">
        <f t="shared" si="6"/>
        <v>111</v>
      </c>
      <c r="R13" s="664" t="s">
        <v>18</v>
      </c>
      <c r="S13" s="665">
        <f t="shared" si="0"/>
        <v>100</v>
      </c>
      <c r="T13" s="664" t="s">
        <v>18</v>
      </c>
      <c r="U13" s="665">
        <f t="shared" si="1"/>
        <v>100</v>
      </c>
      <c r="V13" s="664" t="s">
        <v>18</v>
      </c>
      <c r="W13" s="665">
        <f t="shared" si="2"/>
        <v>100</v>
      </c>
      <c r="X13" s="666"/>
      <c r="Y13" s="339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5"/>
      <c r="Q14" s="530">
        <f t="shared" si="6"/>
        <v>111</v>
      </c>
      <c r="R14" s="664" t="s">
        <v>18</v>
      </c>
      <c r="S14" s="665">
        <f t="shared" si="0"/>
        <v>100</v>
      </c>
      <c r="T14" s="664" t="s">
        <v>18</v>
      </c>
      <c r="U14" s="665">
        <f t="shared" si="1"/>
        <v>100</v>
      </c>
      <c r="V14" s="664" t="s">
        <v>18</v>
      </c>
      <c r="W14" s="665">
        <f t="shared" si="2"/>
        <v>100</v>
      </c>
      <c r="X14" s="666"/>
      <c r="Y14" s="339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76" t="s">
        <v>1691</v>
      </c>
      <c r="Q15" s="1263" t="str">
        <f t="shared" si="6"/>
        <v>居住社区成熟度</v>
      </c>
      <c r="R15" s="667" t="s">
        <v>18</v>
      </c>
      <c r="S15" s="668">
        <f t="shared" si="0"/>
        <v>100</v>
      </c>
      <c r="T15" s="667" t="s">
        <v>18</v>
      </c>
      <c r="U15" s="668">
        <f t="shared" si="1"/>
        <v>100</v>
      </c>
      <c r="V15" s="667" t="s">
        <v>18</v>
      </c>
      <c r="W15" s="668">
        <f t="shared" si="2"/>
        <v>100</v>
      </c>
      <c r="X15" s="1265"/>
      <c r="Y15" s="34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77"/>
      <c r="Q16" s="1263"/>
      <c r="R16" s="667"/>
      <c r="S16" s="668"/>
      <c r="T16" s="667"/>
      <c r="U16" s="668"/>
      <c r="V16" s="667"/>
      <c r="W16" s="668"/>
      <c r="X16" s="1265"/>
      <c r="Y16" s="347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77"/>
      <c r="Q17" s="1263" t="str">
        <f>B17</f>
        <v>交通便捷度</v>
      </c>
      <c r="R17" s="667" t="s">
        <v>18</v>
      </c>
      <c r="S17" s="668">
        <f>F17</f>
        <v>100</v>
      </c>
      <c r="T17" s="667" t="s">
        <v>18</v>
      </c>
      <c r="U17" s="668">
        <f>H17</f>
        <v>100</v>
      </c>
      <c r="V17" s="667" t="s">
        <v>18</v>
      </c>
      <c r="W17" s="668">
        <f>J17</f>
        <v>100</v>
      </c>
      <c r="X17" s="1265"/>
      <c r="Y17" s="34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77"/>
      <c r="Q18" s="1263"/>
      <c r="R18" s="667"/>
      <c r="S18" s="668"/>
      <c r="T18" s="667"/>
      <c r="U18" s="668"/>
      <c r="V18" s="667"/>
      <c r="W18" s="668"/>
      <c r="X18" s="1265"/>
      <c r="Y18" s="347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77"/>
      <c r="Q19" s="1263" t="str">
        <f>B19</f>
        <v>公共配套设施</v>
      </c>
      <c r="R19" s="667" t="s">
        <v>18</v>
      </c>
      <c r="S19" s="668">
        <f>F19</f>
        <v>100</v>
      </c>
      <c r="T19" s="667" t="s">
        <v>18</v>
      </c>
      <c r="U19" s="668">
        <f>H19</f>
        <v>100</v>
      </c>
      <c r="V19" s="667" t="s">
        <v>18</v>
      </c>
      <c r="W19" s="668">
        <f>J19</f>
        <v>100</v>
      </c>
      <c r="X19" s="1265"/>
      <c r="Y19" s="34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77"/>
      <c r="Q20" s="1263"/>
      <c r="R20" s="667"/>
      <c r="S20" s="668"/>
      <c r="T20" s="667"/>
      <c r="U20" s="668"/>
      <c r="V20" s="667"/>
      <c r="W20" s="668"/>
      <c r="X20" s="1265"/>
      <c r="Y20" s="347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77"/>
      <c r="Q21" s="1263" t="str">
        <f>B21</f>
        <v>基础设施水平</v>
      </c>
      <c r="R21" s="667" t="s">
        <v>14</v>
      </c>
      <c r="S21" s="668">
        <f>F21</f>
        <v>100</v>
      </c>
      <c r="T21" s="667" t="s">
        <v>14</v>
      </c>
      <c r="U21" s="668">
        <f>H21</f>
        <v>100</v>
      </c>
      <c r="V21" s="667" t="s">
        <v>14</v>
      </c>
      <c r="W21" s="668">
        <f>J21</f>
        <v>100</v>
      </c>
      <c r="X21" s="1265"/>
      <c r="Y21" s="34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77"/>
      <c r="Q22" s="1263"/>
      <c r="R22" s="667"/>
      <c r="S22" s="668"/>
      <c r="T22" s="667"/>
      <c r="U22" s="668"/>
      <c r="V22" s="667"/>
      <c r="W22" s="668"/>
      <c r="X22" s="1265"/>
      <c r="Y22" s="347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77"/>
      <c r="Q23" s="1263" t="str">
        <f>B23</f>
        <v>自然及人文环境</v>
      </c>
      <c r="R23" s="667" t="s">
        <v>18</v>
      </c>
      <c r="S23" s="668">
        <f>F23</f>
        <v>100</v>
      </c>
      <c r="T23" s="667" t="s">
        <v>18</v>
      </c>
      <c r="U23" s="668">
        <f>H23</f>
        <v>100</v>
      </c>
      <c r="V23" s="667" t="s">
        <v>18</v>
      </c>
      <c r="W23" s="668">
        <f>J23</f>
        <v>100</v>
      </c>
      <c r="X23" s="1265"/>
      <c r="Y23" s="34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77"/>
      <c r="Q24" s="1263"/>
      <c r="R24" s="667"/>
      <c r="S24" s="668"/>
      <c r="T24" s="667"/>
      <c r="U24" s="668"/>
      <c r="V24" s="667"/>
      <c r="W24" s="668"/>
      <c r="X24" s="1265"/>
      <c r="Y24" s="34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77"/>
      <c r="Q26" s="1263" t="str">
        <f t="shared" si="11"/>
        <v>朝向</v>
      </c>
      <c r="R26" s="667" t="s">
        <v>18</v>
      </c>
      <c r="S26" s="668">
        <f t="shared" si="12"/>
        <v>100</v>
      </c>
      <c r="T26" s="667" t="s">
        <v>18</v>
      </c>
      <c r="U26" s="668">
        <f t="shared" si="13"/>
        <v>100</v>
      </c>
      <c r="V26" s="667" t="s">
        <v>18</v>
      </c>
      <c r="W26" s="668">
        <f t="shared" si="14"/>
        <v>100</v>
      </c>
      <c r="X26" s="1265"/>
      <c r="Y26" s="34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77"/>
      <c r="Q27" s="530">
        <f t="shared" si="11"/>
        <v>111</v>
      </c>
      <c r="R27" s="664" t="s">
        <v>18</v>
      </c>
      <c r="S27" s="665">
        <f t="shared" si="12"/>
        <v>100</v>
      </c>
      <c r="T27" s="664" t="s">
        <v>18</v>
      </c>
      <c r="U27" s="665">
        <f t="shared" si="13"/>
        <v>100</v>
      </c>
      <c r="V27" s="664" t="s">
        <v>18</v>
      </c>
      <c r="W27" s="665">
        <f t="shared" si="14"/>
        <v>100</v>
      </c>
      <c r="X27" s="666"/>
      <c r="Y27" s="34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77"/>
      <c r="Q28" s="1263">
        <f t="shared" si="11"/>
        <v>111</v>
      </c>
      <c r="R28" s="667" t="s">
        <v>18</v>
      </c>
      <c r="S28" s="668">
        <f t="shared" si="12"/>
        <v>100</v>
      </c>
      <c r="T28" s="667" t="s">
        <v>18</v>
      </c>
      <c r="U28" s="668">
        <f t="shared" si="13"/>
        <v>100</v>
      </c>
      <c r="V28" s="667" t="s">
        <v>18</v>
      </c>
      <c r="W28" s="668">
        <f t="shared" si="14"/>
        <v>100</v>
      </c>
      <c r="X28" s="1265"/>
      <c r="Y28" s="34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77"/>
      <c r="Q29" s="1263">
        <f t="shared" si="11"/>
        <v>111</v>
      </c>
      <c r="R29" s="667" t="s">
        <v>18</v>
      </c>
      <c r="S29" s="668">
        <f t="shared" si="12"/>
        <v>100</v>
      </c>
      <c r="T29" s="667" t="s">
        <v>18</v>
      </c>
      <c r="U29" s="668">
        <f t="shared" si="13"/>
        <v>100</v>
      </c>
      <c r="V29" s="667" t="s">
        <v>18</v>
      </c>
      <c r="W29" s="668">
        <f t="shared" si="14"/>
        <v>100</v>
      </c>
      <c r="X29" s="1265"/>
      <c r="Y29" s="34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77"/>
      <c r="Q30" s="1263">
        <f t="shared" si="11"/>
        <v>111</v>
      </c>
      <c r="R30" s="667" t="s">
        <v>18</v>
      </c>
      <c r="S30" s="668">
        <f t="shared" si="12"/>
        <v>100</v>
      </c>
      <c r="T30" s="667" t="s">
        <v>18</v>
      </c>
      <c r="U30" s="668">
        <f t="shared" si="13"/>
        <v>100</v>
      </c>
      <c r="V30" s="667" t="s">
        <v>18</v>
      </c>
      <c r="W30" s="668">
        <f t="shared" si="14"/>
        <v>100</v>
      </c>
      <c r="X30" s="1265"/>
      <c r="Y30" s="347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77"/>
      <c r="Q31" s="1263">
        <f t="shared" si="11"/>
        <v>111</v>
      </c>
      <c r="R31" s="667" t="s">
        <v>18</v>
      </c>
      <c r="S31" s="668">
        <f t="shared" si="12"/>
        <v>100</v>
      </c>
      <c r="T31" s="667" t="s">
        <v>18</v>
      </c>
      <c r="U31" s="668">
        <f t="shared" si="13"/>
        <v>100</v>
      </c>
      <c r="V31" s="667" t="s">
        <v>18</v>
      </c>
      <c r="W31" s="668">
        <f t="shared" si="14"/>
        <v>100</v>
      </c>
      <c r="X31" s="1265"/>
      <c r="Y31" s="34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80" t="s">
        <v>1696</v>
      </c>
      <c r="Q32" s="1263" t="str">
        <f t="shared" si="11"/>
        <v>建筑类型</v>
      </c>
      <c r="R32" s="667" t="s">
        <v>18</v>
      </c>
      <c r="S32" s="668">
        <f t="shared" si="12"/>
        <v>100</v>
      </c>
      <c r="T32" s="667" t="s">
        <v>18</v>
      </c>
      <c r="U32" s="668">
        <f t="shared" si="13"/>
        <v>100</v>
      </c>
      <c r="V32" s="667" t="s">
        <v>18</v>
      </c>
      <c r="W32" s="668">
        <f t="shared" si="14"/>
        <v>100</v>
      </c>
      <c r="X32" s="1265"/>
      <c r="Y32" s="348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81"/>
      <c r="Q33" s="531" t="str">
        <f t="shared" si="11"/>
        <v>项目建筑规模</v>
      </c>
      <c r="R33" s="669" t="s">
        <v>18</v>
      </c>
      <c r="S33" s="670" t="e">
        <f t="shared" si="12"/>
        <v>#N/A</v>
      </c>
      <c r="T33" s="669" t="s">
        <v>18</v>
      </c>
      <c r="U33" s="670" t="e">
        <f t="shared" si="13"/>
        <v>#N/A</v>
      </c>
      <c r="V33" s="669" t="s">
        <v>18</v>
      </c>
      <c r="W33" s="670" t="e">
        <f t="shared" si="14"/>
        <v>#N/A</v>
      </c>
      <c r="X33" s="671"/>
      <c r="Y33" s="348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81"/>
      <c r="Q34" s="1263" t="str">
        <f t="shared" si="11"/>
        <v>建筑结构</v>
      </c>
      <c r="R34" s="667" t="s">
        <v>18</v>
      </c>
      <c r="S34" s="668">
        <f t="shared" si="12"/>
        <v>100</v>
      </c>
      <c r="T34" s="667" t="s">
        <v>18</v>
      </c>
      <c r="U34" s="668">
        <f t="shared" si="13"/>
        <v>100</v>
      </c>
      <c r="V34" s="667" t="s">
        <v>18</v>
      </c>
      <c r="W34" s="668">
        <f t="shared" si="14"/>
        <v>100</v>
      </c>
      <c r="X34" s="1265"/>
      <c r="Y34" s="348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81"/>
      <c r="Q35" s="1263" t="str">
        <f t="shared" si="11"/>
        <v>建筑品质</v>
      </c>
      <c r="R35" s="667" t="s">
        <v>18</v>
      </c>
      <c r="S35" s="668">
        <f t="shared" si="12"/>
        <v>100</v>
      </c>
      <c r="T35" s="667" t="s">
        <v>18</v>
      </c>
      <c r="U35" s="668">
        <f t="shared" si="13"/>
        <v>100</v>
      </c>
      <c r="V35" s="667" t="s">
        <v>18</v>
      </c>
      <c r="W35" s="668">
        <f t="shared" si="14"/>
        <v>100</v>
      </c>
      <c r="X35" s="1265"/>
      <c r="Y35" s="348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81"/>
      <c r="Q36" s="1263" t="str">
        <f t="shared" si="11"/>
        <v>公共部分装修</v>
      </c>
      <c r="R36" s="667" t="s">
        <v>18</v>
      </c>
      <c r="S36" s="668">
        <f t="shared" si="12"/>
        <v>100</v>
      </c>
      <c r="T36" s="667" t="s">
        <v>18</v>
      </c>
      <c r="U36" s="668">
        <f t="shared" si="13"/>
        <v>100</v>
      </c>
      <c r="V36" s="667" t="s">
        <v>18</v>
      </c>
      <c r="W36" s="668">
        <f t="shared" si="14"/>
        <v>100</v>
      </c>
      <c r="X36" s="1265"/>
      <c r="Y36" s="348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81"/>
      <c r="Q37" s="530" t="str">
        <f t="shared" si="11"/>
        <v>成新度</v>
      </c>
      <c r="R37" s="664" t="s">
        <v>18</v>
      </c>
      <c r="S37" s="665" t="e">
        <f t="shared" si="12"/>
        <v>#N/A</v>
      </c>
      <c r="T37" s="664" t="s">
        <v>18</v>
      </c>
      <c r="U37" s="665" t="e">
        <f t="shared" si="13"/>
        <v>#N/A</v>
      </c>
      <c r="V37" s="664" t="s">
        <v>18</v>
      </c>
      <c r="W37" s="665" t="e">
        <f t="shared" si="14"/>
        <v>#N/A</v>
      </c>
      <c r="X37" s="666"/>
      <c r="Y37" s="348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81" t="s">
        <v>1696</v>
      </c>
      <c r="Q38" s="1263" t="str">
        <f t="shared" si="11"/>
        <v>物业管理</v>
      </c>
      <c r="R38" s="667" t="s">
        <v>18</v>
      </c>
      <c r="S38" s="668">
        <f t="shared" si="12"/>
        <v>100</v>
      </c>
      <c r="T38" s="667" t="s">
        <v>18</v>
      </c>
      <c r="U38" s="668">
        <f t="shared" si="13"/>
        <v>100</v>
      </c>
      <c r="V38" s="667" t="s">
        <v>18</v>
      </c>
      <c r="W38" s="668">
        <f t="shared" si="14"/>
        <v>100</v>
      </c>
      <c r="X38" s="1265"/>
      <c r="Y38" s="348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81"/>
      <c r="Q39" s="1263" t="str">
        <f t="shared" si="11"/>
        <v>市政基础设施</v>
      </c>
      <c r="R39" s="667" t="s">
        <v>18</v>
      </c>
      <c r="S39" s="668">
        <f t="shared" si="12"/>
        <v>100</v>
      </c>
      <c r="T39" s="667" t="s">
        <v>18</v>
      </c>
      <c r="U39" s="668">
        <f t="shared" si="13"/>
        <v>100</v>
      </c>
      <c r="V39" s="667" t="s">
        <v>18</v>
      </c>
      <c r="W39" s="668">
        <f t="shared" si="14"/>
        <v>100</v>
      </c>
      <c r="X39" s="1265"/>
      <c r="Y39" s="348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81"/>
      <c r="Q40" s="1263" t="str">
        <f t="shared" si="11"/>
        <v>房型</v>
      </c>
      <c r="R40" s="667" t="s">
        <v>18</v>
      </c>
      <c r="S40" s="668">
        <f t="shared" si="12"/>
        <v>100</v>
      </c>
      <c r="T40" s="667" t="s">
        <v>18</v>
      </c>
      <c r="U40" s="668">
        <f t="shared" si="13"/>
        <v>100</v>
      </c>
      <c r="V40" s="667" t="s">
        <v>18</v>
      </c>
      <c r="W40" s="668">
        <f t="shared" si="14"/>
        <v>100</v>
      </c>
      <c r="X40" s="1265"/>
      <c r="Y40" s="348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81"/>
      <c r="Q41" s="531" t="str">
        <f t="shared" si="11"/>
        <v>单套/主力户型建筑面积</v>
      </c>
      <c r="R41" s="669" t="s">
        <v>18</v>
      </c>
      <c r="S41" s="670">
        <f t="shared" si="12"/>
        <v>100</v>
      </c>
      <c r="T41" s="669" t="s">
        <v>18</v>
      </c>
      <c r="U41" s="670">
        <f t="shared" si="13"/>
        <v>100</v>
      </c>
      <c r="V41" s="669" t="s">
        <v>18</v>
      </c>
      <c r="W41" s="670">
        <f t="shared" si="14"/>
        <v>100</v>
      </c>
      <c r="X41" s="671"/>
      <c r="Y41" s="348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81"/>
      <c r="Q42" s="1263" t="str">
        <f t="shared" si="11"/>
        <v>内部装修</v>
      </c>
      <c r="R42" s="667" t="s">
        <v>18</v>
      </c>
      <c r="S42" s="668">
        <f t="shared" si="12"/>
        <v>100</v>
      </c>
      <c r="T42" s="667" t="s">
        <v>18</v>
      </c>
      <c r="U42" s="668">
        <f t="shared" si="13"/>
        <v>100</v>
      </c>
      <c r="V42" s="667" t="s">
        <v>18</v>
      </c>
      <c r="W42" s="668">
        <f t="shared" si="14"/>
        <v>100</v>
      </c>
      <c r="X42" s="1265"/>
      <c r="Y42" s="348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81"/>
      <c r="Q43" s="1263" t="str">
        <f t="shared" si="11"/>
        <v>内部装修维护情况</v>
      </c>
      <c r="R43" s="667" t="s">
        <v>18</v>
      </c>
      <c r="S43" s="668">
        <f t="shared" si="12"/>
        <v>100</v>
      </c>
      <c r="T43" s="667" t="s">
        <v>18</v>
      </c>
      <c r="U43" s="668">
        <f t="shared" si="13"/>
        <v>100</v>
      </c>
      <c r="V43" s="667" t="s">
        <v>18</v>
      </c>
      <c r="W43" s="668">
        <f t="shared" si="14"/>
        <v>100</v>
      </c>
      <c r="X43" s="1265"/>
      <c r="Y43" s="34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81"/>
      <c r="Q44" s="530">
        <f t="shared" si="11"/>
        <v>111</v>
      </c>
      <c r="R44" s="664" t="s">
        <v>18</v>
      </c>
      <c r="S44" s="665">
        <f t="shared" si="12"/>
        <v>100</v>
      </c>
      <c r="T44" s="664" t="s">
        <v>18</v>
      </c>
      <c r="U44" s="665">
        <f t="shared" si="13"/>
        <v>100</v>
      </c>
      <c r="V44" s="664" t="s">
        <v>18</v>
      </c>
      <c r="W44" s="665">
        <f t="shared" si="14"/>
        <v>100</v>
      </c>
      <c r="X44" s="666"/>
      <c r="Y44" s="34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81"/>
      <c r="Q45" s="1263">
        <f t="shared" si="11"/>
        <v>111</v>
      </c>
      <c r="R45" s="667" t="s">
        <v>18</v>
      </c>
      <c r="S45" s="668">
        <f t="shared" si="12"/>
        <v>100</v>
      </c>
      <c r="T45" s="667" t="s">
        <v>18</v>
      </c>
      <c r="U45" s="668">
        <f t="shared" si="13"/>
        <v>100</v>
      </c>
      <c r="V45" s="667" t="s">
        <v>18</v>
      </c>
      <c r="W45" s="668">
        <f t="shared" si="14"/>
        <v>100</v>
      </c>
      <c r="X45" s="1265"/>
      <c r="Y45" s="348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82"/>
      <c r="Q46" s="1263">
        <f t="shared" si="11"/>
        <v>111</v>
      </c>
      <c r="R46" s="667" t="s">
        <v>17</v>
      </c>
      <c r="S46" s="668">
        <f t="shared" si="12"/>
        <v>100</v>
      </c>
      <c r="T46" s="667" t="s">
        <v>17</v>
      </c>
      <c r="U46" s="668">
        <f t="shared" si="13"/>
        <v>100</v>
      </c>
      <c r="V46" s="667" t="s">
        <v>17</v>
      </c>
      <c r="W46" s="668">
        <f t="shared" si="14"/>
        <v>100</v>
      </c>
      <c r="X46" s="1265"/>
      <c r="Y46" s="348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85" t="str">
        <f>A47</f>
        <v>成交单价（元/平方米）</v>
      </c>
      <c r="Q47" s="3485"/>
      <c r="R47" s="3472">
        <f>E47</f>
        <v>0</v>
      </c>
      <c r="S47" s="3472"/>
      <c r="T47" s="3472">
        <f>G47</f>
        <v>0</v>
      </c>
      <c r="U47" s="3472"/>
      <c r="V47" s="3472">
        <f>I47</f>
        <v>0</v>
      </c>
      <c r="W47" s="347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85" t="str">
        <f>A48</f>
        <v>比较价值（元/平方米）</v>
      </c>
      <c r="Q48" s="3485"/>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31274.160000000003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520" t="s">
        <v>1775</v>
      </c>
      <c r="Q4" s="3521"/>
      <c r="R4" s="3516" t="s">
        <v>1771</v>
      </c>
      <c r="S4" s="3517"/>
      <c r="T4" s="3516" t="s">
        <v>1772</v>
      </c>
      <c r="U4" s="3517"/>
      <c r="V4" s="3472" t="s">
        <v>1773</v>
      </c>
      <c r="W4" s="3472"/>
      <c r="X4" s="1265"/>
      <c r="Y4" s="3516" t="s">
        <v>1775</v>
      </c>
      <c r="Z4" s="3517"/>
      <c r="AA4" s="3515" t="s">
        <v>1771</v>
      </c>
      <c r="AB4" s="3472" t="s">
        <v>1772</v>
      </c>
      <c r="AC4" s="3515" t="s">
        <v>1773</v>
      </c>
    </row>
    <row r="5" spans="1:29" ht="15">
      <c r="A5" s="348"/>
      <c r="B5" s="349"/>
      <c r="C5" s="3447" t="s">
        <v>1673</v>
      </c>
      <c r="D5" s="3448"/>
      <c r="E5" s="3518" t="s">
        <v>1674</v>
      </c>
      <c r="F5" s="3446"/>
      <c r="G5" s="3447" t="s">
        <v>1675</v>
      </c>
      <c r="H5" s="3448"/>
      <c r="I5" s="3447" t="s">
        <v>1676</v>
      </c>
      <c r="J5" s="3448"/>
      <c r="K5" s="537"/>
      <c r="L5" s="2487"/>
      <c r="M5" s="2488"/>
      <c r="N5" s="2488"/>
      <c r="O5" s="2488"/>
      <c r="P5" s="3522"/>
      <c r="Q5" s="3466"/>
      <c r="R5" s="3443"/>
      <c r="S5" s="3444"/>
      <c r="T5" s="3443"/>
      <c r="U5" s="3444"/>
      <c r="V5" s="3472"/>
      <c r="W5" s="3472"/>
      <c r="X5" s="1265"/>
      <c r="Y5" s="3443"/>
      <c r="Z5" s="3444"/>
      <c r="AA5" s="3437"/>
      <c r="AB5" s="3472"/>
      <c r="AC5" s="3437"/>
    </row>
    <row r="6" spans="1:29" ht="15.75" thickBot="1">
      <c r="A6" s="350"/>
      <c r="B6" s="351"/>
      <c r="C6" s="3449" t="s">
        <v>1677</v>
      </c>
      <c r="D6" s="3450"/>
      <c r="E6" s="3519" t="s">
        <v>1677</v>
      </c>
      <c r="F6" s="3453"/>
      <c r="G6" s="3449" t="s">
        <v>1677</v>
      </c>
      <c r="H6" s="3450"/>
      <c r="I6" s="3449" t="s">
        <v>1677</v>
      </c>
      <c r="J6" s="3450"/>
      <c r="K6" s="537" t="s">
        <v>1678</v>
      </c>
      <c r="L6" s="2487"/>
      <c r="M6" s="2488"/>
      <c r="N6" s="2488"/>
      <c r="O6" s="2488"/>
      <c r="P6" s="3523"/>
      <c r="Q6" s="3468"/>
      <c r="R6" s="3443"/>
      <c r="S6" s="3444"/>
      <c r="T6" s="3469"/>
      <c r="U6" s="3470"/>
      <c r="V6" s="3472"/>
      <c r="W6" s="3472"/>
      <c r="X6" s="1265"/>
      <c r="Y6" s="3469"/>
      <c r="Z6" s="3470"/>
      <c r="AA6" s="3438"/>
      <c r="AB6" s="3472"/>
      <c r="AC6" s="3438"/>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9" t="s">
        <v>1680</v>
      </c>
      <c r="Q7" s="3475"/>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9" t="s">
        <v>1683</v>
      </c>
      <c r="Q8" s="3440"/>
      <c r="R8" s="664" t="s">
        <v>14</v>
      </c>
      <c r="S8" s="665">
        <f t="shared" si="0"/>
        <v>100</v>
      </c>
      <c r="T8" s="664" t="s">
        <v>14</v>
      </c>
      <c r="U8" s="665">
        <f t="shared" si="1"/>
        <v>100</v>
      </c>
      <c r="V8" s="664" t="s">
        <v>14</v>
      </c>
      <c r="W8" s="665">
        <f t="shared" si="2"/>
        <v>100</v>
      </c>
      <c r="X8" s="666"/>
      <c r="Y8" s="3439" t="s">
        <v>1683</v>
      </c>
      <c r="Z8" s="344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9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5"/>
      <c r="Q11" s="530" t="str">
        <f t="shared" si="6"/>
        <v>容积率</v>
      </c>
      <c r="R11" s="664" t="s">
        <v>14</v>
      </c>
      <c r="S11" s="665" t="e">
        <f t="shared" si="0"/>
        <v>#N/A</v>
      </c>
      <c r="T11" s="664" t="s">
        <v>14</v>
      </c>
      <c r="U11" s="665" t="e">
        <f t="shared" si="1"/>
        <v>#N/A</v>
      </c>
      <c r="V11" s="664" t="s">
        <v>14</v>
      </c>
      <c r="W11" s="665" t="e">
        <f t="shared" si="2"/>
        <v>#N/A</v>
      </c>
      <c r="X11" s="666"/>
      <c r="Y11" s="33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5"/>
      <c r="Q12" s="530">
        <f t="shared" si="6"/>
        <v>111</v>
      </c>
      <c r="R12" s="664" t="s">
        <v>14</v>
      </c>
      <c r="S12" s="665">
        <f t="shared" si="0"/>
        <v>100</v>
      </c>
      <c r="T12" s="664" t="s">
        <v>14</v>
      </c>
      <c r="U12" s="665">
        <f t="shared" si="1"/>
        <v>100</v>
      </c>
      <c r="V12" s="664" t="s">
        <v>14</v>
      </c>
      <c r="W12" s="665">
        <f t="shared" si="2"/>
        <v>100</v>
      </c>
      <c r="X12" s="666"/>
      <c r="Y12" s="33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5"/>
      <c r="Q13" s="530">
        <f t="shared" si="6"/>
        <v>111</v>
      </c>
      <c r="R13" s="664" t="s">
        <v>14</v>
      </c>
      <c r="S13" s="665">
        <f t="shared" si="0"/>
        <v>100</v>
      </c>
      <c r="T13" s="664" t="s">
        <v>14</v>
      </c>
      <c r="U13" s="665">
        <f t="shared" si="1"/>
        <v>100</v>
      </c>
      <c r="V13" s="664" t="s">
        <v>14</v>
      </c>
      <c r="W13" s="665">
        <f t="shared" si="2"/>
        <v>100</v>
      </c>
      <c r="X13" s="666"/>
      <c r="Y13" s="339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5"/>
      <c r="Q14" s="530">
        <f t="shared" si="6"/>
        <v>111</v>
      </c>
      <c r="R14" s="664" t="s">
        <v>14</v>
      </c>
      <c r="S14" s="665">
        <f t="shared" si="0"/>
        <v>100</v>
      </c>
      <c r="T14" s="664" t="s">
        <v>14</v>
      </c>
      <c r="U14" s="665">
        <f t="shared" si="1"/>
        <v>100</v>
      </c>
      <c r="V14" s="664" t="s">
        <v>14</v>
      </c>
      <c r="W14" s="665">
        <f t="shared" si="2"/>
        <v>100</v>
      </c>
      <c r="X14" s="666"/>
      <c r="Y14" s="339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76" t="s">
        <v>1691</v>
      </c>
      <c r="Q15" s="1263" t="str">
        <f t="shared" si="6"/>
        <v>商业繁华度</v>
      </c>
      <c r="R15" s="667" t="s">
        <v>14</v>
      </c>
      <c r="S15" s="668">
        <f t="shared" si="0"/>
        <v>100</v>
      </c>
      <c r="T15" s="667" t="s">
        <v>14</v>
      </c>
      <c r="U15" s="668">
        <f t="shared" si="1"/>
        <v>100</v>
      </c>
      <c r="V15" s="667" t="s">
        <v>14</v>
      </c>
      <c r="W15" s="668">
        <f t="shared" si="2"/>
        <v>100</v>
      </c>
      <c r="X15" s="1265"/>
      <c r="Y15" s="34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77"/>
      <c r="Q16" s="1263"/>
      <c r="R16" s="667"/>
      <c r="S16" s="668"/>
      <c r="T16" s="667"/>
      <c r="U16" s="668"/>
      <c r="V16" s="667"/>
      <c r="W16" s="668"/>
      <c r="X16" s="1265"/>
      <c r="Y16" s="347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77"/>
      <c r="Q17" s="1263" t="str">
        <f>B17</f>
        <v>交通便捷度</v>
      </c>
      <c r="R17" s="667" t="s">
        <v>14</v>
      </c>
      <c r="S17" s="668">
        <f>F17</f>
        <v>100</v>
      </c>
      <c r="T17" s="667" t="s">
        <v>14</v>
      </c>
      <c r="U17" s="668">
        <f>H17</f>
        <v>100</v>
      </c>
      <c r="V17" s="667" t="s">
        <v>14</v>
      </c>
      <c r="W17" s="668">
        <f>J17</f>
        <v>100</v>
      </c>
      <c r="X17" s="1265"/>
      <c r="Y17" s="34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77"/>
      <c r="Q18" s="1263"/>
      <c r="R18" s="667"/>
      <c r="S18" s="668"/>
      <c r="T18" s="667"/>
      <c r="U18" s="668"/>
      <c r="V18" s="667"/>
      <c r="W18" s="668"/>
      <c r="X18" s="1265"/>
      <c r="Y18" s="347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77"/>
      <c r="Q19" s="1263" t="str">
        <f>B19</f>
        <v>公共配套设施</v>
      </c>
      <c r="R19" s="667" t="s">
        <v>14</v>
      </c>
      <c r="S19" s="668">
        <f>F19</f>
        <v>100</v>
      </c>
      <c r="T19" s="667" t="s">
        <v>14</v>
      </c>
      <c r="U19" s="668">
        <f>H19</f>
        <v>100</v>
      </c>
      <c r="V19" s="667" t="s">
        <v>14</v>
      </c>
      <c r="W19" s="668">
        <f>J19</f>
        <v>100</v>
      </c>
      <c r="X19" s="1265"/>
      <c r="Y19" s="34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77"/>
      <c r="Q20" s="1263"/>
      <c r="R20" s="667"/>
      <c r="S20" s="668"/>
      <c r="T20" s="667"/>
      <c r="U20" s="668"/>
      <c r="V20" s="667"/>
      <c r="W20" s="668"/>
      <c r="X20" s="1265"/>
      <c r="Y20" s="347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77"/>
      <c r="Q21" s="1263" t="str">
        <f>B21</f>
        <v>基础设施水平</v>
      </c>
      <c r="R21" s="667" t="s">
        <v>14</v>
      </c>
      <c r="S21" s="668">
        <f>F21</f>
        <v>100</v>
      </c>
      <c r="T21" s="667" t="s">
        <v>14</v>
      </c>
      <c r="U21" s="668">
        <f>H21</f>
        <v>100</v>
      </c>
      <c r="V21" s="667" t="s">
        <v>14</v>
      </c>
      <c r="W21" s="668">
        <f>J21</f>
        <v>100</v>
      </c>
      <c r="X21" s="1265"/>
      <c r="Y21" s="34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77"/>
      <c r="Q22" s="1263"/>
      <c r="R22" s="667"/>
      <c r="S22" s="668"/>
      <c r="T22" s="667"/>
      <c r="U22" s="668"/>
      <c r="V22" s="667"/>
      <c r="W22" s="668"/>
      <c r="X22" s="1265"/>
      <c r="Y22" s="347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77"/>
      <c r="Q23" s="1263" t="str">
        <f>B23</f>
        <v>自然及人文环境</v>
      </c>
      <c r="R23" s="667" t="s">
        <v>14</v>
      </c>
      <c r="S23" s="668">
        <f>F23</f>
        <v>100</v>
      </c>
      <c r="T23" s="667" t="s">
        <v>14</v>
      </c>
      <c r="U23" s="668">
        <f>H23</f>
        <v>100</v>
      </c>
      <c r="V23" s="667" t="s">
        <v>14</v>
      </c>
      <c r="W23" s="668">
        <f>J23</f>
        <v>100</v>
      </c>
      <c r="X23" s="1265"/>
      <c r="Y23" s="34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77"/>
      <c r="Q24" s="1263"/>
      <c r="R24" s="667"/>
      <c r="S24" s="668"/>
      <c r="T24" s="667"/>
      <c r="U24" s="668"/>
      <c r="V24" s="667"/>
      <c r="W24" s="668"/>
      <c r="X24" s="1265"/>
      <c r="Y24" s="34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77"/>
      <c r="Q25" s="1263" t="str">
        <f t="shared" ref="Q25:Q46" si="11">B25</f>
        <v>临街状况</v>
      </c>
      <c r="R25" s="667" t="s">
        <v>14</v>
      </c>
      <c r="S25" s="668">
        <f>F25</f>
        <v>100</v>
      </c>
      <c r="T25" s="667" t="s">
        <v>14</v>
      </c>
      <c r="U25" s="668">
        <f>H25</f>
        <v>100</v>
      </c>
      <c r="V25" s="667" t="s">
        <v>14</v>
      </c>
      <c r="W25" s="668">
        <f>J25</f>
        <v>100</v>
      </c>
      <c r="X25" s="1265"/>
      <c r="Y25" s="34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77"/>
      <c r="Q26" s="1263" t="str">
        <f t="shared" si="11"/>
        <v>平面位置/可视性</v>
      </c>
      <c r="R26" s="667" t="s">
        <v>14</v>
      </c>
      <c r="S26" s="668">
        <f>F26</f>
        <v>100</v>
      </c>
      <c r="T26" s="667" t="s">
        <v>14</v>
      </c>
      <c r="U26" s="668">
        <f>H26</f>
        <v>100</v>
      </c>
      <c r="V26" s="667" t="s">
        <v>14</v>
      </c>
      <c r="W26" s="668">
        <f>J26</f>
        <v>100</v>
      </c>
      <c r="X26" s="1265"/>
      <c r="Y26" s="34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77"/>
      <c r="Q27" s="530" t="str">
        <f t="shared" si="11"/>
        <v>人流量</v>
      </c>
      <c r="R27" s="664" t="s">
        <v>14</v>
      </c>
      <c r="S27" s="665">
        <f>F27</f>
        <v>100</v>
      </c>
      <c r="T27" s="664" t="s">
        <v>14</v>
      </c>
      <c r="U27" s="665">
        <f>H27</f>
        <v>100</v>
      </c>
      <c r="V27" s="664" t="s">
        <v>14</v>
      </c>
      <c r="W27" s="665">
        <f>J27</f>
        <v>100</v>
      </c>
      <c r="X27" s="666"/>
      <c r="Y27" s="34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77"/>
      <c r="Q29" s="1263">
        <f t="shared" si="11"/>
        <v>111</v>
      </c>
      <c r="R29" s="667" t="s">
        <v>14</v>
      </c>
      <c r="S29" s="668">
        <f t="shared" si="12"/>
        <v>100</v>
      </c>
      <c r="T29" s="667" t="s">
        <v>14</v>
      </c>
      <c r="U29" s="668">
        <f t="shared" si="13"/>
        <v>100</v>
      </c>
      <c r="V29" s="667" t="s">
        <v>14</v>
      </c>
      <c r="W29" s="668">
        <f t="shared" si="14"/>
        <v>100</v>
      </c>
      <c r="X29" s="1265"/>
      <c r="Y29" s="34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77"/>
      <c r="Q30" s="1263">
        <f t="shared" si="11"/>
        <v>111</v>
      </c>
      <c r="R30" s="667" t="s">
        <v>14</v>
      </c>
      <c r="S30" s="668">
        <f t="shared" si="12"/>
        <v>100</v>
      </c>
      <c r="T30" s="667" t="s">
        <v>14</v>
      </c>
      <c r="U30" s="668">
        <f t="shared" si="13"/>
        <v>100</v>
      </c>
      <c r="V30" s="667" t="s">
        <v>14</v>
      </c>
      <c r="W30" s="668">
        <f t="shared" si="14"/>
        <v>100</v>
      </c>
      <c r="X30" s="1265"/>
      <c r="Y30" s="347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77"/>
      <c r="Q31" s="1263">
        <f t="shared" si="11"/>
        <v>111</v>
      </c>
      <c r="R31" s="667" t="s">
        <v>14</v>
      </c>
      <c r="S31" s="668">
        <f t="shared" si="12"/>
        <v>100</v>
      </c>
      <c r="T31" s="667" t="s">
        <v>14</v>
      </c>
      <c r="U31" s="668">
        <f t="shared" si="13"/>
        <v>100</v>
      </c>
      <c r="V31" s="667" t="s">
        <v>14</v>
      </c>
      <c r="W31" s="668">
        <f t="shared" si="14"/>
        <v>100</v>
      </c>
      <c r="X31" s="1265"/>
      <c r="Y31" s="34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80" t="s">
        <v>1696</v>
      </c>
      <c r="Q32" s="1263" t="str">
        <f t="shared" si="11"/>
        <v>商业类型</v>
      </c>
      <c r="R32" s="667" t="s">
        <v>14</v>
      </c>
      <c r="S32" s="668">
        <f t="shared" si="12"/>
        <v>100</v>
      </c>
      <c r="T32" s="667" t="s">
        <v>14</v>
      </c>
      <c r="U32" s="668">
        <f t="shared" si="13"/>
        <v>100</v>
      </c>
      <c r="V32" s="667" t="s">
        <v>14</v>
      </c>
      <c r="W32" s="668">
        <f t="shared" si="14"/>
        <v>100</v>
      </c>
      <c r="X32" s="1265"/>
      <c r="Y32" s="34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81"/>
      <c r="Q33" s="531" t="str">
        <f t="shared" si="11"/>
        <v>项目建筑规模</v>
      </c>
      <c r="R33" s="669" t="s">
        <v>14</v>
      </c>
      <c r="S33" s="670" t="e">
        <f t="shared" si="12"/>
        <v>#N/A</v>
      </c>
      <c r="T33" s="669" t="s">
        <v>14</v>
      </c>
      <c r="U33" s="670" t="e">
        <f t="shared" si="13"/>
        <v>#N/A</v>
      </c>
      <c r="V33" s="669" t="s">
        <v>14</v>
      </c>
      <c r="W33" s="670" t="e">
        <f t="shared" si="14"/>
        <v>#N/A</v>
      </c>
      <c r="X33" s="671"/>
      <c r="Y33" s="34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81"/>
      <c r="Q34" s="1263" t="str">
        <f t="shared" si="11"/>
        <v>建筑结构</v>
      </c>
      <c r="R34" s="667" t="s">
        <v>14</v>
      </c>
      <c r="S34" s="668">
        <f t="shared" si="12"/>
        <v>100</v>
      </c>
      <c r="T34" s="667" t="s">
        <v>14</v>
      </c>
      <c r="U34" s="668">
        <f t="shared" si="13"/>
        <v>100</v>
      </c>
      <c r="V34" s="667" t="s">
        <v>14</v>
      </c>
      <c r="W34" s="668">
        <f t="shared" si="14"/>
        <v>100</v>
      </c>
      <c r="X34" s="1265"/>
      <c r="Y34" s="34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81"/>
      <c r="Q35" s="1263" t="str">
        <f t="shared" si="11"/>
        <v>公共部分装修</v>
      </c>
      <c r="R35" s="667" t="s">
        <v>14</v>
      </c>
      <c r="S35" s="668">
        <f t="shared" si="12"/>
        <v>100</v>
      </c>
      <c r="T35" s="667" t="s">
        <v>14</v>
      </c>
      <c r="U35" s="668">
        <f t="shared" si="13"/>
        <v>100</v>
      </c>
      <c r="V35" s="667" t="s">
        <v>14</v>
      </c>
      <c r="W35" s="668">
        <f t="shared" si="14"/>
        <v>100</v>
      </c>
      <c r="X35" s="1265"/>
      <c r="Y35" s="34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81"/>
      <c r="Q36" s="1263" t="str">
        <f t="shared" si="11"/>
        <v>成新度</v>
      </c>
      <c r="R36" s="667" t="s">
        <v>14</v>
      </c>
      <c r="S36" s="668" t="e">
        <f t="shared" si="12"/>
        <v>#N/A</v>
      </c>
      <c r="T36" s="667" t="s">
        <v>14</v>
      </c>
      <c r="U36" s="668" t="e">
        <f t="shared" si="13"/>
        <v>#N/A</v>
      </c>
      <c r="V36" s="667" t="s">
        <v>14</v>
      </c>
      <c r="W36" s="668" t="e">
        <f t="shared" si="14"/>
        <v>#N/A</v>
      </c>
      <c r="X36" s="1265"/>
      <c r="Y36" s="34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81"/>
      <c r="Q37" s="530" t="str">
        <f t="shared" si="11"/>
        <v>市政基础设施</v>
      </c>
      <c r="R37" s="664" t="s">
        <v>14</v>
      </c>
      <c r="S37" s="665">
        <f t="shared" si="12"/>
        <v>100</v>
      </c>
      <c r="T37" s="664" t="s">
        <v>14</v>
      </c>
      <c r="U37" s="665">
        <f t="shared" si="13"/>
        <v>100</v>
      </c>
      <c r="V37" s="664" t="s">
        <v>14</v>
      </c>
      <c r="W37" s="665">
        <f t="shared" si="14"/>
        <v>100</v>
      </c>
      <c r="X37" s="666"/>
      <c r="Y37" s="34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1" t="s">
        <v>1696</v>
      </c>
      <c r="Q38" s="1263" t="str">
        <f t="shared" si="11"/>
        <v>业态</v>
      </c>
      <c r="R38" s="667" t="s">
        <v>14</v>
      </c>
      <c r="S38" s="668">
        <f t="shared" si="12"/>
        <v>100</v>
      </c>
      <c r="T38" s="667" t="s">
        <v>14</v>
      </c>
      <c r="U38" s="668">
        <f t="shared" si="13"/>
        <v>100</v>
      </c>
      <c r="V38" s="667" t="s">
        <v>14</v>
      </c>
      <c r="W38" s="668">
        <f t="shared" si="14"/>
        <v>100</v>
      </c>
      <c r="X38" s="1265"/>
      <c r="Y38" s="34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81"/>
      <c r="Q39" s="1263" t="str">
        <f t="shared" si="11"/>
        <v>层高</v>
      </c>
      <c r="R39" s="667" t="s">
        <v>14</v>
      </c>
      <c r="S39" s="668">
        <f t="shared" si="12"/>
        <v>100</v>
      </c>
      <c r="T39" s="667" t="s">
        <v>14</v>
      </c>
      <c r="U39" s="668">
        <f t="shared" si="13"/>
        <v>100</v>
      </c>
      <c r="V39" s="667" t="s">
        <v>14</v>
      </c>
      <c r="W39" s="668">
        <f t="shared" si="14"/>
        <v>100</v>
      </c>
      <c r="X39" s="1265"/>
      <c r="Y39" s="34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1"/>
      <c r="Q40" s="1263" t="str">
        <f t="shared" si="11"/>
        <v>单套建筑面积</v>
      </c>
      <c r="R40" s="667" t="s">
        <v>14</v>
      </c>
      <c r="S40" s="668">
        <f t="shared" si="12"/>
        <v>100</v>
      </c>
      <c r="T40" s="667" t="s">
        <v>14</v>
      </c>
      <c r="U40" s="668">
        <f t="shared" si="13"/>
        <v>100</v>
      </c>
      <c r="V40" s="667" t="s">
        <v>14</v>
      </c>
      <c r="W40" s="668">
        <f t="shared" si="14"/>
        <v>100</v>
      </c>
      <c r="X40" s="1265"/>
      <c r="Y40" s="34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1"/>
      <c r="Q41" s="531" t="str">
        <f t="shared" si="11"/>
        <v>进深比</v>
      </c>
      <c r="R41" s="669" t="s">
        <v>14</v>
      </c>
      <c r="S41" s="670">
        <f t="shared" si="12"/>
        <v>100</v>
      </c>
      <c r="T41" s="669" t="s">
        <v>14</v>
      </c>
      <c r="U41" s="670">
        <f t="shared" si="13"/>
        <v>100</v>
      </c>
      <c r="V41" s="669" t="s">
        <v>14</v>
      </c>
      <c r="W41" s="670">
        <f t="shared" si="14"/>
        <v>100</v>
      </c>
      <c r="X41" s="671"/>
      <c r="Y41" s="34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81"/>
      <c r="Q42" s="1263" t="str">
        <f t="shared" si="11"/>
        <v>内部装修</v>
      </c>
      <c r="R42" s="667" t="s">
        <v>14</v>
      </c>
      <c r="S42" s="668">
        <f t="shared" si="12"/>
        <v>100</v>
      </c>
      <c r="T42" s="667" t="s">
        <v>14</v>
      </c>
      <c r="U42" s="668">
        <f t="shared" si="13"/>
        <v>100</v>
      </c>
      <c r="V42" s="667" t="s">
        <v>14</v>
      </c>
      <c r="W42" s="668">
        <f t="shared" si="14"/>
        <v>100</v>
      </c>
      <c r="X42" s="1265"/>
      <c r="Y42" s="348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81"/>
      <c r="Q43" s="1263" t="str">
        <f t="shared" si="11"/>
        <v>内部装修维护情况</v>
      </c>
      <c r="R43" s="667" t="s">
        <v>14</v>
      </c>
      <c r="S43" s="668">
        <f t="shared" si="12"/>
        <v>100</v>
      </c>
      <c r="T43" s="667" t="s">
        <v>14</v>
      </c>
      <c r="U43" s="668">
        <f t="shared" si="13"/>
        <v>100</v>
      </c>
      <c r="V43" s="667" t="s">
        <v>14</v>
      </c>
      <c r="W43" s="668">
        <f t="shared" si="14"/>
        <v>100</v>
      </c>
      <c r="X43" s="1265"/>
      <c r="Y43" s="34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1"/>
      <c r="Q44" s="530">
        <f t="shared" si="11"/>
        <v>111</v>
      </c>
      <c r="R44" s="664" t="s">
        <v>14</v>
      </c>
      <c r="S44" s="665">
        <f t="shared" si="12"/>
        <v>100</v>
      </c>
      <c r="T44" s="664" t="s">
        <v>14</v>
      </c>
      <c r="U44" s="665">
        <f t="shared" si="13"/>
        <v>100</v>
      </c>
      <c r="V44" s="664" t="s">
        <v>14</v>
      </c>
      <c r="W44" s="665">
        <f t="shared" si="14"/>
        <v>100</v>
      </c>
      <c r="X44" s="666"/>
      <c r="Y44" s="34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1"/>
      <c r="Q45" s="1263">
        <f t="shared" si="11"/>
        <v>111</v>
      </c>
      <c r="R45" s="667" t="s">
        <v>14</v>
      </c>
      <c r="S45" s="668">
        <f t="shared" si="12"/>
        <v>100</v>
      </c>
      <c r="T45" s="667" t="s">
        <v>14</v>
      </c>
      <c r="U45" s="668">
        <f t="shared" si="13"/>
        <v>100</v>
      </c>
      <c r="V45" s="667" t="s">
        <v>14</v>
      </c>
      <c r="W45" s="668">
        <f t="shared" si="14"/>
        <v>100</v>
      </c>
      <c r="X45" s="1265"/>
      <c r="Y45" s="348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2"/>
      <c r="Q46" s="1263">
        <f t="shared" si="11"/>
        <v>111</v>
      </c>
      <c r="R46" s="667" t="s">
        <v>14</v>
      </c>
      <c r="S46" s="668">
        <f t="shared" si="12"/>
        <v>100</v>
      </c>
      <c r="T46" s="667" t="s">
        <v>14</v>
      </c>
      <c r="U46" s="668">
        <f t="shared" si="13"/>
        <v>100</v>
      </c>
      <c r="V46" s="667" t="s">
        <v>14</v>
      </c>
      <c r="W46" s="668">
        <f t="shared" si="14"/>
        <v>100</v>
      </c>
      <c r="X46" s="1265"/>
      <c r="Y46" s="348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85" t="str">
        <f>A47</f>
        <v>成交单价（元/平方米）</v>
      </c>
      <c r="Q47" s="3485"/>
      <c r="R47" s="3472">
        <f>E47</f>
        <v>0</v>
      </c>
      <c r="S47" s="3472"/>
      <c r="T47" s="3472">
        <f>G47</f>
        <v>0</v>
      </c>
      <c r="U47" s="3472"/>
      <c r="V47" s="3472">
        <f>I47</f>
        <v>0</v>
      </c>
      <c r="W47" s="347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85" t="str">
        <f>A48</f>
        <v>比较价值（元/平方米）</v>
      </c>
      <c r="Q48" s="3485"/>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31274.160000000003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860"/>
      <c r="M4" s="861"/>
      <c r="N4" s="861"/>
      <c r="O4" s="861"/>
      <c r="P4" s="3520" t="s">
        <v>1775</v>
      </c>
      <c r="Q4" s="3521"/>
      <c r="R4" s="3516" t="s">
        <v>1771</v>
      </c>
      <c r="S4" s="3517"/>
      <c r="T4" s="3516" t="s">
        <v>1772</v>
      </c>
      <c r="U4" s="3517"/>
      <c r="V4" s="3472" t="s">
        <v>1773</v>
      </c>
      <c r="W4" s="3472"/>
      <c r="X4" s="1265"/>
      <c r="Y4" s="3516" t="s">
        <v>1775</v>
      </c>
      <c r="Z4" s="3517"/>
      <c r="AA4" s="3515" t="s">
        <v>1771</v>
      </c>
      <c r="AB4" s="3437" t="s">
        <v>1772</v>
      </c>
      <c r="AC4" s="3515" t="s">
        <v>1773</v>
      </c>
    </row>
    <row r="5" spans="1:29" ht="15">
      <c r="A5" s="348"/>
      <c r="B5" s="349"/>
      <c r="C5" s="3447" t="s">
        <v>1673</v>
      </c>
      <c r="D5" s="3448"/>
      <c r="E5" s="3518" t="s">
        <v>1674</v>
      </c>
      <c r="F5" s="3446"/>
      <c r="G5" s="3447" t="s">
        <v>1675</v>
      </c>
      <c r="H5" s="3448"/>
      <c r="I5" s="3447" t="s">
        <v>1676</v>
      </c>
      <c r="J5" s="3448"/>
      <c r="K5" s="537"/>
      <c r="L5" s="860"/>
      <c r="M5" s="861"/>
      <c r="N5" s="861"/>
      <c r="O5" s="861"/>
      <c r="P5" s="3522"/>
      <c r="Q5" s="3466"/>
      <c r="R5" s="3443"/>
      <c r="S5" s="3444"/>
      <c r="T5" s="3443"/>
      <c r="U5" s="3444"/>
      <c r="V5" s="3472"/>
      <c r="W5" s="3472"/>
      <c r="X5" s="1265"/>
      <c r="Y5" s="3443"/>
      <c r="Z5" s="3444"/>
      <c r="AA5" s="3437"/>
      <c r="AB5" s="3437"/>
      <c r="AC5" s="3437"/>
    </row>
    <row r="6" spans="1:29" ht="15.75" thickBot="1">
      <c r="A6" s="350"/>
      <c r="B6" s="351"/>
      <c r="C6" s="3449" t="s">
        <v>1677</v>
      </c>
      <c r="D6" s="3450"/>
      <c r="E6" s="3519" t="s">
        <v>1677</v>
      </c>
      <c r="F6" s="3453"/>
      <c r="G6" s="3449" t="s">
        <v>1677</v>
      </c>
      <c r="H6" s="3450"/>
      <c r="I6" s="3449" t="s">
        <v>1677</v>
      </c>
      <c r="J6" s="3450"/>
      <c r="K6" s="537" t="s">
        <v>1678</v>
      </c>
      <c r="L6" s="860"/>
      <c r="M6" s="861"/>
      <c r="N6" s="861"/>
      <c r="O6" s="861"/>
      <c r="P6" s="3523"/>
      <c r="Q6" s="3468"/>
      <c r="R6" s="3443"/>
      <c r="S6" s="3444"/>
      <c r="T6" s="3469"/>
      <c r="U6" s="3470"/>
      <c r="V6" s="3472"/>
      <c r="W6" s="3472"/>
      <c r="X6" s="1265"/>
      <c r="Y6" s="3469"/>
      <c r="Z6" s="3470"/>
      <c r="AA6" s="3438"/>
      <c r="AB6" s="3438"/>
      <c r="AC6" s="3438"/>
    </row>
    <row r="7" spans="1:29" s="102" customFormat="1" ht="15.75" thickBot="1">
      <c r="A7" s="352" t="s">
        <v>1679</v>
      </c>
      <c r="B7" s="353"/>
      <c r="C7" s="354">
        <f>'数据-取费表'!B2</f>
        <v>44926</v>
      </c>
      <c r="D7" s="355">
        <v>100</v>
      </c>
      <c r="E7" s="356"/>
      <c r="F7" s="357">
        <f>SUMIF(52:52,YEAR(E7)&amp;"-"&amp;MONTH(E7),53:53)</f>
        <v>0</v>
      </c>
      <c r="G7" s="356"/>
      <c r="H7" s="355">
        <f>SUMIF(52:52,YEAR(G7)&amp;"-"&amp;MONTH(G7),53:53)</f>
        <v>0</v>
      </c>
      <c r="I7" s="356"/>
      <c r="J7" s="355">
        <f>SUMIF(52:52,YEAR(I7)&amp;"-"&amp;MONTH(I7),53:53)</f>
        <v>0</v>
      </c>
      <c r="K7" s="38"/>
      <c r="L7" s="862"/>
      <c r="M7" s="863"/>
      <c r="N7" s="863"/>
      <c r="O7" s="863"/>
      <c r="P7" s="3439" t="s">
        <v>1680</v>
      </c>
      <c r="Q7" s="3475"/>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9" t="s">
        <v>1683</v>
      </c>
      <c r="Q8" s="3440"/>
      <c r="R8" s="664" t="s">
        <v>14</v>
      </c>
      <c r="S8" s="665">
        <f t="shared" si="0"/>
        <v>100</v>
      </c>
      <c r="T8" s="664" t="s">
        <v>14</v>
      </c>
      <c r="U8" s="665">
        <f t="shared" si="1"/>
        <v>100</v>
      </c>
      <c r="V8" s="664" t="s">
        <v>14</v>
      </c>
      <c r="W8" s="665">
        <f t="shared" si="2"/>
        <v>100</v>
      </c>
      <c r="X8" s="666"/>
      <c r="Y8" s="3439" t="s">
        <v>1683</v>
      </c>
      <c r="Z8" s="344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85" t="s">
        <v>1686</v>
      </c>
      <c r="Q9" s="530" t="str">
        <f t="shared" ref="Q9:Q15" si="6">B9</f>
        <v>用途</v>
      </c>
      <c r="R9" s="664" t="s">
        <v>14</v>
      </c>
      <c r="S9" s="665">
        <f t="shared" si="0"/>
        <v>100</v>
      </c>
      <c r="T9" s="664" t="s">
        <v>14</v>
      </c>
      <c r="U9" s="665">
        <f t="shared" si="1"/>
        <v>100</v>
      </c>
      <c r="V9" s="664" t="s">
        <v>14</v>
      </c>
      <c r="W9" s="665">
        <f t="shared" si="2"/>
        <v>100</v>
      </c>
      <c r="X9" s="666"/>
      <c r="Y9" s="339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85"/>
      <c r="Q10" s="530" t="str">
        <f t="shared" si="6"/>
        <v>土地使用年限（年）</v>
      </c>
      <c r="R10" s="664" t="s">
        <v>14</v>
      </c>
      <c r="S10" s="665">
        <f t="shared" si="0"/>
        <v>100</v>
      </c>
      <c r="T10" s="664" t="s">
        <v>14</v>
      </c>
      <c r="U10" s="665">
        <f t="shared" si="1"/>
        <v>100</v>
      </c>
      <c r="V10" s="664" t="s">
        <v>14</v>
      </c>
      <c r="W10" s="665">
        <f t="shared" si="2"/>
        <v>100</v>
      </c>
      <c r="X10" s="666"/>
      <c r="Y10" s="33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85"/>
      <c r="Q11" s="530" t="str">
        <f t="shared" si="6"/>
        <v>容积率</v>
      </c>
      <c r="R11" s="664" t="s">
        <v>14</v>
      </c>
      <c r="S11" s="665">
        <f t="shared" si="0"/>
        <v>100</v>
      </c>
      <c r="T11" s="664" t="s">
        <v>14</v>
      </c>
      <c r="U11" s="665">
        <f t="shared" si="1"/>
        <v>100</v>
      </c>
      <c r="V11" s="664" t="s">
        <v>14</v>
      </c>
      <c r="W11" s="665">
        <f t="shared" si="2"/>
        <v>100</v>
      </c>
      <c r="X11" s="666"/>
      <c r="Y11" s="33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85"/>
      <c r="Q12" s="530">
        <f t="shared" si="6"/>
        <v>111</v>
      </c>
      <c r="R12" s="664" t="s">
        <v>14</v>
      </c>
      <c r="S12" s="665">
        <f t="shared" si="0"/>
        <v>100</v>
      </c>
      <c r="T12" s="664" t="s">
        <v>14</v>
      </c>
      <c r="U12" s="665">
        <f t="shared" si="1"/>
        <v>100</v>
      </c>
      <c r="V12" s="664" t="s">
        <v>14</v>
      </c>
      <c r="W12" s="665">
        <f t="shared" si="2"/>
        <v>100</v>
      </c>
      <c r="X12" s="666"/>
      <c r="Y12" s="33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85"/>
      <c r="Q13" s="530">
        <f t="shared" si="6"/>
        <v>111</v>
      </c>
      <c r="R13" s="664" t="s">
        <v>14</v>
      </c>
      <c r="S13" s="665">
        <f t="shared" si="0"/>
        <v>100</v>
      </c>
      <c r="T13" s="664" t="s">
        <v>14</v>
      </c>
      <c r="U13" s="665">
        <f t="shared" si="1"/>
        <v>100</v>
      </c>
      <c r="V13" s="664" t="s">
        <v>14</v>
      </c>
      <c r="W13" s="665">
        <f t="shared" si="2"/>
        <v>100</v>
      </c>
      <c r="X13" s="666"/>
      <c r="Y13" s="339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85"/>
      <c r="Q14" s="530">
        <f t="shared" si="6"/>
        <v>111</v>
      </c>
      <c r="R14" s="664" t="s">
        <v>14</v>
      </c>
      <c r="S14" s="665">
        <f t="shared" si="0"/>
        <v>100</v>
      </c>
      <c r="T14" s="664" t="s">
        <v>14</v>
      </c>
      <c r="U14" s="665">
        <f t="shared" si="1"/>
        <v>100</v>
      </c>
      <c r="V14" s="664" t="s">
        <v>14</v>
      </c>
      <c r="W14" s="665">
        <f t="shared" si="2"/>
        <v>100</v>
      </c>
      <c r="X14" s="666"/>
      <c r="Y14" s="339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8" t="s">
        <v>1691</v>
      </c>
      <c r="Q15" s="1263" t="str">
        <f t="shared" si="6"/>
        <v>产业集聚程度</v>
      </c>
      <c r="R15" s="667" t="s">
        <v>14</v>
      </c>
      <c r="S15" s="668">
        <f t="shared" si="0"/>
        <v>100</v>
      </c>
      <c r="T15" s="667" t="s">
        <v>14</v>
      </c>
      <c r="U15" s="668">
        <f t="shared" si="1"/>
        <v>100</v>
      </c>
      <c r="V15" s="667" t="s">
        <v>14</v>
      </c>
      <c r="W15" s="668">
        <f t="shared" si="2"/>
        <v>100</v>
      </c>
      <c r="X15" s="1265"/>
      <c r="Y15" s="34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9"/>
      <c r="Q16" s="1263"/>
      <c r="R16" s="667"/>
      <c r="S16" s="668"/>
      <c r="T16" s="667"/>
      <c r="U16" s="668"/>
      <c r="V16" s="667"/>
      <c r="W16" s="668"/>
      <c r="X16" s="1265"/>
      <c r="Y16" s="347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9"/>
      <c r="Q17" s="1263" t="str">
        <f>B17</f>
        <v>交通便捷度</v>
      </c>
      <c r="R17" s="667" t="s">
        <v>14</v>
      </c>
      <c r="S17" s="668">
        <f>F17</f>
        <v>100</v>
      </c>
      <c r="T17" s="667" t="s">
        <v>14</v>
      </c>
      <c r="U17" s="668">
        <f>H17</f>
        <v>100</v>
      </c>
      <c r="V17" s="667" t="s">
        <v>14</v>
      </c>
      <c r="W17" s="668">
        <f>J17</f>
        <v>100</v>
      </c>
      <c r="X17" s="1265"/>
      <c r="Y17" s="34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9"/>
      <c r="Q18" s="1263"/>
      <c r="R18" s="667"/>
      <c r="S18" s="668"/>
      <c r="T18" s="667"/>
      <c r="U18" s="668"/>
      <c r="V18" s="667"/>
      <c r="W18" s="668"/>
      <c r="X18" s="1265"/>
      <c r="Y18" s="347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9"/>
      <c r="Q19" s="1263" t="str">
        <f>B19</f>
        <v>公共配套设施</v>
      </c>
      <c r="R19" s="667" t="s">
        <v>14</v>
      </c>
      <c r="S19" s="668">
        <f>F19</f>
        <v>100</v>
      </c>
      <c r="T19" s="667" t="s">
        <v>14</v>
      </c>
      <c r="U19" s="668">
        <f>H19</f>
        <v>100</v>
      </c>
      <c r="V19" s="667" t="s">
        <v>14</v>
      </c>
      <c r="W19" s="668">
        <f>J19</f>
        <v>100</v>
      </c>
      <c r="X19" s="1265"/>
      <c r="Y19" s="34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9"/>
      <c r="Q20" s="1263"/>
      <c r="R20" s="667"/>
      <c r="S20" s="668"/>
      <c r="T20" s="667"/>
      <c r="U20" s="668"/>
      <c r="V20" s="667"/>
      <c r="W20" s="668"/>
      <c r="X20" s="1265"/>
      <c r="Y20" s="347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9"/>
      <c r="Q21" s="1263" t="str">
        <f>B21</f>
        <v>基础设施水平</v>
      </c>
      <c r="R21" s="667" t="s">
        <v>14</v>
      </c>
      <c r="S21" s="668">
        <f>F21</f>
        <v>100</v>
      </c>
      <c r="T21" s="667" t="s">
        <v>14</v>
      </c>
      <c r="U21" s="668">
        <f>H21</f>
        <v>100</v>
      </c>
      <c r="V21" s="667" t="s">
        <v>14</v>
      </c>
      <c r="W21" s="668">
        <f>J21</f>
        <v>100</v>
      </c>
      <c r="X21" s="1265"/>
      <c r="Y21" s="34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9"/>
      <c r="Q22" s="1263"/>
      <c r="R22" s="667"/>
      <c r="S22" s="668"/>
      <c r="T22" s="667"/>
      <c r="U22" s="668"/>
      <c r="V22" s="667"/>
      <c r="W22" s="668"/>
      <c r="X22" s="1265"/>
      <c r="Y22" s="347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9"/>
      <c r="Q23" s="1263" t="str">
        <f>B23</f>
        <v>环境质量</v>
      </c>
      <c r="R23" s="667" t="s">
        <v>14</v>
      </c>
      <c r="S23" s="668">
        <f>F23</f>
        <v>100</v>
      </c>
      <c r="T23" s="667" t="s">
        <v>14</v>
      </c>
      <c r="U23" s="668">
        <f>H23</f>
        <v>100</v>
      </c>
      <c r="V23" s="667" t="s">
        <v>14</v>
      </c>
      <c r="W23" s="668">
        <f>J23</f>
        <v>100</v>
      </c>
      <c r="X23" s="1265"/>
      <c r="Y23" s="34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9"/>
      <c r="Q24" s="1263"/>
      <c r="R24" s="667"/>
      <c r="S24" s="668"/>
      <c r="T24" s="667"/>
      <c r="U24" s="668"/>
      <c r="V24" s="667"/>
      <c r="W24" s="668"/>
      <c r="X24" s="1265"/>
      <c r="Y24" s="34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9"/>
      <c r="Q25" s="1263">
        <f>B25</f>
        <v>111</v>
      </c>
      <c r="R25" s="667" t="s">
        <v>14</v>
      </c>
      <c r="S25" s="668">
        <f>F25</f>
        <v>100</v>
      </c>
      <c r="T25" s="667" t="s">
        <v>14</v>
      </c>
      <c r="U25" s="668">
        <f>H25</f>
        <v>100</v>
      </c>
      <c r="V25" s="667" t="s">
        <v>14</v>
      </c>
      <c r="W25" s="668">
        <f>J25</f>
        <v>100</v>
      </c>
      <c r="X25" s="1265"/>
      <c r="Y25" s="34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9"/>
      <c r="Q26" s="1263">
        <f t="shared" ref="Q26:Q40" si="11">B26</f>
        <v>111</v>
      </c>
      <c r="R26" s="667" t="s">
        <v>14</v>
      </c>
      <c r="S26" s="668">
        <f>F26</f>
        <v>100</v>
      </c>
      <c r="T26" s="667" t="s">
        <v>14</v>
      </c>
      <c r="U26" s="668">
        <f>H26</f>
        <v>100</v>
      </c>
      <c r="V26" s="667" t="s">
        <v>14</v>
      </c>
      <c r="W26" s="668">
        <f>J26</f>
        <v>100</v>
      </c>
      <c r="X26" s="1265"/>
      <c r="Y26" s="34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9"/>
      <c r="Q27" s="530">
        <f t="shared" si="11"/>
        <v>111</v>
      </c>
      <c r="R27" s="664" t="s">
        <v>14</v>
      </c>
      <c r="S27" s="665">
        <f>F27</f>
        <v>100</v>
      </c>
      <c r="T27" s="664" t="s">
        <v>14</v>
      </c>
      <c r="U27" s="665">
        <f>H27</f>
        <v>100</v>
      </c>
      <c r="V27" s="664" t="s">
        <v>14</v>
      </c>
      <c r="W27" s="665">
        <f>J27</f>
        <v>100</v>
      </c>
      <c r="X27" s="666"/>
      <c r="Y27" s="347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9"/>
      <c r="Q28" s="1263">
        <f t="shared" si="11"/>
        <v>111</v>
      </c>
      <c r="R28" s="667" t="s">
        <v>14</v>
      </c>
      <c r="S28" s="668">
        <f t="shared" ref="S28:S40" si="12">F28</f>
        <v>100</v>
      </c>
      <c r="T28" s="667" t="s">
        <v>14</v>
      </c>
      <c r="U28" s="668">
        <f t="shared" ref="U28:U40" si="13">H28</f>
        <v>100</v>
      </c>
      <c r="V28" s="667" t="s">
        <v>14</v>
      </c>
      <c r="W28" s="668">
        <f t="shared" ref="W28:W40" si="14">J28</f>
        <v>100</v>
      </c>
      <c r="X28" s="1265"/>
      <c r="Y28" s="347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27" t="s">
        <v>1696</v>
      </c>
      <c r="Q29" s="1263" t="str">
        <f t="shared" si="11"/>
        <v>建筑类型</v>
      </c>
      <c r="R29" s="667" t="s">
        <v>14</v>
      </c>
      <c r="S29" s="668">
        <f t="shared" si="12"/>
        <v>100</v>
      </c>
      <c r="T29" s="667" t="s">
        <v>14</v>
      </c>
      <c r="U29" s="668">
        <f t="shared" si="13"/>
        <v>100</v>
      </c>
      <c r="V29" s="667" t="s">
        <v>14</v>
      </c>
      <c r="W29" s="668">
        <f t="shared" si="14"/>
        <v>100</v>
      </c>
      <c r="X29" s="1265"/>
      <c r="Y29" s="34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3"/>
      <c r="Q30" s="531" t="str">
        <f t="shared" si="11"/>
        <v>项目建筑规模</v>
      </c>
      <c r="R30" s="669" t="s">
        <v>14</v>
      </c>
      <c r="S30" s="670" t="e">
        <f t="shared" si="12"/>
        <v>#N/A</v>
      </c>
      <c r="T30" s="669" t="s">
        <v>14</v>
      </c>
      <c r="U30" s="670" t="e">
        <f t="shared" si="13"/>
        <v>#N/A</v>
      </c>
      <c r="V30" s="669" t="s">
        <v>14</v>
      </c>
      <c r="W30" s="670" t="e">
        <f t="shared" si="14"/>
        <v>#N/A</v>
      </c>
      <c r="X30" s="671"/>
      <c r="Y30" s="34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3"/>
      <c r="Q31" s="1263" t="str">
        <f t="shared" si="11"/>
        <v>建筑结构</v>
      </c>
      <c r="R31" s="667" t="s">
        <v>14</v>
      </c>
      <c r="S31" s="668">
        <f t="shared" si="12"/>
        <v>100</v>
      </c>
      <c r="T31" s="667" t="s">
        <v>14</v>
      </c>
      <c r="U31" s="668">
        <f t="shared" si="13"/>
        <v>100</v>
      </c>
      <c r="V31" s="667" t="s">
        <v>14</v>
      </c>
      <c r="W31" s="668">
        <f t="shared" si="14"/>
        <v>100</v>
      </c>
      <c r="X31" s="1265"/>
      <c r="Y31" s="34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3"/>
      <c r="Q32" s="1263" t="str">
        <f t="shared" si="11"/>
        <v>公共部分装修</v>
      </c>
      <c r="R32" s="667" t="s">
        <v>14</v>
      </c>
      <c r="S32" s="668">
        <f t="shared" si="12"/>
        <v>100</v>
      </c>
      <c r="T32" s="667" t="s">
        <v>14</v>
      </c>
      <c r="U32" s="668">
        <f t="shared" si="13"/>
        <v>100</v>
      </c>
      <c r="V32" s="667" t="s">
        <v>14</v>
      </c>
      <c r="W32" s="668">
        <f t="shared" si="14"/>
        <v>100</v>
      </c>
      <c r="X32" s="1265"/>
      <c r="Y32" s="34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3"/>
      <c r="Q33" s="1263" t="str">
        <f t="shared" si="11"/>
        <v>成新度</v>
      </c>
      <c r="R33" s="667" t="s">
        <v>14</v>
      </c>
      <c r="S33" s="668" t="e">
        <f t="shared" si="12"/>
        <v>#N/A</v>
      </c>
      <c r="T33" s="667" t="s">
        <v>14</v>
      </c>
      <c r="U33" s="668" t="e">
        <f t="shared" si="13"/>
        <v>#N/A</v>
      </c>
      <c r="V33" s="667" t="s">
        <v>14</v>
      </c>
      <c r="W33" s="668" t="e">
        <f t="shared" si="14"/>
        <v>#N/A</v>
      </c>
      <c r="X33" s="1265"/>
      <c r="Y33" s="34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3"/>
      <c r="Q34" s="530" t="str">
        <f t="shared" si="11"/>
        <v>物业管理</v>
      </c>
      <c r="R34" s="664" t="s">
        <v>14</v>
      </c>
      <c r="S34" s="665">
        <f t="shared" si="12"/>
        <v>100</v>
      </c>
      <c r="T34" s="664" t="s">
        <v>14</v>
      </c>
      <c r="U34" s="665">
        <f t="shared" si="13"/>
        <v>100</v>
      </c>
      <c r="V34" s="664" t="s">
        <v>14</v>
      </c>
      <c r="W34" s="665">
        <f t="shared" si="14"/>
        <v>100</v>
      </c>
      <c r="X34" s="666"/>
      <c r="Y34" s="34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3" t="s">
        <v>1696</v>
      </c>
      <c r="Q35" s="1263" t="str">
        <f t="shared" si="11"/>
        <v>市政基础设施</v>
      </c>
      <c r="R35" s="667" t="s">
        <v>14</v>
      </c>
      <c r="S35" s="668">
        <f t="shared" si="12"/>
        <v>100</v>
      </c>
      <c r="T35" s="667" t="s">
        <v>14</v>
      </c>
      <c r="U35" s="668">
        <f t="shared" si="13"/>
        <v>100</v>
      </c>
      <c r="V35" s="667" t="s">
        <v>14</v>
      </c>
      <c r="W35" s="668">
        <f t="shared" si="14"/>
        <v>100</v>
      </c>
      <c r="X35" s="1265"/>
      <c r="Y35" s="34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3"/>
      <c r="Q36" s="1263" t="str">
        <f t="shared" si="11"/>
        <v>内部装修</v>
      </c>
      <c r="R36" s="667" t="s">
        <v>14</v>
      </c>
      <c r="S36" s="668">
        <f t="shared" si="12"/>
        <v>100</v>
      </c>
      <c r="T36" s="667" t="s">
        <v>14</v>
      </c>
      <c r="U36" s="668">
        <f t="shared" si="13"/>
        <v>100</v>
      </c>
      <c r="V36" s="667" t="s">
        <v>14</v>
      </c>
      <c r="W36" s="668">
        <f t="shared" si="14"/>
        <v>100</v>
      </c>
      <c r="X36" s="1265"/>
      <c r="Y36" s="34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3"/>
      <c r="Q37" s="1263" t="str">
        <f t="shared" si="11"/>
        <v>内部装修状况</v>
      </c>
      <c r="R37" s="667" t="s">
        <v>14</v>
      </c>
      <c r="S37" s="668">
        <f t="shared" si="12"/>
        <v>100</v>
      </c>
      <c r="T37" s="667" t="s">
        <v>14</v>
      </c>
      <c r="U37" s="668">
        <f t="shared" si="13"/>
        <v>100</v>
      </c>
      <c r="V37" s="667" t="s">
        <v>14</v>
      </c>
      <c r="W37" s="668">
        <f t="shared" si="14"/>
        <v>100</v>
      </c>
      <c r="X37" s="1265"/>
      <c r="Y37" s="34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3"/>
      <c r="Q38" s="531">
        <f t="shared" si="11"/>
        <v>111</v>
      </c>
      <c r="R38" s="669" t="s">
        <v>14</v>
      </c>
      <c r="S38" s="670">
        <f t="shared" si="12"/>
        <v>100</v>
      </c>
      <c r="T38" s="669" t="s">
        <v>14</v>
      </c>
      <c r="U38" s="670">
        <f t="shared" si="13"/>
        <v>100</v>
      </c>
      <c r="V38" s="669" t="s">
        <v>14</v>
      </c>
      <c r="W38" s="670">
        <f t="shared" si="14"/>
        <v>100</v>
      </c>
      <c r="X38" s="671"/>
      <c r="Y38" s="34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3"/>
      <c r="Q39" s="1263">
        <f t="shared" si="11"/>
        <v>111</v>
      </c>
      <c r="R39" s="667" t="s">
        <v>14</v>
      </c>
      <c r="S39" s="668">
        <f t="shared" si="12"/>
        <v>100</v>
      </c>
      <c r="T39" s="667" t="s">
        <v>14</v>
      </c>
      <c r="U39" s="668">
        <f t="shared" si="13"/>
        <v>100</v>
      </c>
      <c r="V39" s="667" t="s">
        <v>14</v>
      </c>
      <c r="W39" s="668">
        <f t="shared" si="14"/>
        <v>100</v>
      </c>
      <c r="X39" s="1265"/>
      <c r="Y39" s="348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4"/>
      <c r="Q40" s="1263">
        <f t="shared" si="11"/>
        <v>111</v>
      </c>
      <c r="R40" s="667" t="s">
        <v>14</v>
      </c>
      <c r="S40" s="668">
        <f t="shared" si="12"/>
        <v>100</v>
      </c>
      <c r="T40" s="667" t="s">
        <v>14</v>
      </c>
      <c r="U40" s="668">
        <f t="shared" si="13"/>
        <v>100</v>
      </c>
      <c r="V40" s="667" t="s">
        <v>14</v>
      </c>
      <c r="W40" s="668">
        <f t="shared" si="14"/>
        <v>100</v>
      </c>
      <c r="X40" s="1265"/>
      <c r="Y40" s="348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85" t="str">
        <f>A41</f>
        <v>成交单价（元/平方米）</v>
      </c>
      <c r="Q41" s="3485"/>
      <c r="R41" s="3472">
        <f>E41</f>
        <v>0</v>
      </c>
      <c r="S41" s="3472"/>
      <c r="T41" s="3472">
        <f>G41</f>
        <v>0</v>
      </c>
      <c r="U41" s="3472"/>
      <c r="V41" s="3472">
        <f>I41</f>
        <v>0</v>
      </c>
      <c r="W41" s="347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85" t="str">
        <f>A42</f>
        <v>比较价值（元/平方米）</v>
      </c>
      <c r="Q42" s="3485"/>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4" t="str">
        <f>A43</f>
        <v>估价对象XX用房的比较价值（楼面单价，元/平方米）</v>
      </c>
      <c r="Q43" s="3525"/>
      <c r="R43" s="3526" t="e">
        <f>IF(F1="售价",ROUND(IF(D42="简单平均",AVERAGE(R42:V42),R42*F42+T42*H42+V42*J42),0),ROUND(IF(D42="简单平均",AVERAGE(R42:V42),R42*F42+T42*H42+V42*J42),1))</f>
        <v>#DIV/0!</v>
      </c>
      <c r="S43" s="3526"/>
      <c r="T43" s="3526"/>
      <c r="U43" s="3526"/>
      <c r="V43" s="3526"/>
      <c r="W43" s="35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520" t="s">
        <v>1775</v>
      </c>
      <c r="Q4" s="3521"/>
      <c r="R4" s="3516" t="s">
        <v>1771</v>
      </c>
      <c r="S4" s="3517"/>
      <c r="T4" s="3516" t="s">
        <v>1772</v>
      </c>
      <c r="U4" s="3517"/>
      <c r="V4" s="3472" t="s">
        <v>1773</v>
      </c>
      <c r="W4" s="3472"/>
      <c r="X4" s="1265"/>
      <c r="Y4" s="3516" t="s">
        <v>1775</v>
      </c>
      <c r="Z4" s="3517"/>
      <c r="AA4" s="3515" t="s">
        <v>1771</v>
      </c>
      <c r="AB4" s="3437" t="s">
        <v>1772</v>
      </c>
      <c r="AC4" s="3515" t="s">
        <v>1773</v>
      </c>
    </row>
    <row r="5" spans="1:29" ht="15">
      <c r="A5" s="348"/>
      <c r="B5" s="349"/>
      <c r="C5" s="3447" t="s">
        <v>1673</v>
      </c>
      <c r="D5" s="3448"/>
      <c r="E5" s="3518" t="s">
        <v>1674</v>
      </c>
      <c r="F5" s="3446"/>
      <c r="G5" s="3447" t="s">
        <v>1675</v>
      </c>
      <c r="H5" s="3448"/>
      <c r="I5" s="3447" t="s">
        <v>1676</v>
      </c>
      <c r="J5" s="3448"/>
      <c r="K5" s="537"/>
      <c r="L5" s="2487"/>
      <c r="M5" s="2488"/>
      <c r="N5" s="2488"/>
      <c r="O5" s="2488"/>
      <c r="P5" s="3522"/>
      <c r="Q5" s="3466"/>
      <c r="R5" s="3443"/>
      <c r="S5" s="3444"/>
      <c r="T5" s="3443"/>
      <c r="U5" s="3444"/>
      <c r="V5" s="3472"/>
      <c r="W5" s="3472"/>
      <c r="X5" s="1265"/>
      <c r="Y5" s="3443"/>
      <c r="Z5" s="3444"/>
      <c r="AA5" s="3437"/>
      <c r="AB5" s="3437"/>
      <c r="AC5" s="3437"/>
    </row>
    <row r="6" spans="1:29" ht="15.75" thickBot="1">
      <c r="A6" s="350"/>
      <c r="B6" s="351"/>
      <c r="C6" s="3449" t="s">
        <v>1677</v>
      </c>
      <c r="D6" s="3450"/>
      <c r="E6" s="3519" t="s">
        <v>1677</v>
      </c>
      <c r="F6" s="3453"/>
      <c r="G6" s="3449" t="s">
        <v>1677</v>
      </c>
      <c r="H6" s="3450"/>
      <c r="I6" s="3449" t="s">
        <v>1677</v>
      </c>
      <c r="J6" s="3450"/>
      <c r="K6" s="537" t="s">
        <v>1678</v>
      </c>
      <c r="L6" s="2487"/>
      <c r="M6" s="2488"/>
      <c r="N6" s="2488"/>
      <c r="O6" s="2488"/>
      <c r="P6" s="3523"/>
      <c r="Q6" s="3468"/>
      <c r="R6" s="3443"/>
      <c r="S6" s="3444"/>
      <c r="T6" s="3469"/>
      <c r="U6" s="3470"/>
      <c r="V6" s="3472"/>
      <c r="W6" s="3472"/>
      <c r="X6" s="1265"/>
      <c r="Y6" s="3469"/>
      <c r="Z6" s="3470"/>
      <c r="AA6" s="3438"/>
      <c r="AB6" s="3438"/>
      <c r="AC6" s="3438"/>
    </row>
    <row r="7" spans="1:29" s="102" customFormat="1" ht="15.75" thickBot="1">
      <c r="A7" s="352" t="s">
        <v>1679</v>
      </c>
      <c r="B7" s="353"/>
      <c r="C7" s="354">
        <f>'数据-取费表'!B2</f>
        <v>44926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9" t="s">
        <v>1680</v>
      </c>
      <c r="Q7" s="3475"/>
      <c r="R7" s="664" t="s">
        <v>14</v>
      </c>
      <c r="S7" s="665">
        <f t="shared" ref="S7:S14" si="0">F7</f>
        <v>0</v>
      </c>
      <c r="T7" s="664" t="s">
        <v>14</v>
      </c>
      <c r="U7" s="665">
        <f t="shared" ref="U7:U14" si="1">H7</f>
        <v>0</v>
      </c>
      <c r="V7" s="664" t="s">
        <v>14</v>
      </c>
      <c r="W7" s="665">
        <f t="shared" ref="W7:W14"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9" t="s">
        <v>1683</v>
      </c>
      <c r="Q8" s="3440"/>
      <c r="R8" s="664" t="s">
        <v>14</v>
      </c>
      <c r="S8" s="665">
        <f t="shared" si="0"/>
        <v>100</v>
      </c>
      <c r="T8" s="664" t="s">
        <v>14</v>
      </c>
      <c r="U8" s="665">
        <f t="shared" si="1"/>
        <v>100</v>
      </c>
      <c r="V8" s="664" t="s">
        <v>14</v>
      </c>
      <c r="W8" s="665">
        <f t="shared" si="2"/>
        <v>100</v>
      </c>
      <c r="X8" s="666"/>
      <c r="Y8" s="3439" t="s">
        <v>1683</v>
      </c>
      <c r="Z8" s="344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85" t="s">
        <v>1686</v>
      </c>
      <c r="Q9" s="530" t="str">
        <f t="shared" ref="Q9:Q14" si="6">B9</f>
        <v>用途</v>
      </c>
      <c r="R9" s="664" t="s">
        <v>14</v>
      </c>
      <c r="S9" s="665">
        <f t="shared" si="0"/>
        <v>100</v>
      </c>
      <c r="T9" s="664" t="s">
        <v>14</v>
      </c>
      <c r="U9" s="665">
        <f t="shared" si="1"/>
        <v>100</v>
      </c>
      <c r="V9" s="664" t="s">
        <v>14</v>
      </c>
      <c r="W9" s="665">
        <f t="shared" si="2"/>
        <v>100</v>
      </c>
      <c r="X9" s="666"/>
      <c r="Y9" s="339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85"/>
      <c r="Q10" s="530" t="str">
        <f t="shared" si="6"/>
        <v>土地使用年限（年）</v>
      </c>
      <c r="R10" s="664" t="s">
        <v>14</v>
      </c>
      <c r="S10" s="665">
        <f t="shared" si="0"/>
        <v>100</v>
      </c>
      <c r="T10" s="664" t="s">
        <v>14</v>
      </c>
      <c r="U10" s="665">
        <f t="shared" si="1"/>
        <v>100</v>
      </c>
      <c r="V10" s="664" t="s">
        <v>14</v>
      </c>
      <c r="W10" s="665">
        <f t="shared" si="2"/>
        <v>100</v>
      </c>
      <c r="X10" s="666"/>
      <c r="Y10" s="33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85"/>
      <c r="Q11" s="530">
        <f t="shared" si="6"/>
        <v>111</v>
      </c>
      <c r="R11" s="664" t="s">
        <v>14</v>
      </c>
      <c r="S11" s="665">
        <f t="shared" si="0"/>
        <v>100</v>
      </c>
      <c r="T11" s="664" t="s">
        <v>14</v>
      </c>
      <c r="U11" s="665">
        <f t="shared" si="1"/>
        <v>100</v>
      </c>
      <c r="V11" s="664" t="s">
        <v>14</v>
      </c>
      <c r="W11" s="665">
        <f t="shared" si="2"/>
        <v>100</v>
      </c>
      <c r="X11" s="666"/>
      <c r="Y11" s="33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85"/>
      <c r="Q12" s="530">
        <f t="shared" si="6"/>
        <v>111</v>
      </c>
      <c r="R12" s="664" t="s">
        <v>14</v>
      </c>
      <c r="S12" s="665">
        <f t="shared" si="0"/>
        <v>100</v>
      </c>
      <c r="T12" s="664" t="s">
        <v>14</v>
      </c>
      <c r="U12" s="665">
        <f t="shared" si="1"/>
        <v>100</v>
      </c>
      <c r="V12" s="664" t="s">
        <v>14</v>
      </c>
      <c r="W12" s="665">
        <f t="shared" si="2"/>
        <v>100</v>
      </c>
      <c r="X12" s="666"/>
      <c r="Y12" s="339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85"/>
      <c r="Q13" s="530">
        <f t="shared" si="6"/>
        <v>111</v>
      </c>
      <c r="R13" s="664" t="s">
        <v>14</v>
      </c>
      <c r="S13" s="665">
        <f t="shared" si="0"/>
        <v>100</v>
      </c>
      <c r="T13" s="664" t="s">
        <v>14</v>
      </c>
      <c r="U13" s="665">
        <f t="shared" si="1"/>
        <v>100</v>
      </c>
      <c r="V13" s="664" t="s">
        <v>14</v>
      </c>
      <c r="W13" s="665">
        <f t="shared" si="2"/>
        <v>100</v>
      </c>
      <c r="X13" s="666"/>
      <c r="Y13" s="339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78" t="s">
        <v>1691</v>
      </c>
      <c r="Q14" s="1263" t="str">
        <f t="shared" si="6"/>
        <v>交通便捷度</v>
      </c>
      <c r="R14" s="667" t="s">
        <v>14</v>
      </c>
      <c r="S14" s="668">
        <f t="shared" si="0"/>
        <v>100</v>
      </c>
      <c r="T14" s="667" t="s">
        <v>14</v>
      </c>
      <c r="U14" s="668">
        <f t="shared" si="1"/>
        <v>100</v>
      </c>
      <c r="V14" s="667" t="s">
        <v>14</v>
      </c>
      <c r="W14" s="668">
        <f t="shared" si="2"/>
        <v>100</v>
      </c>
      <c r="X14" s="1265"/>
      <c r="Y14" s="34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79"/>
      <c r="Q15" s="1263"/>
      <c r="R15" s="667"/>
      <c r="S15" s="668"/>
      <c r="T15" s="667"/>
      <c r="U15" s="668"/>
      <c r="V15" s="667"/>
      <c r="W15" s="668"/>
      <c r="X15" s="1265"/>
      <c r="Y15" s="347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79"/>
      <c r="Q16" s="1263" t="str">
        <f>B16</f>
        <v>公共配套设施</v>
      </c>
      <c r="R16" s="667" t="s">
        <v>14</v>
      </c>
      <c r="S16" s="668">
        <f>F16</f>
        <v>100</v>
      </c>
      <c r="T16" s="667" t="s">
        <v>14</v>
      </c>
      <c r="U16" s="668">
        <f>H16</f>
        <v>100</v>
      </c>
      <c r="V16" s="667" t="s">
        <v>14</v>
      </c>
      <c r="W16" s="668">
        <f>J16</f>
        <v>100</v>
      </c>
      <c r="X16" s="1265"/>
      <c r="Y16" s="34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79"/>
      <c r="Q17" s="1263"/>
      <c r="R17" s="667"/>
      <c r="S17" s="668"/>
      <c r="T17" s="667"/>
      <c r="U17" s="668"/>
      <c r="V17" s="667"/>
      <c r="W17" s="668"/>
      <c r="X17" s="1265"/>
      <c r="Y17" s="347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79"/>
      <c r="Q18" s="1263" t="str">
        <f>B18</f>
        <v>基础设施水平</v>
      </c>
      <c r="R18" s="667" t="s">
        <v>14</v>
      </c>
      <c r="S18" s="668">
        <f>F18</f>
        <v>100</v>
      </c>
      <c r="T18" s="667" t="s">
        <v>14</v>
      </c>
      <c r="U18" s="668">
        <f>H18</f>
        <v>100</v>
      </c>
      <c r="V18" s="667" t="s">
        <v>14</v>
      </c>
      <c r="W18" s="668">
        <f>J18</f>
        <v>100</v>
      </c>
      <c r="X18" s="1265"/>
      <c r="Y18" s="34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79"/>
      <c r="Q19" s="1263"/>
      <c r="R19" s="667"/>
      <c r="S19" s="668"/>
      <c r="T19" s="667"/>
      <c r="U19" s="668"/>
      <c r="V19" s="667"/>
      <c r="W19" s="668"/>
      <c r="X19" s="1265"/>
      <c r="Y19" s="347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79"/>
      <c r="Q20" s="1263" t="str">
        <f>B20</f>
        <v>自然及人文环境</v>
      </c>
      <c r="R20" s="667" t="s">
        <v>14</v>
      </c>
      <c r="S20" s="668">
        <f>F20</f>
        <v>100</v>
      </c>
      <c r="T20" s="667" t="s">
        <v>14</v>
      </c>
      <c r="U20" s="668">
        <f>H20</f>
        <v>100</v>
      </c>
      <c r="V20" s="667" t="s">
        <v>14</v>
      </c>
      <c r="W20" s="668">
        <f>J20</f>
        <v>100</v>
      </c>
      <c r="X20" s="1265"/>
      <c r="Y20" s="34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79"/>
      <c r="Q21" s="1263"/>
      <c r="R21" s="667"/>
      <c r="S21" s="668"/>
      <c r="T21" s="667"/>
      <c r="U21" s="668"/>
      <c r="V21" s="667"/>
      <c r="W21" s="668"/>
      <c r="X21" s="1265"/>
      <c r="Y21" s="34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79"/>
      <c r="Q22" s="1263" t="str">
        <f>B22</f>
        <v>楼层</v>
      </c>
      <c r="R22" s="667" t="s">
        <v>14</v>
      </c>
      <c r="S22" s="668">
        <f>F22</f>
        <v>100</v>
      </c>
      <c r="T22" s="667" t="s">
        <v>14</v>
      </c>
      <c r="U22" s="668">
        <f>H22</f>
        <v>100</v>
      </c>
      <c r="V22" s="667" t="s">
        <v>14</v>
      </c>
      <c r="W22" s="668">
        <f>J22</f>
        <v>100</v>
      </c>
      <c r="X22" s="1265"/>
      <c r="Y22" s="34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79"/>
      <c r="Q23" s="1263">
        <f>B23</f>
        <v>111</v>
      </c>
      <c r="R23" s="667" t="s">
        <v>14</v>
      </c>
      <c r="S23" s="668">
        <f>F23</f>
        <v>100</v>
      </c>
      <c r="T23" s="667" t="s">
        <v>14</v>
      </c>
      <c r="U23" s="668">
        <f>H23</f>
        <v>100</v>
      </c>
      <c r="V23" s="667" t="s">
        <v>14</v>
      </c>
      <c r="W23" s="668">
        <f>J23</f>
        <v>100</v>
      </c>
      <c r="X23" s="1265"/>
      <c r="Y23" s="34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79"/>
      <c r="Q24" s="1263">
        <f t="shared" ref="Q24:Q36" si="11">B24</f>
        <v>111</v>
      </c>
      <c r="R24" s="667" t="s">
        <v>14</v>
      </c>
      <c r="S24" s="668">
        <f>F24</f>
        <v>100</v>
      </c>
      <c r="T24" s="667" t="s">
        <v>14</v>
      </c>
      <c r="U24" s="668">
        <f>H24</f>
        <v>100</v>
      </c>
      <c r="V24" s="667" t="s">
        <v>14</v>
      </c>
      <c r="W24" s="668">
        <f>J24</f>
        <v>100</v>
      </c>
      <c r="X24" s="1265"/>
      <c r="Y24" s="347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79"/>
      <c r="Q25" s="530">
        <f t="shared" si="11"/>
        <v>111</v>
      </c>
      <c r="R25" s="664" t="s">
        <v>14</v>
      </c>
      <c r="S25" s="665">
        <f>F25</f>
        <v>100</v>
      </c>
      <c r="T25" s="664" t="s">
        <v>14</v>
      </c>
      <c r="U25" s="665">
        <f>H25</f>
        <v>100</v>
      </c>
      <c r="V25" s="664" t="s">
        <v>14</v>
      </c>
      <c r="W25" s="665">
        <f>J25</f>
        <v>100</v>
      </c>
      <c r="X25" s="666"/>
      <c r="Y25" s="347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2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83"/>
      <c r="Q27" s="531" t="str">
        <f t="shared" si="11"/>
        <v>项目停车位配比</v>
      </c>
      <c r="R27" s="669" t="s">
        <v>14</v>
      </c>
      <c r="S27" s="670">
        <f t="shared" si="12"/>
        <v>100</v>
      </c>
      <c r="T27" s="669" t="s">
        <v>14</v>
      </c>
      <c r="U27" s="670">
        <f t="shared" si="13"/>
        <v>100</v>
      </c>
      <c r="V27" s="669" t="s">
        <v>14</v>
      </c>
      <c r="W27" s="670">
        <f t="shared" si="14"/>
        <v>100</v>
      </c>
      <c r="X27" s="671"/>
      <c r="Y27" s="34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83"/>
      <c r="Q28" s="1263" t="str">
        <f t="shared" si="11"/>
        <v>公共部分装修</v>
      </c>
      <c r="R28" s="667" t="s">
        <v>14</v>
      </c>
      <c r="S28" s="668">
        <f t="shared" si="12"/>
        <v>100</v>
      </c>
      <c r="T28" s="667" t="s">
        <v>14</v>
      </c>
      <c r="U28" s="668">
        <f t="shared" si="13"/>
        <v>100</v>
      </c>
      <c r="V28" s="667" t="s">
        <v>14</v>
      </c>
      <c r="W28" s="668">
        <f t="shared" si="14"/>
        <v>100</v>
      </c>
      <c r="X28" s="1265"/>
      <c r="Y28" s="34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83"/>
      <c r="Q29" s="1263" t="str">
        <f t="shared" si="11"/>
        <v>成新率</v>
      </c>
      <c r="R29" s="667" t="s">
        <v>14</v>
      </c>
      <c r="S29" s="668" t="e">
        <f t="shared" si="12"/>
        <v>#N/A</v>
      </c>
      <c r="T29" s="667" t="s">
        <v>14</v>
      </c>
      <c r="U29" s="668" t="e">
        <f t="shared" si="13"/>
        <v>#N/A</v>
      </c>
      <c r="V29" s="667" t="s">
        <v>14</v>
      </c>
      <c r="W29" s="668" t="e">
        <f t="shared" si="14"/>
        <v>#N/A</v>
      </c>
      <c r="X29" s="1265"/>
      <c r="Y29" s="34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83"/>
      <c r="Q30" s="1263" t="str">
        <f t="shared" si="11"/>
        <v>物业等级</v>
      </c>
      <c r="R30" s="667" t="s">
        <v>14</v>
      </c>
      <c r="S30" s="668">
        <f t="shared" si="12"/>
        <v>100</v>
      </c>
      <c r="T30" s="667" t="s">
        <v>14</v>
      </c>
      <c r="U30" s="668">
        <f t="shared" si="13"/>
        <v>100</v>
      </c>
      <c r="V30" s="667" t="s">
        <v>14</v>
      </c>
      <c r="W30" s="668">
        <f t="shared" si="14"/>
        <v>100</v>
      </c>
      <c r="X30" s="1265"/>
      <c r="Y30" s="34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83"/>
      <c r="Q31" s="530" t="str">
        <f t="shared" si="11"/>
        <v>停车位面积</v>
      </c>
      <c r="R31" s="664" t="s">
        <v>14</v>
      </c>
      <c r="S31" s="665" t="e">
        <f t="shared" si="12"/>
        <v>#N/A</v>
      </c>
      <c r="T31" s="664" t="s">
        <v>14</v>
      </c>
      <c r="U31" s="665" t="e">
        <f t="shared" si="13"/>
        <v>#N/A</v>
      </c>
      <c r="V31" s="664" t="s">
        <v>14</v>
      </c>
      <c r="W31" s="665" t="e">
        <f t="shared" si="14"/>
        <v>#N/A</v>
      </c>
      <c r="X31" s="666"/>
      <c r="Y31" s="34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83" t="s">
        <v>1696</v>
      </c>
      <c r="Q32" s="1263" t="str">
        <f t="shared" si="11"/>
        <v>车位类型</v>
      </c>
      <c r="R32" s="667" t="s">
        <v>14</v>
      </c>
      <c r="S32" s="668">
        <f t="shared" si="12"/>
        <v>100</v>
      </c>
      <c r="T32" s="667" t="s">
        <v>14</v>
      </c>
      <c r="U32" s="668">
        <f t="shared" si="13"/>
        <v>100</v>
      </c>
      <c r="V32" s="667" t="s">
        <v>14</v>
      </c>
      <c r="W32" s="668">
        <f t="shared" si="14"/>
        <v>100</v>
      </c>
      <c r="X32" s="1265"/>
      <c r="Y32" s="34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83"/>
      <c r="Q33" s="1263" t="str">
        <f t="shared" si="11"/>
        <v>是否直接入户</v>
      </c>
      <c r="R33" s="667" t="s">
        <v>14</v>
      </c>
      <c r="S33" s="668">
        <f t="shared" si="12"/>
        <v>100</v>
      </c>
      <c r="T33" s="667" t="s">
        <v>14</v>
      </c>
      <c r="U33" s="668">
        <f t="shared" si="13"/>
        <v>100</v>
      </c>
      <c r="V33" s="667" t="s">
        <v>14</v>
      </c>
      <c r="W33" s="668">
        <f t="shared" si="14"/>
        <v>100</v>
      </c>
      <c r="X33" s="1265"/>
      <c r="Y33" s="34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83"/>
      <c r="Q34" s="1263">
        <f t="shared" si="11"/>
        <v>111</v>
      </c>
      <c r="R34" s="667" t="s">
        <v>14</v>
      </c>
      <c r="S34" s="668">
        <f t="shared" si="12"/>
        <v>100</v>
      </c>
      <c r="T34" s="667" t="s">
        <v>14</v>
      </c>
      <c r="U34" s="668">
        <f t="shared" si="13"/>
        <v>100</v>
      </c>
      <c r="V34" s="667" t="s">
        <v>14</v>
      </c>
      <c r="W34" s="668">
        <f t="shared" si="14"/>
        <v>100</v>
      </c>
      <c r="X34" s="1265"/>
      <c r="Y34" s="34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83"/>
      <c r="Q35" s="531">
        <f t="shared" si="11"/>
        <v>111</v>
      </c>
      <c r="R35" s="669" t="s">
        <v>14</v>
      </c>
      <c r="S35" s="670">
        <f t="shared" si="12"/>
        <v>100</v>
      </c>
      <c r="T35" s="669" t="s">
        <v>14</v>
      </c>
      <c r="U35" s="670">
        <f t="shared" si="13"/>
        <v>100</v>
      </c>
      <c r="V35" s="669" t="s">
        <v>14</v>
      </c>
      <c r="W35" s="670">
        <f t="shared" si="14"/>
        <v>100</v>
      </c>
      <c r="X35" s="671"/>
      <c r="Y35" s="348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83"/>
      <c r="Q36" s="1263">
        <f t="shared" si="11"/>
        <v>111</v>
      </c>
      <c r="R36" s="667" t="s">
        <v>14</v>
      </c>
      <c r="S36" s="668">
        <f t="shared" si="12"/>
        <v>100</v>
      </c>
      <c r="T36" s="667" t="s">
        <v>14</v>
      </c>
      <c r="U36" s="668">
        <f t="shared" si="13"/>
        <v>100</v>
      </c>
      <c r="V36" s="667" t="s">
        <v>14</v>
      </c>
      <c r="W36" s="668">
        <f t="shared" si="14"/>
        <v>100</v>
      </c>
      <c r="X36" s="1265"/>
      <c r="Y36" s="3483"/>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85" t="str">
        <f>A37</f>
        <v>成交单价</v>
      </c>
      <c r="Q37" s="3485"/>
      <c r="R37" s="3472">
        <f>E37</f>
        <v>0</v>
      </c>
      <c r="S37" s="3472"/>
      <c r="T37" s="3472">
        <f>G37</f>
        <v>0</v>
      </c>
      <c r="U37" s="3472"/>
      <c r="V37" s="3472">
        <f>I37</f>
        <v>0</v>
      </c>
      <c r="W37" s="347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85" t="str">
        <f>A38</f>
        <v>比较价值（元/平方米）</v>
      </c>
      <c r="Q38" s="3485"/>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24" t="str">
        <f>A39</f>
        <v>估价对象XX用房的比较价值（楼面单价，元/平方米）</v>
      </c>
      <c r="Q39" s="3525"/>
      <c r="R39" s="3528" t="e">
        <f>IF(F1="售价",ROUND(IF(D38="简单平均",AVERAGE(R38:W38),R38*F38+T38*H38+V38*J38),0),ROUND(IF(D38="简单平均",AVERAGE(R38:V38),R38*F38+T38*H38+V38*J38),1))</f>
        <v>#DIV/0!</v>
      </c>
      <c r="S39" s="3528"/>
      <c r="T39" s="3528"/>
      <c r="U39" s="3528"/>
      <c r="V39" s="3528"/>
      <c r="W39" s="352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520" t="s">
        <v>1775</v>
      </c>
      <c r="Q4" s="3521"/>
      <c r="R4" s="3516" t="s">
        <v>1771</v>
      </c>
      <c r="S4" s="3517"/>
      <c r="T4" s="3516" t="s">
        <v>1772</v>
      </c>
      <c r="U4" s="3517"/>
      <c r="V4" s="3472" t="s">
        <v>1773</v>
      </c>
      <c r="W4" s="3472"/>
      <c r="X4" s="1265"/>
      <c r="Y4" s="3516" t="s">
        <v>1775</v>
      </c>
      <c r="Z4" s="3517"/>
      <c r="AA4" s="3515" t="s">
        <v>1771</v>
      </c>
      <c r="AB4" s="3437" t="s">
        <v>1772</v>
      </c>
      <c r="AC4" s="3515" t="s">
        <v>1773</v>
      </c>
    </row>
    <row r="5" spans="1:29" ht="15">
      <c r="A5" s="348"/>
      <c r="B5" s="349"/>
      <c r="C5" s="3447" t="s">
        <v>1673</v>
      </c>
      <c r="D5" s="3448"/>
      <c r="E5" s="3518" t="s">
        <v>1674</v>
      </c>
      <c r="F5" s="3446"/>
      <c r="G5" s="3447" t="s">
        <v>1675</v>
      </c>
      <c r="H5" s="3448"/>
      <c r="I5" s="3447" t="s">
        <v>1676</v>
      </c>
      <c r="J5" s="3448"/>
      <c r="K5" s="537"/>
      <c r="L5" s="2487"/>
      <c r="M5" s="2488"/>
      <c r="N5" s="2488"/>
      <c r="O5" s="2488"/>
      <c r="P5" s="3522"/>
      <c r="Q5" s="3466"/>
      <c r="R5" s="3443"/>
      <c r="S5" s="3444"/>
      <c r="T5" s="3443"/>
      <c r="U5" s="3444"/>
      <c r="V5" s="3472"/>
      <c r="W5" s="3472"/>
      <c r="X5" s="1265"/>
      <c r="Y5" s="3443"/>
      <c r="Z5" s="3444"/>
      <c r="AA5" s="3437"/>
      <c r="AB5" s="3437"/>
      <c r="AC5" s="3437"/>
    </row>
    <row r="6" spans="1:29" ht="15.75" thickBot="1">
      <c r="A6" s="350"/>
      <c r="B6" s="351"/>
      <c r="C6" s="3449" t="s">
        <v>1677</v>
      </c>
      <c r="D6" s="3450"/>
      <c r="E6" s="3519" t="s">
        <v>1677</v>
      </c>
      <c r="F6" s="3453"/>
      <c r="G6" s="3449" t="s">
        <v>1677</v>
      </c>
      <c r="H6" s="3450"/>
      <c r="I6" s="3449" t="s">
        <v>1677</v>
      </c>
      <c r="J6" s="3450"/>
      <c r="K6" s="537" t="s">
        <v>1678</v>
      </c>
      <c r="L6" s="2487"/>
      <c r="M6" s="2488"/>
      <c r="N6" s="2488"/>
      <c r="O6" s="2488"/>
      <c r="P6" s="3523"/>
      <c r="Q6" s="3468"/>
      <c r="R6" s="3443"/>
      <c r="S6" s="3444"/>
      <c r="T6" s="3469"/>
      <c r="U6" s="3470"/>
      <c r="V6" s="3472"/>
      <c r="W6" s="3472"/>
      <c r="X6" s="1265"/>
      <c r="Y6" s="3469"/>
      <c r="Z6" s="3470"/>
      <c r="AA6" s="3438"/>
      <c r="AB6" s="3438"/>
      <c r="AC6" s="3438"/>
    </row>
    <row r="7" spans="1:29" s="102" customFormat="1" ht="15.75" thickBot="1">
      <c r="A7" s="352" t="s">
        <v>1679</v>
      </c>
      <c r="B7" s="353"/>
      <c r="C7" s="354">
        <f>'数据-取费表'!B2</f>
        <v>44926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9" t="s">
        <v>1680</v>
      </c>
      <c r="Q7" s="3475"/>
      <c r="R7" s="664" t="s">
        <v>14</v>
      </c>
      <c r="S7" s="665">
        <f t="shared" ref="S7:S14" si="0">F7</f>
        <v>0</v>
      </c>
      <c r="T7" s="664" t="s">
        <v>14</v>
      </c>
      <c r="U7" s="665">
        <f t="shared" ref="U7:U14" si="1">H7</f>
        <v>0</v>
      </c>
      <c r="V7" s="664" t="s">
        <v>14</v>
      </c>
      <c r="W7" s="665">
        <f t="shared" ref="W7:W14"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9" t="s">
        <v>1683</v>
      </c>
      <c r="Q8" s="3440"/>
      <c r="R8" s="664" t="s">
        <v>14</v>
      </c>
      <c r="S8" s="665">
        <f t="shared" si="0"/>
        <v>100</v>
      </c>
      <c r="T8" s="664" t="s">
        <v>14</v>
      </c>
      <c r="U8" s="665">
        <f t="shared" si="1"/>
        <v>100</v>
      </c>
      <c r="V8" s="664" t="s">
        <v>14</v>
      </c>
      <c r="W8" s="665">
        <f t="shared" si="2"/>
        <v>100</v>
      </c>
      <c r="X8" s="666"/>
      <c r="Y8" s="3439" t="s">
        <v>1683</v>
      </c>
      <c r="Z8" s="344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85" t="s">
        <v>1686</v>
      </c>
      <c r="Q9" s="530" t="str">
        <f t="shared" ref="Q9:Q14" si="6">B9</f>
        <v>用途</v>
      </c>
      <c r="R9" s="664" t="s">
        <v>14</v>
      </c>
      <c r="S9" s="665">
        <f t="shared" si="0"/>
        <v>100</v>
      </c>
      <c r="T9" s="664" t="s">
        <v>14</v>
      </c>
      <c r="U9" s="665">
        <f t="shared" si="1"/>
        <v>100</v>
      </c>
      <c r="V9" s="664" t="s">
        <v>14</v>
      </c>
      <c r="W9" s="665">
        <f t="shared" si="2"/>
        <v>100</v>
      </c>
      <c r="X9" s="666"/>
      <c r="Y9" s="339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85"/>
      <c r="Q10" s="530" t="str">
        <f t="shared" si="6"/>
        <v>土地使用年限（年）</v>
      </c>
      <c r="R10" s="664" t="s">
        <v>14</v>
      </c>
      <c r="S10" s="665">
        <f t="shared" si="0"/>
        <v>100</v>
      </c>
      <c r="T10" s="664" t="s">
        <v>14</v>
      </c>
      <c r="U10" s="665">
        <f t="shared" si="1"/>
        <v>100</v>
      </c>
      <c r="V10" s="664" t="s">
        <v>14</v>
      </c>
      <c r="W10" s="665">
        <f t="shared" si="2"/>
        <v>100</v>
      </c>
      <c r="X10" s="666"/>
      <c r="Y10" s="33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85"/>
      <c r="Q11" s="530">
        <f t="shared" si="6"/>
        <v>111</v>
      </c>
      <c r="R11" s="664" t="s">
        <v>14</v>
      </c>
      <c r="S11" s="665">
        <f t="shared" si="0"/>
        <v>100</v>
      </c>
      <c r="T11" s="664" t="s">
        <v>14</v>
      </c>
      <c r="U11" s="665">
        <f t="shared" si="1"/>
        <v>100</v>
      </c>
      <c r="V11" s="664" t="s">
        <v>14</v>
      </c>
      <c r="W11" s="665">
        <f t="shared" si="2"/>
        <v>100</v>
      </c>
      <c r="X11" s="666"/>
      <c r="Y11" s="33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85"/>
      <c r="Q12" s="530">
        <f t="shared" si="6"/>
        <v>111</v>
      </c>
      <c r="R12" s="664" t="s">
        <v>14</v>
      </c>
      <c r="S12" s="665">
        <f t="shared" si="0"/>
        <v>100</v>
      </c>
      <c r="T12" s="664" t="s">
        <v>14</v>
      </c>
      <c r="U12" s="665">
        <f t="shared" si="1"/>
        <v>100</v>
      </c>
      <c r="V12" s="664" t="s">
        <v>14</v>
      </c>
      <c r="W12" s="665">
        <f t="shared" si="2"/>
        <v>100</v>
      </c>
      <c r="X12" s="666"/>
      <c r="Y12" s="339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85"/>
      <c r="Q13" s="530">
        <f t="shared" si="6"/>
        <v>111</v>
      </c>
      <c r="R13" s="664" t="s">
        <v>14</v>
      </c>
      <c r="S13" s="665">
        <f t="shared" si="0"/>
        <v>100</v>
      </c>
      <c r="T13" s="664" t="s">
        <v>14</v>
      </c>
      <c r="U13" s="665">
        <f t="shared" si="1"/>
        <v>100</v>
      </c>
      <c r="V13" s="664" t="s">
        <v>14</v>
      </c>
      <c r="W13" s="665">
        <f t="shared" si="2"/>
        <v>100</v>
      </c>
      <c r="X13" s="666"/>
      <c r="Y13" s="339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78" t="s">
        <v>1691</v>
      </c>
      <c r="Q14" s="1263" t="str">
        <f t="shared" si="6"/>
        <v>交通便捷度</v>
      </c>
      <c r="R14" s="667" t="s">
        <v>14</v>
      </c>
      <c r="S14" s="668">
        <f t="shared" si="0"/>
        <v>100</v>
      </c>
      <c r="T14" s="667" t="s">
        <v>14</v>
      </c>
      <c r="U14" s="668">
        <f t="shared" si="1"/>
        <v>100</v>
      </c>
      <c r="V14" s="667" t="s">
        <v>14</v>
      </c>
      <c r="W14" s="668">
        <f t="shared" si="2"/>
        <v>100</v>
      </c>
      <c r="X14" s="1265"/>
      <c r="Y14" s="34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79"/>
      <c r="Q15" s="1263"/>
      <c r="R15" s="667"/>
      <c r="S15" s="668"/>
      <c r="T15" s="667"/>
      <c r="U15" s="668"/>
      <c r="V15" s="667"/>
      <c r="W15" s="668"/>
      <c r="X15" s="1265"/>
      <c r="Y15" s="347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79"/>
      <c r="Q16" s="1263" t="str">
        <f>B16</f>
        <v>公共配套设施</v>
      </c>
      <c r="R16" s="667" t="s">
        <v>14</v>
      </c>
      <c r="S16" s="668">
        <f>F16</f>
        <v>100</v>
      </c>
      <c r="T16" s="667" t="s">
        <v>14</v>
      </c>
      <c r="U16" s="668">
        <f>H16</f>
        <v>100</v>
      </c>
      <c r="V16" s="667" t="s">
        <v>14</v>
      </c>
      <c r="W16" s="668">
        <f>J16</f>
        <v>100</v>
      </c>
      <c r="X16" s="1265"/>
      <c r="Y16" s="34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79"/>
      <c r="Q17" s="1263"/>
      <c r="R17" s="667"/>
      <c r="S17" s="668"/>
      <c r="T17" s="667"/>
      <c r="U17" s="668"/>
      <c r="V17" s="667"/>
      <c r="W17" s="668"/>
      <c r="X17" s="1265"/>
      <c r="Y17" s="347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79"/>
      <c r="Q18" s="1263" t="str">
        <f>B18</f>
        <v>基础设施水平</v>
      </c>
      <c r="R18" s="667" t="s">
        <v>14</v>
      </c>
      <c r="S18" s="668">
        <f>F18</f>
        <v>100</v>
      </c>
      <c r="T18" s="667" t="s">
        <v>14</v>
      </c>
      <c r="U18" s="668">
        <f>H18</f>
        <v>100</v>
      </c>
      <c r="V18" s="667" t="s">
        <v>14</v>
      </c>
      <c r="W18" s="668">
        <f>J18</f>
        <v>100</v>
      </c>
      <c r="X18" s="1265"/>
      <c r="Y18" s="34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79"/>
      <c r="Q19" s="1263"/>
      <c r="R19" s="667"/>
      <c r="S19" s="668"/>
      <c r="T19" s="667"/>
      <c r="U19" s="668"/>
      <c r="V19" s="667"/>
      <c r="W19" s="668"/>
      <c r="X19" s="1265"/>
      <c r="Y19" s="347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79"/>
      <c r="Q20" s="1263" t="str">
        <f>B20</f>
        <v>自然及人文环境</v>
      </c>
      <c r="R20" s="667" t="s">
        <v>14</v>
      </c>
      <c r="S20" s="668">
        <f>F20</f>
        <v>100</v>
      </c>
      <c r="T20" s="667" t="s">
        <v>14</v>
      </c>
      <c r="U20" s="668">
        <f>H20</f>
        <v>100</v>
      </c>
      <c r="V20" s="667" t="s">
        <v>14</v>
      </c>
      <c r="W20" s="668">
        <f>J20</f>
        <v>100</v>
      </c>
      <c r="X20" s="1265"/>
      <c r="Y20" s="34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79"/>
      <c r="Q21" s="1263"/>
      <c r="R21" s="667"/>
      <c r="S21" s="668"/>
      <c r="T21" s="667"/>
      <c r="U21" s="668"/>
      <c r="V21" s="667"/>
      <c r="W21" s="668"/>
      <c r="X21" s="1265"/>
      <c r="Y21" s="34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79"/>
      <c r="Q22" s="1263" t="str">
        <f>B22</f>
        <v>楼层</v>
      </c>
      <c r="R22" s="667" t="s">
        <v>14</v>
      </c>
      <c r="S22" s="668">
        <f>F22</f>
        <v>100</v>
      </c>
      <c r="T22" s="667" t="s">
        <v>14</v>
      </c>
      <c r="U22" s="668">
        <f>H22</f>
        <v>100</v>
      </c>
      <c r="V22" s="667" t="s">
        <v>14</v>
      </c>
      <c r="W22" s="668">
        <f>J22</f>
        <v>100</v>
      </c>
      <c r="X22" s="1265"/>
      <c r="Y22" s="34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79"/>
      <c r="Q23" s="1263">
        <f>B23</f>
        <v>111</v>
      </c>
      <c r="R23" s="667" t="s">
        <v>14</v>
      </c>
      <c r="S23" s="668">
        <f>F23</f>
        <v>100</v>
      </c>
      <c r="T23" s="667" t="s">
        <v>14</v>
      </c>
      <c r="U23" s="668">
        <f>H23</f>
        <v>100</v>
      </c>
      <c r="V23" s="667" t="s">
        <v>14</v>
      </c>
      <c r="W23" s="668">
        <f>J23</f>
        <v>100</v>
      </c>
      <c r="X23" s="1265"/>
      <c r="Y23" s="34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79"/>
      <c r="Q24" s="1263">
        <f t="shared" ref="Q24:Q34" si="11">B24</f>
        <v>111</v>
      </c>
      <c r="R24" s="667" t="s">
        <v>14</v>
      </c>
      <c r="S24" s="668">
        <f>F24</f>
        <v>100</v>
      </c>
      <c r="T24" s="667" t="s">
        <v>14</v>
      </c>
      <c r="U24" s="668">
        <f>H24</f>
        <v>100</v>
      </c>
      <c r="V24" s="667" t="s">
        <v>14</v>
      </c>
      <c r="W24" s="668">
        <f>J24</f>
        <v>100</v>
      </c>
      <c r="X24" s="1265"/>
      <c r="Y24" s="347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79"/>
      <c r="Q25" s="530">
        <f t="shared" si="11"/>
        <v>111</v>
      </c>
      <c r="R25" s="664" t="s">
        <v>14</v>
      </c>
      <c r="S25" s="665">
        <f>F25</f>
        <v>100</v>
      </c>
      <c r="T25" s="664" t="s">
        <v>14</v>
      </c>
      <c r="U25" s="665">
        <f>H25</f>
        <v>100</v>
      </c>
      <c r="V25" s="664" t="s">
        <v>14</v>
      </c>
      <c r="W25" s="665">
        <f>J25</f>
        <v>100</v>
      </c>
      <c r="X25" s="666"/>
      <c r="Y25" s="347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2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83"/>
      <c r="Q27" s="531" t="str">
        <f t="shared" si="11"/>
        <v>成新率</v>
      </c>
      <c r="R27" s="669" t="s">
        <v>14</v>
      </c>
      <c r="S27" s="670" t="e">
        <f t="shared" si="12"/>
        <v>#N/A</v>
      </c>
      <c r="T27" s="669" t="s">
        <v>14</v>
      </c>
      <c r="U27" s="670" t="e">
        <f t="shared" si="13"/>
        <v>#N/A</v>
      </c>
      <c r="V27" s="669" t="s">
        <v>14</v>
      </c>
      <c r="W27" s="670" t="e">
        <f t="shared" si="14"/>
        <v>#N/A</v>
      </c>
      <c r="X27" s="671"/>
      <c r="Y27" s="34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83"/>
      <c r="Q28" s="1263" t="str">
        <f t="shared" si="11"/>
        <v>物业等级</v>
      </c>
      <c r="R28" s="667" t="s">
        <v>14</v>
      </c>
      <c r="S28" s="668">
        <f t="shared" si="12"/>
        <v>100</v>
      </c>
      <c r="T28" s="667" t="s">
        <v>14</v>
      </c>
      <c r="U28" s="668">
        <f t="shared" si="13"/>
        <v>100</v>
      </c>
      <c r="V28" s="667" t="s">
        <v>14</v>
      </c>
      <c r="W28" s="668">
        <f t="shared" si="14"/>
        <v>100</v>
      </c>
      <c r="X28" s="1265"/>
      <c r="Y28" s="34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83"/>
      <c r="Q29" s="1263" t="str">
        <f t="shared" si="11"/>
        <v>有无电梯</v>
      </c>
      <c r="R29" s="667" t="s">
        <v>14</v>
      </c>
      <c r="S29" s="668">
        <f t="shared" si="12"/>
        <v>100</v>
      </c>
      <c r="T29" s="667" t="s">
        <v>14</v>
      </c>
      <c r="U29" s="668">
        <f t="shared" si="13"/>
        <v>100</v>
      </c>
      <c r="V29" s="667" t="s">
        <v>14</v>
      </c>
      <c r="W29" s="668">
        <f t="shared" si="14"/>
        <v>100</v>
      </c>
      <c r="X29" s="1265"/>
      <c r="Y29" s="34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83"/>
      <c r="Q30" s="1263" t="str">
        <f t="shared" si="11"/>
        <v>建筑面积</v>
      </c>
      <c r="R30" s="667" t="s">
        <v>14</v>
      </c>
      <c r="S30" s="668" t="e">
        <f t="shared" si="12"/>
        <v>#N/A</v>
      </c>
      <c r="T30" s="667" t="s">
        <v>14</v>
      </c>
      <c r="U30" s="668" t="e">
        <f t="shared" si="13"/>
        <v>#N/A</v>
      </c>
      <c r="V30" s="667" t="s">
        <v>14</v>
      </c>
      <c r="W30" s="668" t="e">
        <f t="shared" si="14"/>
        <v>#N/A</v>
      </c>
      <c r="X30" s="1265"/>
      <c r="Y30" s="34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83"/>
      <c r="Q31" s="530" t="str">
        <f t="shared" si="11"/>
        <v>是否封闭</v>
      </c>
      <c r="R31" s="664" t="s">
        <v>14</v>
      </c>
      <c r="S31" s="665">
        <f t="shared" si="12"/>
        <v>100</v>
      </c>
      <c r="T31" s="664" t="s">
        <v>14</v>
      </c>
      <c r="U31" s="665">
        <f t="shared" si="13"/>
        <v>100</v>
      </c>
      <c r="V31" s="664" t="s">
        <v>14</v>
      </c>
      <c r="W31" s="665">
        <f t="shared" si="14"/>
        <v>100</v>
      </c>
      <c r="X31" s="666"/>
      <c r="Y31" s="34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83" t="s">
        <v>1696</v>
      </c>
      <c r="Q32" s="1263">
        <f t="shared" si="11"/>
        <v>111</v>
      </c>
      <c r="R32" s="667" t="s">
        <v>14</v>
      </c>
      <c r="S32" s="668">
        <f t="shared" si="12"/>
        <v>100</v>
      </c>
      <c r="T32" s="667" t="s">
        <v>14</v>
      </c>
      <c r="U32" s="668">
        <f t="shared" si="13"/>
        <v>100</v>
      </c>
      <c r="V32" s="667" t="s">
        <v>14</v>
      </c>
      <c r="W32" s="668">
        <f t="shared" si="14"/>
        <v>100</v>
      </c>
      <c r="X32" s="1265"/>
      <c r="Y32" s="34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83"/>
      <c r="Q33" s="1263">
        <f t="shared" si="11"/>
        <v>111</v>
      </c>
      <c r="R33" s="667" t="s">
        <v>14</v>
      </c>
      <c r="S33" s="668">
        <f t="shared" si="12"/>
        <v>100</v>
      </c>
      <c r="T33" s="667" t="s">
        <v>14</v>
      </c>
      <c r="U33" s="668">
        <f t="shared" si="13"/>
        <v>100</v>
      </c>
      <c r="V33" s="667" t="s">
        <v>14</v>
      </c>
      <c r="W33" s="668">
        <f t="shared" si="14"/>
        <v>100</v>
      </c>
      <c r="X33" s="1265"/>
      <c r="Y33" s="348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83"/>
      <c r="Q34" s="1263">
        <f t="shared" si="11"/>
        <v>111</v>
      </c>
      <c r="R34" s="667" t="s">
        <v>14</v>
      </c>
      <c r="S34" s="668">
        <f t="shared" si="12"/>
        <v>100</v>
      </c>
      <c r="T34" s="667" t="s">
        <v>14</v>
      </c>
      <c r="U34" s="668">
        <f t="shared" si="13"/>
        <v>100</v>
      </c>
      <c r="V34" s="667" t="s">
        <v>14</v>
      </c>
      <c r="W34" s="668">
        <f t="shared" si="14"/>
        <v>100</v>
      </c>
      <c r="X34" s="1265"/>
      <c r="Y34" s="348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85" t="str">
        <f>A35</f>
        <v>成交单价（元/平方米）</v>
      </c>
      <c r="Q35" s="3485"/>
      <c r="R35" s="3472">
        <f>E35</f>
        <v>0</v>
      </c>
      <c r="S35" s="3472"/>
      <c r="T35" s="3472">
        <f>G35</f>
        <v>0</v>
      </c>
      <c r="U35" s="3472"/>
      <c r="V35" s="3472">
        <f>I35</f>
        <v>0</v>
      </c>
      <c r="W35" s="347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85" t="str">
        <f>A36</f>
        <v>比较价值（元/平方米）</v>
      </c>
      <c r="Q36" s="3485"/>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24" t="str">
        <f>A37</f>
        <v>估价对象XX用房的比较价值（楼面单价，元/平方米）</v>
      </c>
      <c r="Q37" s="3525"/>
      <c r="R37" s="3528" t="e">
        <f>IF(F1="售价",ROUND(IF(D36="简单平均",AVERAGE(R36:W36),R36*F36+T36*H36+V36*J36),0),ROUND(IF(D36="简单平均",AVERAGE(R36:V36),R36*F36+T36*H36+V36*J36),1))</f>
        <v>#DIV/0!</v>
      </c>
      <c r="S37" s="3528"/>
      <c r="T37" s="3528"/>
      <c r="U37" s="3528"/>
      <c r="V37" s="3528"/>
      <c r="W37" s="352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520" t="s">
        <v>1775</v>
      </c>
      <c r="Q4" s="3521"/>
      <c r="R4" s="3516" t="s">
        <v>1771</v>
      </c>
      <c r="S4" s="3517"/>
      <c r="T4" s="3516" t="s">
        <v>1772</v>
      </c>
      <c r="U4" s="3517"/>
      <c r="V4" s="3472" t="s">
        <v>1773</v>
      </c>
      <c r="W4" s="3472"/>
      <c r="X4" s="1265"/>
      <c r="Y4" s="3516" t="s">
        <v>1775</v>
      </c>
      <c r="Z4" s="3517"/>
      <c r="AA4" s="3515" t="s">
        <v>1771</v>
      </c>
      <c r="AB4" s="3437" t="s">
        <v>1772</v>
      </c>
      <c r="AC4" s="3515" t="s">
        <v>1773</v>
      </c>
    </row>
    <row r="5" spans="1:29" ht="15">
      <c r="A5" s="348"/>
      <c r="B5" s="349"/>
      <c r="C5" s="3447" t="s">
        <v>1673</v>
      </c>
      <c r="D5" s="3448"/>
      <c r="E5" s="3518" t="s">
        <v>1674</v>
      </c>
      <c r="F5" s="3446"/>
      <c r="G5" s="3447" t="s">
        <v>1675</v>
      </c>
      <c r="H5" s="3448"/>
      <c r="I5" s="3447" t="s">
        <v>1676</v>
      </c>
      <c r="J5" s="3448"/>
      <c r="K5" s="537"/>
      <c r="L5" s="2487"/>
      <c r="M5" s="2488"/>
      <c r="N5" s="2488"/>
      <c r="O5" s="2488"/>
      <c r="P5" s="3522"/>
      <c r="Q5" s="3466"/>
      <c r="R5" s="3443"/>
      <c r="S5" s="3444"/>
      <c r="T5" s="3443"/>
      <c r="U5" s="3444"/>
      <c r="V5" s="3472"/>
      <c r="W5" s="3472"/>
      <c r="X5" s="1265"/>
      <c r="Y5" s="3443"/>
      <c r="Z5" s="3444"/>
      <c r="AA5" s="3437"/>
      <c r="AB5" s="3437"/>
      <c r="AC5" s="3437"/>
    </row>
    <row r="6" spans="1:29" ht="15.75" thickBot="1">
      <c r="A6" s="350"/>
      <c r="B6" s="351"/>
      <c r="C6" s="3449" t="s">
        <v>1677</v>
      </c>
      <c r="D6" s="3450"/>
      <c r="E6" s="3519" t="s">
        <v>1677</v>
      </c>
      <c r="F6" s="3453"/>
      <c r="G6" s="3449" t="s">
        <v>1677</v>
      </c>
      <c r="H6" s="3450"/>
      <c r="I6" s="3449" t="s">
        <v>1677</v>
      </c>
      <c r="J6" s="3450"/>
      <c r="K6" s="537" t="s">
        <v>1678</v>
      </c>
      <c r="L6" s="2487"/>
      <c r="M6" s="2488"/>
      <c r="N6" s="2488"/>
      <c r="O6" s="2488"/>
      <c r="P6" s="3523"/>
      <c r="Q6" s="3468"/>
      <c r="R6" s="3443"/>
      <c r="S6" s="3444"/>
      <c r="T6" s="3469"/>
      <c r="U6" s="3470"/>
      <c r="V6" s="3472"/>
      <c r="W6" s="3472"/>
      <c r="X6" s="1265"/>
      <c r="Y6" s="3469"/>
      <c r="Z6" s="3470"/>
      <c r="AA6" s="3438"/>
      <c r="AB6" s="3438"/>
      <c r="AC6" s="3438"/>
    </row>
    <row r="7" spans="1:29" s="102" customFormat="1" ht="15.75" thickBot="1">
      <c r="A7" s="352" t="s">
        <v>1679</v>
      </c>
      <c r="B7" s="353"/>
      <c r="C7" s="354">
        <f>'数据-取费表'!B2</f>
        <v>44926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9" t="s">
        <v>1680</v>
      </c>
      <c r="Q7" s="3475"/>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9" t="s">
        <v>1683</v>
      </c>
      <c r="Q8" s="3440"/>
      <c r="R8" s="664" t="s">
        <v>14</v>
      </c>
      <c r="S8" s="665">
        <f t="shared" si="0"/>
        <v>0</v>
      </c>
      <c r="T8" s="664" t="s">
        <v>14</v>
      </c>
      <c r="U8" s="665">
        <f t="shared" si="1"/>
        <v>0</v>
      </c>
      <c r="V8" s="664" t="s">
        <v>14</v>
      </c>
      <c r="W8" s="665">
        <f t="shared" si="2"/>
        <v>0</v>
      </c>
      <c r="X8" s="666"/>
      <c r="Y8" s="3439" t="s">
        <v>1683</v>
      </c>
      <c r="Z8" s="344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85" t="s">
        <v>1686</v>
      </c>
      <c r="Q9" s="530" t="str">
        <f t="shared" ref="Q9:Q15" si="6">B9</f>
        <v>用途</v>
      </c>
      <c r="R9" s="664" t="s">
        <v>14</v>
      </c>
      <c r="S9" s="665">
        <f t="shared" si="0"/>
        <v>100</v>
      </c>
      <c r="T9" s="664" t="s">
        <v>14</v>
      </c>
      <c r="U9" s="665">
        <f t="shared" si="1"/>
        <v>100</v>
      </c>
      <c r="V9" s="664" t="s">
        <v>14</v>
      </c>
      <c r="W9" s="665">
        <f t="shared" si="2"/>
        <v>100</v>
      </c>
      <c r="X9" s="666"/>
      <c r="Y9" s="33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85"/>
      <c r="Q10" s="530" t="str">
        <f t="shared" si="6"/>
        <v>土地使用年限（年）</v>
      </c>
      <c r="R10" s="664" t="s">
        <v>14</v>
      </c>
      <c r="S10" s="665">
        <f t="shared" si="0"/>
        <v>108</v>
      </c>
      <c r="T10" s="664" t="s">
        <v>14</v>
      </c>
      <c r="U10" s="665">
        <f t="shared" si="1"/>
        <v>108</v>
      </c>
      <c r="V10" s="664" t="s">
        <v>14</v>
      </c>
      <c r="W10" s="665">
        <f t="shared" si="2"/>
        <v>108</v>
      </c>
      <c r="X10" s="666"/>
      <c r="Y10" s="3390"/>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85"/>
      <c r="Q11" s="530" t="str">
        <f t="shared" si="6"/>
        <v>容积率</v>
      </c>
      <c r="R11" s="664" t="s">
        <v>14</v>
      </c>
      <c r="S11" s="665" t="e">
        <f t="shared" si="0"/>
        <v>#N/A</v>
      </c>
      <c r="T11" s="664" t="s">
        <v>14</v>
      </c>
      <c r="U11" s="665" t="e">
        <f t="shared" si="1"/>
        <v>#N/A</v>
      </c>
      <c r="V11" s="664" t="s">
        <v>14</v>
      </c>
      <c r="W11" s="665" t="e">
        <f t="shared" si="2"/>
        <v>#N/A</v>
      </c>
      <c r="X11" s="666"/>
      <c r="Y11" s="33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85"/>
      <c r="Q12" s="530" t="str">
        <f t="shared" si="6"/>
        <v>配建</v>
      </c>
      <c r="R12" s="664" t="s">
        <v>14</v>
      </c>
      <c r="S12" s="665">
        <f t="shared" si="0"/>
        <v>100</v>
      </c>
      <c r="T12" s="664" t="s">
        <v>14</v>
      </c>
      <c r="U12" s="665">
        <f t="shared" si="1"/>
        <v>100</v>
      </c>
      <c r="V12" s="664" t="s">
        <v>14</v>
      </c>
      <c r="W12" s="665">
        <f t="shared" si="2"/>
        <v>100</v>
      </c>
      <c r="X12" s="666"/>
      <c r="Y12" s="33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85"/>
      <c r="Q13" s="530">
        <f t="shared" si="6"/>
        <v>111</v>
      </c>
      <c r="R13" s="664" t="s">
        <v>14</v>
      </c>
      <c r="S13" s="665">
        <f t="shared" si="0"/>
        <v>100</v>
      </c>
      <c r="T13" s="664" t="s">
        <v>14</v>
      </c>
      <c r="U13" s="665">
        <f t="shared" si="1"/>
        <v>100</v>
      </c>
      <c r="V13" s="664" t="s">
        <v>14</v>
      </c>
      <c r="W13" s="665">
        <f t="shared" si="2"/>
        <v>100</v>
      </c>
      <c r="X13" s="666"/>
      <c r="Y13" s="339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85"/>
      <c r="Q14" s="530">
        <f t="shared" si="6"/>
        <v>111</v>
      </c>
      <c r="R14" s="664" t="s">
        <v>14</v>
      </c>
      <c r="S14" s="665">
        <f t="shared" si="0"/>
        <v>100</v>
      </c>
      <c r="T14" s="664" t="s">
        <v>14</v>
      </c>
      <c r="U14" s="665">
        <f t="shared" si="1"/>
        <v>100</v>
      </c>
      <c r="V14" s="664" t="s">
        <v>14</v>
      </c>
      <c r="W14" s="665">
        <f t="shared" si="2"/>
        <v>100</v>
      </c>
      <c r="X14" s="666"/>
      <c r="Y14" s="339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78" t="s">
        <v>1691</v>
      </c>
      <c r="Q15" s="1263" t="str">
        <f t="shared" si="6"/>
        <v>居住社区成熟度</v>
      </c>
      <c r="R15" s="667" t="s">
        <v>14</v>
      </c>
      <c r="S15" s="668">
        <f t="shared" si="0"/>
        <v>100</v>
      </c>
      <c r="T15" s="667" t="s">
        <v>14</v>
      </c>
      <c r="U15" s="668">
        <f t="shared" si="1"/>
        <v>100</v>
      </c>
      <c r="V15" s="667" t="s">
        <v>14</v>
      </c>
      <c r="W15" s="668">
        <f t="shared" si="2"/>
        <v>100</v>
      </c>
      <c r="X15" s="1265"/>
      <c r="Y15" s="34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79"/>
      <c r="Q16" s="1263"/>
      <c r="R16" s="667"/>
      <c r="S16" s="668"/>
      <c r="T16" s="667"/>
      <c r="U16" s="668"/>
      <c r="V16" s="667"/>
      <c r="W16" s="668"/>
      <c r="X16" s="1265"/>
      <c r="Y16" s="347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79"/>
      <c r="Q17" s="1263" t="str">
        <f>B17</f>
        <v>商业繁华度</v>
      </c>
      <c r="R17" s="667" t="s">
        <v>14</v>
      </c>
      <c r="S17" s="668">
        <f>F17</f>
        <v>100</v>
      </c>
      <c r="T17" s="667" t="s">
        <v>14</v>
      </c>
      <c r="U17" s="668">
        <f>H17</f>
        <v>100</v>
      </c>
      <c r="V17" s="667" t="s">
        <v>14</v>
      </c>
      <c r="W17" s="668">
        <f>J17</f>
        <v>100</v>
      </c>
      <c r="X17" s="1265"/>
      <c r="Y17" s="34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79"/>
      <c r="Q18" s="1263"/>
      <c r="R18" s="667"/>
      <c r="S18" s="668"/>
      <c r="T18" s="667"/>
      <c r="U18" s="668"/>
      <c r="V18" s="667"/>
      <c r="W18" s="668"/>
      <c r="X18" s="1265"/>
      <c r="Y18" s="347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79"/>
      <c r="Q19" s="1263" t="str">
        <f>B19</f>
        <v>办公集聚程度</v>
      </c>
      <c r="R19" s="667" t="s">
        <v>14</v>
      </c>
      <c r="S19" s="668">
        <f>F19</f>
        <v>100</v>
      </c>
      <c r="T19" s="667" t="s">
        <v>14</v>
      </c>
      <c r="U19" s="668">
        <f>H19</f>
        <v>100</v>
      </c>
      <c r="V19" s="667" t="s">
        <v>14</v>
      </c>
      <c r="W19" s="668">
        <f>J19</f>
        <v>100</v>
      </c>
      <c r="X19" s="1265"/>
      <c r="Y19" s="34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79"/>
      <c r="Q20" s="1263"/>
      <c r="R20" s="667"/>
      <c r="S20" s="668"/>
      <c r="T20" s="667"/>
      <c r="U20" s="668"/>
      <c r="V20" s="667"/>
      <c r="W20" s="668"/>
      <c r="X20" s="1265"/>
      <c r="Y20" s="347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79"/>
      <c r="Q21" s="1263" t="str">
        <f>B21</f>
        <v>交通便捷度</v>
      </c>
      <c r="R21" s="667" t="s">
        <v>14</v>
      </c>
      <c r="S21" s="668">
        <f>F21</f>
        <v>100</v>
      </c>
      <c r="T21" s="667" t="s">
        <v>14</v>
      </c>
      <c r="U21" s="668">
        <f>H21</f>
        <v>100</v>
      </c>
      <c r="V21" s="667" t="s">
        <v>14</v>
      </c>
      <c r="W21" s="668">
        <f>J21</f>
        <v>100</v>
      </c>
      <c r="X21" s="1265"/>
      <c r="Y21" s="34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79"/>
      <c r="Q22" s="1263"/>
      <c r="R22" s="667"/>
      <c r="S22" s="668"/>
      <c r="T22" s="667"/>
      <c r="U22" s="668"/>
      <c r="V22" s="667"/>
      <c r="W22" s="668"/>
      <c r="X22" s="1265"/>
      <c r="Y22" s="347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79"/>
      <c r="Q23" s="1263" t="str">
        <f t="shared" ref="Q23:Q37" si="8">B23</f>
        <v>区域土地利用方向</v>
      </c>
      <c r="R23" s="667" t="s">
        <v>14</v>
      </c>
      <c r="S23" s="668">
        <f>F23</f>
        <v>100</v>
      </c>
      <c r="T23" s="667" t="s">
        <v>14</v>
      </c>
      <c r="U23" s="668">
        <f>H23</f>
        <v>100</v>
      </c>
      <c r="V23" s="667" t="s">
        <v>14</v>
      </c>
      <c r="W23" s="668">
        <f>J23</f>
        <v>100</v>
      </c>
      <c r="X23" s="1265"/>
      <c r="Y23" s="34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79"/>
      <c r="Q24" s="1263"/>
      <c r="R24" s="667"/>
      <c r="S24" s="668"/>
      <c r="T24" s="667"/>
      <c r="U24" s="668"/>
      <c r="V24" s="667"/>
      <c r="W24" s="668"/>
      <c r="X24" s="1265"/>
      <c r="Y24" s="347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79"/>
      <c r="Q25" s="1263" t="str">
        <f t="shared" si="8"/>
        <v>自然及人文环境状况</v>
      </c>
      <c r="R25" s="667" t="s">
        <v>14</v>
      </c>
      <c r="S25" s="668">
        <f>F25</f>
        <v>100</v>
      </c>
      <c r="T25" s="667" t="s">
        <v>14</v>
      </c>
      <c r="U25" s="668">
        <f>H25</f>
        <v>100</v>
      </c>
      <c r="V25" s="667" t="s">
        <v>14</v>
      </c>
      <c r="W25" s="668">
        <f>J25</f>
        <v>100</v>
      </c>
      <c r="X25" s="1265"/>
      <c r="Y25" s="34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79"/>
      <c r="Q26" s="1263"/>
      <c r="R26" s="667"/>
      <c r="S26" s="668"/>
      <c r="T26" s="667"/>
      <c r="U26" s="668"/>
      <c r="V26" s="667"/>
      <c r="W26" s="668"/>
      <c r="X26" s="1265"/>
      <c r="Y26" s="347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79"/>
      <c r="Q27" s="530" t="str">
        <f t="shared" si="8"/>
        <v>公共配套设施</v>
      </c>
      <c r="R27" s="664" t="s">
        <v>14</v>
      </c>
      <c r="S27" s="665">
        <f>F27</f>
        <v>100</v>
      </c>
      <c r="T27" s="664" t="s">
        <v>14</v>
      </c>
      <c r="U27" s="665">
        <f>H27</f>
        <v>100</v>
      </c>
      <c r="V27" s="664" t="s">
        <v>14</v>
      </c>
      <c r="W27" s="665">
        <f>J27</f>
        <v>100</v>
      </c>
      <c r="X27" s="666"/>
      <c r="Y27" s="34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79"/>
      <c r="Q28" s="530"/>
      <c r="R28" s="664"/>
      <c r="S28" s="665"/>
      <c r="T28" s="664"/>
      <c r="U28" s="665"/>
      <c r="V28" s="664"/>
      <c r="W28" s="665"/>
      <c r="X28" s="666"/>
      <c r="Y28" s="347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79"/>
      <c r="Q29" s="530" t="str">
        <f t="shared" ref="Q29" si="9">B29</f>
        <v>基础设施水平</v>
      </c>
      <c r="R29" s="664" t="s">
        <v>14</v>
      </c>
      <c r="S29" s="665">
        <f>F29</f>
        <v>100</v>
      </c>
      <c r="T29" s="664" t="s">
        <v>14</v>
      </c>
      <c r="U29" s="665">
        <f>H29</f>
        <v>100</v>
      </c>
      <c r="V29" s="664" t="s">
        <v>14</v>
      </c>
      <c r="W29" s="665">
        <f>J29</f>
        <v>100</v>
      </c>
      <c r="X29" s="666"/>
      <c r="Y29" s="34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79"/>
      <c r="Q30" s="530"/>
      <c r="R30" s="664"/>
      <c r="S30" s="665"/>
      <c r="T30" s="664"/>
      <c r="U30" s="665"/>
      <c r="V30" s="664"/>
      <c r="W30" s="665"/>
      <c r="X30" s="666"/>
      <c r="Y30" s="34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79"/>
      <c r="Q32" s="1263" t="str">
        <f t="shared" si="8"/>
        <v>毗邻道路的类型与等级</v>
      </c>
      <c r="R32" s="667" t="s">
        <v>14</v>
      </c>
      <c r="S32" s="668">
        <f t="shared" si="10"/>
        <v>100</v>
      </c>
      <c r="T32" s="667" t="s">
        <v>14</v>
      </c>
      <c r="U32" s="668">
        <f t="shared" si="11"/>
        <v>100</v>
      </c>
      <c r="V32" s="667" t="s">
        <v>14</v>
      </c>
      <c r="W32" s="668">
        <f t="shared" si="12"/>
        <v>100</v>
      </c>
      <c r="X32" s="1265"/>
      <c r="Y32" s="34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79"/>
      <c r="Q33" s="1263"/>
      <c r="R33" s="667"/>
      <c r="S33" s="668"/>
      <c r="T33" s="667"/>
      <c r="U33" s="668"/>
      <c r="V33" s="667"/>
      <c r="W33" s="668"/>
      <c r="X33" s="1265"/>
      <c r="Y33" s="34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79"/>
      <c r="Q34" s="1263" t="str">
        <f t="shared" si="8"/>
        <v>土地级别</v>
      </c>
      <c r="R34" s="667" t="s">
        <v>14</v>
      </c>
      <c r="S34" s="668">
        <f t="shared" si="10"/>
        <v>100</v>
      </c>
      <c r="T34" s="667" t="s">
        <v>14</v>
      </c>
      <c r="U34" s="668">
        <f t="shared" si="11"/>
        <v>100</v>
      </c>
      <c r="V34" s="667" t="s">
        <v>14</v>
      </c>
      <c r="W34" s="668">
        <f t="shared" si="12"/>
        <v>100</v>
      </c>
      <c r="X34" s="1265"/>
      <c r="Y34" s="34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79"/>
      <c r="Q35" s="1263">
        <f t="shared" si="8"/>
        <v>111</v>
      </c>
      <c r="R35" s="667" t="s">
        <v>14</v>
      </c>
      <c r="S35" s="668">
        <f t="shared" si="10"/>
        <v>100</v>
      </c>
      <c r="T35" s="667" t="s">
        <v>14</v>
      </c>
      <c r="U35" s="668">
        <f t="shared" si="11"/>
        <v>100</v>
      </c>
      <c r="V35" s="667" t="s">
        <v>14</v>
      </c>
      <c r="W35" s="668">
        <f t="shared" si="12"/>
        <v>100</v>
      </c>
      <c r="X35" s="1265"/>
      <c r="Y35" s="34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27" t="s">
        <v>1696</v>
      </c>
      <c r="Q36" s="1263">
        <f t="shared" si="8"/>
        <v>111</v>
      </c>
      <c r="R36" s="667" t="s">
        <v>14</v>
      </c>
      <c r="S36" s="668">
        <f t="shared" si="10"/>
        <v>100</v>
      </c>
      <c r="T36" s="667" t="s">
        <v>14</v>
      </c>
      <c r="U36" s="668">
        <f t="shared" si="11"/>
        <v>100</v>
      </c>
      <c r="V36" s="667" t="s">
        <v>14</v>
      </c>
      <c r="W36" s="668">
        <f t="shared" si="12"/>
        <v>100</v>
      </c>
      <c r="X36" s="1265"/>
      <c r="Y36" s="348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83"/>
      <c r="Q37" s="1263">
        <f t="shared" si="8"/>
        <v>111</v>
      </c>
      <c r="R37" s="669" t="s">
        <v>14</v>
      </c>
      <c r="S37" s="670">
        <f t="shared" si="10"/>
        <v>100</v>
      </c>
      <c r="T37" s="669" t="s">
        <v>14</v>
      </c>
      <c r="U37" s="670">
        <f t="shared" si="11"/>
        <v>100</v>
      </c>
      <c r="V37" s="669" t="s">
        <v>14</v>
      </c>
      <c r="W37" s="670">
        <f t="shared" si="12"/>
        <v>100</v>
      </c>
      <c r="X37" s="671"/>
      <c r="Y37" s="348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83"/>
      <c r="Q38" s="1263" t="str">
        <f>B38</f>
        <v>宗地面积</v>
      </c>
      <c r="R38" s="667" t="s">
        <v>14</v>
      </c>
      <c r="S38" s="668" t="e">
        <f t="shared" si="10"/>
        <v>#N/A</v>
      </c>
      <c r="T38" s="667" t="s">
        <v>14</v>
      </c>
      <c r="U38" s="668" t="e">
        <f t="shared" si="11"/>
        <v>#N/A</v>
      </c>
      <c r="V38" s="667" t="s">
        <v>14</v>
      </c>
      <c r="W38" s="668" t="e">
        <f t="shared" si="12"/>
        <v>#N/A</v>
      </c>
      <c r="X38" s="1265"/>
      <c r="Y38" s="34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83"/>
      <c r="Q39" s="1263" t="str">
        <f t="shared" ref="Q39:Q45" si="14">B39</f>
        <v>宗地形状</v>
      </c>
      <c r="R39" s="667" t="s">
        <v>14</v>
      </c>
      <c r="S39" s="668">
        <f t="shared" si="10"/>
        <v>100</v>
      </c>
      <c r="T39" s="667" t="s">
        <v>14</v>
      </c>
      <c r="U39" s="668">
        <f t="shared" si="11"/>
        <v>100</v>
      </c>
      <c r="V39" s="667" t="s">
        <v>14</v>
      </c>
      <c r="W39" s="668">
        <f t="shared" si="12"/>
        <v>100</v>
      </c>
      <c r="X39" s="1265"/>
      <c r="Y39" s="34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83"/>
      <c r="Q40" s="1263" t="str">
        <f t="shared" si="14"/>
        <v>临街宽度及深度</v>
      </c>
      <c r="R40" s="667" t="s">
        <v>14</v>
      </c>
      <c r="S40" s="668">
        <f t="shared" si="10"/>
        <v>100</v>
      </c>
      <c r="T40" s="667" t="s">
        <v>14</v>
      </c>
      <c r="U40" s="668">
        <f t="shared" si="11"/>
        <v>100</v>
      </c>
      <c r="V40" s="667" t="s">
        <v>14</v>
      </c>
      <c r="W40" s="668">
        <f t="shared" si="12"/>
        <v>100</v>
      </c>
      <c r="X40" s="1265"/>
      <c r="Y40" s="34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83"/>
      <c r="Q41" s="1263" t="str">
        <f t="shared" si="14"/>
        <v>宗地开发程度</v>
      </c>
      <c r="R41" s="664" t="s">
        <v>14</v>
      </c>
      <c r="S41" s="665">
        <f t="shared" si="10"/>
        <v>100</v>
      </c>
      <c r="T41" s="664" t="s">
        <v>14</v>
      </c>
      <c r="U41" s="665">
        <f t="shared" si="11"/>
        <v>100</v>
      </c>
      <c r="V41" s="664" t="s">
        <v>14</v>
      </c>
      <c r="W41" s="665">
        <f t="shared" si="12"/>
        <v>100</v>
      </c>
      <c r="X41" s="666"/>
      <c r="Y41" s="34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83" t="s">
        <v>1696</v>
      </c>
      <c r="Q42" s="1263" t="str">
        <f t="shared" si="14"/>
        <v>工程地质条件</v>
      </c>
      <c r="R42" s="667" t="s">
        <v>14</v>
      </c>
      <c r="S42" s="668">
        <f t="shared" si="10"/>
        <v>100</v>
      </c>
      <c r="T42" s="667" t="s">
        <v>14</v>
      </c>
      <c r="U42" s="668">
        <f t="shared" si="11"/>
        <v>100</v>
      </c>
      <c r="V42" s="667" t="s">
        <v>14</v>
      </c>
      <c r="W42" s="668">
        <f t="shared" si="12"/>
        <v>100</v>
      </c>
      <c r="X42" s="1265"/>
      <c r="Y42" s="34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83"/>
      <c r="Q43" s="1263">
        <f t="shared" si="14"/>
        <v>111</v>
      </c>
      <c r="R43" s="667" t="s">
        <v>14</v>
      </c>
      <c r="S43" s="668">
        <f t="shared" si="10"/>
        <v>100</v>
      </c>
      <c r="T43" s="667" t="s">
        <v>14</v>
      </c>
      <c r="U43" s="668">
        <f t="shared" si="11"/>
        <v>100</v>
      </c>
      <c r="V43" s="667" t="s">
        <v>14</v>
      </c>
      <c r="W43" s="668">
        <f t="shared" si="12"/>
        <v>100</v>
      </c>
      <c r="X43" s="1265"/>
      <c r="Y43" s="34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83"/>
      <c r="Q44" s="1263">
        <f t="shared" si="14"/>
        <v>111</v>
      </c>
      <c r="R44" s="667" t="s">
        <v>14</v>
      </c>
      <c r="S44" s="668">
        <f t="shared" si="10"/>
        <v>100</v>
      </c>
      <c r="T44" s="667" t="s">
        <v>14</v>
      </c>
      <c r="U44" s="668">
        <f t="shared" si="11"/>
        <v>100</v>
      </c>
      <c r="V44" s="667" t="s">
        <v>14</v>
      </c>
      <c r="W44" s="668">
        <f t="shared" si="12"/>
        <v>100</v>
      </c>
      <c r="X44" s="1265"/>
      <c r="Y44" s="348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83"/>
      <c r="Q45" s="1263">
        <f t="shared" si="14"/>
        <v>111</v>
      </c>
      <c r="R45" s="669" t="s">
        <v>14</v>
      </c>
      <c r="S45" s="670">
        <f t="shared" si="10"/>
        <v>100</v>
      </c>
      <c r="T45" s="669" t="s">
        <v>14</v>
      </c>
      <c r="U45" s="670">
        <f t="shared" si="11"/>
        <v>100</v>
      </c>
      <c r="V45" s="669" t="s">
        <v>14</v>
      </c>
      <c r="W45" s="670">
        <f t="shared" si="12"/>
        <v>100</v>
      </c>
      <c r="X45" s="671"/>
      <c r="Y45" s="348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85" t="str">
        <f>A46</f>
        <v>成交单价</v>
      </c>
      <c r="Q46" s="3485"/>
      <c r="R46" s="3472">
        <f>E46</f>
        <v>0</v>
      </c>
      <c r="S46" s="3472"/>
      <c r="T46" s="3472">
        <f>G46</f>
        <v>0</v>
      </c>
      <c r="U46" s="3472"/>
      <c r="V46" s="3472">
        <f>I46</f>
        <v>0</v>
      </c>
      <c r="W46" s="347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85" t="str">
        <f>A47</f>
        <v>比较价值（元/平方米）</v>
      </c>
      <c r="Q47" s="3485"/>
      <c r="R47" s="3529" t="e">
        <f>ROUND(PRODUCT(R46,AA7:AA45),0)</f>
        <v>#DIV/0!</v>
      </c>
      <c r="S47" s="3529"/>
      <c r="T47" s="3529" t="e">
        <f>ROUND(PRODUCT(T46,AB7:AB45),0)</f>
        <v>#DIV/0!</v>
      </c>
      <c r="U47" s="3529"/>
      <c r="V47" s="3529" t="e">
        <f>ROUND(PRODUCT(V46,AC7:AC45),0)</f>
        <v>#DIV/0!</v>
      </c>
      <c r="W47" s="352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24" t="str">
        <f>A48</f>
        <v>估价对象XX用房的比较价值（楼面单价，元/平方米）</v>
      </c>
      <c r="Q48" s="3525"/>
      <c r="R48" s="3530" t="e">
        <f>ROUND(IF(D47="简单平均",AVERAGE(R47:W47),R47*F47+T47*H47+V47*J47),0)</f>
        <v>#DIV/0!</v>
      </c>
      <c r="S48" s="3530"/>
      <c r="T48" s="3530"/>
      <c r="U48" s="3530"/>
      <c r="V48" s="3530"/>
      <c r="W48" s="353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9" t="s">
        <v>1887</v>
      </c>
      <c r="H55" s="353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25919.38</v>
      </c>
      <c r="F56" s="833" t="e">
        <f t="shared" ref="F56:F64" si="15">ROUND(B56*E56/10000,0)</f>
        <v>#DIV/0!</v>
      </c>
      <c r="G56" s="3455"/>
      <c r="H56" s="348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1484.9900000000002</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27404.370000000003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520" t="s">
        <v>1775</v>
      </c>
      <c r="Q4" s="3521"/>
      <c r="R4" s="3516" t="s">
        <v>1771</v>
      </c>
      <c r="S4" s="3517"/>
      <c r="T4" s="3516" t="s">
        <v>1772</v>
      </c>
      <c r="U4" s="3517"/>
      <c r="V4" s="3472" t="s">
        <v>1773</v>
      </c>
      <c r="W4" s="3472"/>
      <c r="X4" s="1265"/>
      <c r="Y4" s="3516" t="s">
        <v>1775</v>
      </c>
      <c r="Z4" s="3517"/>
      <c r="AA4" s="3515" t="s">
        <v>1771</v>
      </c>
      <c r="AB4" s="3437" t="s">
        <v>1772</v>
      </c>
      <c r="AC4" s="3515" t="s">
        <v>1773</v>
      </c>
    </row>
    <row r="5" spans="1:29" ht="15">
      <c r="A5" s="348"/>
      <c r="B5" s="349"/>
      <c r="C5" s="3447" t="s">
        <v>1673</v>
      </c>
      <c r="D5" s="3448"/>
      <c r="E5" s="3518" t="s">
        <v>1674</v>
      </c>
      <c r="F5" s="3446"/>
      <c r="G5" s="3447" t="s">
        <v>1675</v>
      </c>
      <c r="H5" s="3448"/>
      <c r="I5" s="3447" t="s">
        <v>1676</v>
      </c>
      <c r="J5" s="3448"/>
      <c r="K5" s="537"/>
      <c r="L5" s="2487"/>
      <c r="M5" s="2488"/>
      <c r="N5" s="2488"/>
      <c r="O5" s="2488"/>
      <c r="P5" s="3522"/>
      <c r="Q5" s="3466"/>
      <c r="R5" s="3443"/>
      <c r="S5" s="3444"/>
      <c r="T5" s="3443"/>
      <c r="U5" s="3444"/>
      <c r="V5" s="3472"/>
      <c r="W5" s="3472"/>
      <c r="X5" s="1265"/>
      <c r="Y5" s="3443"/>
      <c r="Z5" s="3444"/>
      <c r="AA5" s="3437"/>
      <c r="AB5" s="3437"/>
      <c r="AC5" s="3437"/>
    </row>
    <row r="6" spans="1:29" ht="15.75" thickBot="1">
      <c r="A6" s="350"/>
      <c r="B6" s="351"/>
      <c r="C6" s="3532" t="s">
        <v>1919</v>
      </c>
      <c r="D6" s="3533"/>
      <c r="E6" s="3534" t="s">
        <v>1919</v>
      </c>
      <c r="F6" s="3535"/>
      <c r="G6" s="3532" t="s">
        <v>1919</v>
      </c>
      <c r="H6" s="3533"/>
      <c r="I6" s="3532" t="s">
        <v>1919</v>
      </c>
      <c r="J6" s="3533"/>
      <c r="K6" s="537" t="s">
        <v>1678</v>
      </c>
      <c r="L6" s="2487"/>
      <c r="M6" s="2488"/>
      <c r="N6" s="2488"/>
      <c r="O6" s="2488"/>
      <c r="P6" s="3523"/>
      <c r="Q6" s="3468"/>
      <c r="R6" s="3443"/>
      <c r="S6" s="3444"/>
      <c r="T6" s="3469"/>
      <c r="U6" s="3470"/>
      <c r="V6" s="3472"/>
      <c r="W6" s="3472"/>
      <c r="X6" s="1265"/>
      <c r="Y6" s="3469"/>
      <c r="Z6" s="3470"/>
      <c r="AA6" s="3438"/>
      <c r="AB6" s="3438"/>
      <c r="AC6" s="3438"/>
    </row>
    <row r="7" spans="1:29" s="102" customFormat="1" ht="15.75" thickBot="1">
      <c r="A7" s="352" t="s">
        <v>1679</v>
      </c>
      <c r="B7" s="353"/>
      <c r="C7" s="354">
        <f>'数据-取费表'!B2</f>
        <v>44926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9" t="s">
        <v>1680</v>
      </c>
      <c r="Q7" s="3475"/>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9" t="s">
        <v>1683</v>
      </c>
      <c r="Q8" s="3440"/>
      <c r="R8" s="664" t="s">
        <v>14</v>
      </c>
      <c r="S8" s="665">
        <f t="shared" si="0"/>
        <v>0</v>
      </c>
      <c r="T8" s="664" t="s">
        <v>14</v>
      </c>
      <c r="U8" s="665">
        <f t="shared" si="1"/>
        <v>0</v>
      </c>
      <c r="V8" s="664" t="s">
        <v>14</v>
      </c>
      <c r="W8" s="665">
        <f t="shared" si="2"/>
        <v>0</v>
      </c>
      <c r="X8" s="666"/>
      <c r="Y8" s="3439" t="s">
        <v>1683</v>
      </c>
      <c r="Z8" s="344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85" t="s">
        <v>1686</v>
      </c>
      <c r="Q9" s="530" t="str">
        <f t="shared" ref="Q9:Q15" si="6">B9</f>
        <v>用途</v>
      </c>
      <c r="R9" s="664" t="s">
        <v>14</v>
      </c>
      <c r="S9" s="665">
        <f t="shared" si="0"/>
        <v>100</v>
      </c>
      <c r="T9" s="664" t="s">
        <v>14</v>
      </c>
      <c r="U9" s="665">
        <f t="shared" si="1"/>
        <v>100</v>
      </c>
      <c r="V9" s="664" t="s">
        <v>14</v>
      </c>
      <c r="W9" s="665">
        <f t="shared" si="2"/>
        <v>100</v>
      </c>
      <c r="X9" s="666"/>
      <c r="Y9" s="33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85"/>
      <c r="Q10" s="530" t="str">
        <f t="shared" si="6"/>
        <v>土地使用年限（年）</v>
      </c>
      <c r="R10" s="664" t="s">
        <v>14</v>
      </c>
      <c r="S10" s="665">
        <f t="shared" si="0"/>
        <v>108</v>
      </c>
      <c r="T10" s="664" t="s">
        <v>14</v>
      </c>
      <c r="U10" s="665">
        <f t="shared" si="1"/>
        <v>108</v>
      </c>
      <c r="V10" s="664" t="s">
        <v>14</v>
      </c>
      <c r="W10" s="665">
        <f t="shared" si="2"/>
        <v>108</v>
      </c>
      <c r="X10" s="666"/>
      <c r="Y10" s="3390"/>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85"/>
      <c r="Q11" s="530" t="str">
        <f t="shared" si="6"/>
        <v>容积率</v>
      </c>
      <c r="R11" s="664" t="s">
        <v>14</v>
      </c>
      <c r="S11" s="665" t="e">
        <f t="shared" si="0"/>
        <v>#N/A</v>
      </c>
      <c r="T11" s="664" t="s">
        <v>14</v>
      </c>
      <c r="U11" s="665" t="e">
        <f t="shared" si="1"/>
        <v>#N/A</v>
      </c>
      <c r="V11" s="664" t="s">
        <v>14</v>
      </c>
      <c r="W11" s="665" t="e">
        <f t="shared" si="2"/>
        <v>#N/A</v>
      </c>
      <c r="X11" s="666"/>
      <c r="Y11" s="33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85"/>
      <c r="Q12" s="530">
        <f t="shared" si="6"/>
        <v>111</v>
      </c>
      <c r="R12" s="664" t="s">
        <v>14</v>
      </c>
      <c r="S12" s="665">
        <f t="shared" si="0"/>
        <v>100</v>
      </c>
      <c r="T12" s="664" t="s">
        <v>14</v>
      </c>
      <c r="U12" s="665">
        <f t="shared" si="1"/>
        <v>100</v>
      </c>
      <c r="V12" s="664" t="s">
        <v>14</v>
      </c>
      <c r="W12" s="665">
        <f t="shared" si="2"/>
        <v>100</v>
      </c>
      <c r="X12" s="666"/>
      <c r="Y12" s="33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85"/>
      <c r="Q13" s="530">
        <f t="shared" si="6"/>
        <v>111</v>
      </c>
      <c r="R13" s="664" t="s">
        <v>14</v>
      </c>
      <c r="S13" s="665">
        <f t="shared" si="0"/>
        <v>100</v>
      </c>
      <c r="T13" s="664" t="s">
        <v>14</v>
      </c>
      <c r="U13" s="665">
        <f t="shared" si="1"/>
        <v>100</v>
      </c>
      <c r="V13" s="664" t="s">
        <v>14</v>
      </c>
      <c r="W13" s="665">
        <f t="shared" si="2"/>
        <v>100</v>
      </c>
      <c r="X13" s="666"/>
      <c r="Y13" s="339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85"/>
      <c r="Q14" s="530">
        <f t="shared" si="6"/>
        <v>111</v>
      </c>
      <c r="R14" s="664" t="s">
        <v>14</v>
      </c>
      <c r="S14" s="665">
        <f t="shared" si="0"/>
        <v>100</v>
      </c>
      <c r="T14" s="664" t="s">
        <v>14</v>
      </c>
      <c r="U14" s="665">
        <f t="shared" si="1"/>
        <v>100</v>
      </c>
      <c r="V14" s="664" t="s">
        <v>14</v>
      </c>
      <c r="W14" s="665">
        <f t="shared" si="2"/>
        <v>100</v>
      </c>
      <c r="X14" s="666"/>
      <c r="Y14" s="339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78" t="s">
        <v>1691</v>
      </c>
      <c r="Q15" s="1263" t="str">
        <f t="shared" si="6"/>
        <v>产业集聚程度</v>
      </c>
      <c r="R15" s="667" t="s">
        <v>14</v>
      </c>
      <c r="S15" s="668">
        <f t="shared" si="0"/>
        <v>100</v>
      </c>
      <c r="T15" s="667" t="s">
        <v>14</v>
      </c>
      <c r="U15" s="668">
        <f t="shared" si="1"/>
        <v>100</v>
      </c>
      <c r="V15" s="667" t="s">
        <v>14</v>
      </c>
      <c r="W15" s="668">
        <f t="shared" si="2"/>
        <v>100</v>
      </c>
      <c r="X15" s="1265"/>
      <c r="Y15" s="34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79"/>
      <c r="Q16" s="1263"/>
      <c r="R16" s="667"/>
      <c r="S16" s="668"/>
      <c r="T16" s="667"/>
      <c r="U16" s="668"/>
      <c r="V16" s="667"/>
      <c r="W16" s="668"/>
      <c r="X16" s="1265"/>
      <c r="Y16" s="347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79"/>
      <c r="Q17" s="1263" t="str">
        <f>B17</f>
        <v>交通便捷度</v>
      </c>
      <c r="R17" s="667" t="s">
        <v>14</v>
      </c>
      <c r="S17" s="668">
        <f>F17</f>
        <v>100</v>
      </c>
      <c r="T17" s="667" t="s">
        <v>14</v>
      </c>
      <c r="U17" s="668">
        <f>H17</f>
        <v>100</v>
      </c>
      <c r="V17" s="667" t="s">
        <v>14</v>
      </c>
      <c r="W17" s="668">
        <f>J17</f>
        <v>100</v>
      </c>
      <c r="X17" s="1265"/>
      <c r="Y17" s="34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79"/>
      <c r="Q18" s="1263"/>
      <c r="R18" s="667"/>
      <c r="S18" s="668"/>
      <c r="T18" s="667"/>
      <c r="U18" s="668"/>
      <c r="V18" s="667"/>
      <c r="W18" s="668"/>
      <c r="X18" s="1265"/>
      <c r="Y18" s="347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79"/>
      <c r="Q19" s="1263" t="str">
        <f t="shared" ref="Q19:Q33" si="8">B19</f>
        <v>区域土地利用方向</v>
      </c>
      <c r="R19" s="667" t="s">
        <v>14</v>
      </c>
      <c r="S19" s="668">
        <f>F19</f>
        <v>100</v>
      </c>
      <c r="T19" s="667" t="s">
        <v>14</v>
      </c>
      <c r="U19" s="668">
        <f>H19</f>
        <v>100</v>
      </c>
      <c r="V19" s="667" t="s">
        <v>14</v>
      </c>
      <c r="W19" s="668">
        <f>J19</f>
        <v>100</v>
      </c>
      <c r="X19" s="1265"/>
      <c r="Y19" s="34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79"/>
      <c r="Q20" s="1263"/>
      <c r="R20" s="667"/>
      <c r="S20" s="668"/>
      <c r="T20" s="667"/>
      <c r="U20" s="668"/>
      <c r="V20" s="667"/>
      <c r="W20" s="668"/>
      <c r="X20" s="1265"/>
      <c r="Y20" s="347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79"/>
      <c r="Q21" s="1263" t="str">
        <f t="shared" si="8"/>
        <v>环境状况</v>
      </c>
      <c r="R21" s="667" t="s">
        <v>14</v>
      </c>
      <c r="S21" s="668">
        <f>F21</f>
        <v>100</v>
      </c>
      <c r="T21" s="667" t="s">
        <v>14</v>
      </c>
      <c r="U21" s="668">
        <f>H21</f>
        <v>100</v>
      </c>
      <c r="V21" s="667" t="s">
        <v>14</v>
      </c>
      <c r="W21" s="668">
        <f>J21</f>
        <v>100</v>
      </c>
      <c r="X21" s="1265"/>
      <c r="Y21" s="34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79"/>
      <c r="Q22" s="1263"/>
      <c r="R22" s="667"/>
      <c r="S22" s="668"/>
      <c r="T22" s="667"/>
      <c r="U22" s="668"/>
      <c r="V22" s="667"/>
      <c r="W22" s="668"/>
      <c r="X22" s="1265"/>
      <c r="Y22" s="347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79"/>
      <c r="Q23" s="530" t="str">
        <f t="shared" si="8"/>
        <v>公共配套设施</v>
      </c>
      <c r="R23" s="664" t="s">
        <v>14</v>
      </c>
      <c r="S23" s="665">
        <f>F23</f>
        <v>100</v>
      </c>
      <c r="T23" s="664" t="s">
        <v>14</v>
      </c>
      <c r="U23" s="665">
        <f>H23</f>
        <v>100</v>
      </c>
      <c r="V23" s="664" t="s">
        <v>14</v>
      </c>
      <c r="W23" s="665">
        <f>J23</f>
        <v>100</v>
      </c>
      <c r="X23" s="666"/>
      <c r="Y23" s="34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79"/>
      <c r="Q24" s="530"/>
      <c r="R24" s="664"/>
      <c r="S24" s="665"/>
      <c r="T24" s="664"/>
      <c r="U24" s="665"/>
      <c r="V24" s="664"/>
      <c r="W24" s="665"/>
      <c r="X24" s="666"/>
      <c r="Y24" s="347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79"/>
      <c r="Q25" s="530" t="str">
        <f t="shared" ref="Q25" si="9">B25</f>
        <v>基础设施水平</v>
      </c>
      <c r="R25" s="664" t="s">
        <v>14</v>
      </c>
      <c r="S25" s="665">
        <f>F25</f>
        <v>100</v>
      </c>
      <c r="T25" s="664" t="s">
        <v>14</v>
      </c>
      <c r="U25" s="665">
        <f>H25</f>
        <v>100</v>
      </c>
      <c r="V25" s="664" t="s">
        <v>14</v>
      </c>
      <c r="W25" s="665">
        <f>J25</f>
        <v>100</v>
      </c>
      <c r="X25" s="666"/>
      <c r="Y25" s="34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79"/>
      <c r="Q26" s="530"/>
      <c r="R26" s="664"/>
      <c r="S26" s="665"/>
      <c r="T26" s="664"/>
      <c r="U26" s="665"/>
      <c r="V26" s="664"/>
      <c r="W26" s="665"/>
      <c r="X26" s="666"/>
      <c r="Y26" s="34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79"/>
      <c r="Q28" s="1263" t="str">
        <f t="shared" si="8"/>
        <v>毗邻道路的类型与等级</v>
      </c>
      <c r="R28" s="667" t="s">
        <v>14</v>
      </c>
      <c r="S28" s="668">
        <f t="shared" si="10"/>
        <v>100</v>
      </c>
      <c r="T28" s="667" t="s">
        <v>14</v>
      </c>
      <c r="U28" s="668">
        <f t="shared" si="11"/>
        <v>100</v>
      </c>
      <c r="V28" s="667" t="s">
        <v>14</v>
      </c>
      <c r="W28" s="668">
        <f t="shared" si="12"/>
        <v>100</v>
      </c>
      <c r="X28" s="1265"/>
      <c r="Y28" s="34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79"/>
      <c r="Q29" s="1263"/>
      <c r="R29" s="667"/>
      <c r="S29" s="668"/>
      <c r="T29" s="667"/>
      <c r="U29" s="668"/>
      <c r="V29" s="667"/>
      <c r="W29" s="668"/>
      <c r="X29" s="1265"/>
      <c r="Y29" s="34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79"/>
      <c r="Q30" s="1263" t="str">
        <f t="shared" si="8"/>
        <v>土地级别</v>
      </c>
      <c r="R30" s="667" t="s">
        <v>14</v>
      </c>
      <c r="S30" s="668">
        <f t="shared" si="10"/>
        <v>100</v>
      </c>
      <c r="T30" s="667" t="s">
        <v>14</v>
      </c>
      <c r="U30" s="668">
        <f t="shared" si="11"/>
        <v>100</v>
      </c>
      <c r="V30" s="667" t="s">
        <v>14</v>
      </c>
      <c r="W30" s="668">
        <f t="shared" si="12"/>
        <v>100</v>
      </c>
      <c r="X30" s="1265"/>
      <c r="Y30" s="34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79"/>
      <c r="Q31" s="1263">
        <f t="shared" si="8"/>
        <v>111</v>
      </c>
      <c r="R31" s="667" t="s">
        <v>14</v>
      </c>
      <c r="S31" s="668">
        <f t="shared" si="10"/>
        <v>100</v>
      </c>
      <c r="T31" s="667" t="s">
        <v>14</v>
      </c>
      <c r="U31" s="668">
        <f t="shared" si="11"/>
        <v>100</v>
      </c>
      <c r="V31" s="667" t="s">
        <v>14</v>
      </c>
      <c r="W31" s="668">
        <f t="shared" si="12"/>
        <v>100</v>
      </c>
      <c r="X31" s="1265"/>
      <c r="Y31" s="34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27" t="s">
        <v>1696</v>
      </c>
      <c r="Q32" s="1263">
        <f t="shared" si="8"/>
        <v>111</v>
      </c>
      <c r="R32" s="667" t="s">
        <v>14</v>
      </c>
      <c r="S32" s="668">
        <f t="shared" si="10"/>
        <v>100</v>
      </c>
      <c r="T32" s="667" t="s">
        <v>14</v>
      </c>
      <c r="U32" s="668">
        <f t="shared" si="11"/>
        <v>100</v>
      </c>
      <c r="V32" s="667" t="s">
        <v>14</v>
      </c>
      <c r="W32" s="668">
        <f t="shared" si="12"/>
        <v>100</v>
      </c>
      <c r="X32" s="1265"/>
      <c r="Y32" s="348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83"/>
      <c r="Q33" s="1263">
        <f t="shared" si="8"/>
        <v>111</v>
      </c>
      <c r="R33" s="669" t="s">
        <v>14</v>
      </c>
      <c r="S33" s="670">
        <f t="shared" si="10"/>
        <v>100</v>
      </c>
      <c r="T33" s="669" t="s">
        <v>14</v>
      </c>
      <c r="U33" s="670">
        <f t="shared" si="11"/>
        <v>100</v>
      </c>
      <c r="V33" s="669" t="s">
        <v>14</v>
      </c>
      <c r="W33" s="670">
        <f t="shared" si="12"/>
        <v>100</v>
      </c>
      <c r="X33" s="671"/>
      <c r="Y33" s="34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83"/>
      <c r="Q34" s="1263" t="str">
        <f>B34</f>
        <v>宗地面积</v>
      </c>
      <c r="R34" s="667" t="s">
        <v>14</v>
      </c>
      <c r="S34" s="668" t="e">
        <f t="shared" si="10"/>
        <v>#N/A</v>
      </c>
      <c r="T34" s="667" t="s">
        <v>14</v>
      </c>
      <c r="U34" s="668" t="e">
        <f t="shared" si="11"/>
        <v>#N/A</v>
      </c>
      <c r="V34" s="667" t="s">
        <v>14</v>
      </c>
      <c r="W34" s="668" t="e">
        <f t="shared" si="12"/>
        <v>#N/A</v>
      </c>
      <c r="X34" s="1265"/>
      <c r="Y34" s="34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83"/>
      <c r="Q35" s="1263" t="str">
        <f t="shared" ref="Q35:Q40" si="14">B35</f>
        <v>宗地形状</v>
      </c>
      <c r="R35" s="667" t="s">
        <v>14</v>
      </c>
      <c r="S35" s="668">
        <f t="shared" si="10"/>
        <v>100</v>
      </c>
      <c r="T35" s="667" t="s">
        <v>14</v>
      </c>
      <c r="U35" s="668">
        <f t="shared" si="11"/>
        <v>100</v>
      </c>
      <c r="V35" s="667" t="s">
        <v>14</v>
      </c>
      <c r="W35" s="668">
        <f t="shared" si="12"/>
        <v>100</v>
      </c>
      <c r="X35" s="1265"/>
      <c r="Y35" s="34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83"/>
      <c r="Q36" s="1263" t="str">
        <f t="shared" si="14"/>
        <v>宗地开发程度</v>
      </c>
      <c r="R36" s="664" t="s">
        <v>14</v>
      </c>
      <c r="S36" s="665">
        <f t="shared" si="10"/>
        <v>100</v>
      </c>
      <c r="T36" s="664" t="s">
        <v>14</v>
      </c>
      <c r="U36" s="665">
        <f t="shared" si="11"/>
        <v>100</v>
      </c>
      <c r="V36" s="664" t="s">
        <v>14</v>
      </c>
      <c r="W36" s="665">
        <f t="shared" si="12"/>
        <v>100</v>
      </c>
      <c r="X36" s="666"/>
      <c r="Y36" s="34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83" t="s">
        <v>1696</v>
      </c>
      <c r="Q37" s="1263" t="str">
        <f t="shared" si="14"/>
        <v>工程地质条件</v>
      </c>
      <c r="R37" s="667" t="s">
        <v>14</v>
      </c>
      <c r="S37" s="668">
        <f t="shared" si="10"/>
        <v>100</v>
      </c>
      <c r="T37" s="667" t="s">
        <v>14</v>
      </c>
      <c r="U37" s="668">
        <f t="shared" si="11"/>
        <v>100</v>
      </c>
      <c r="V37" s="667" t="s">
        <v>14</v>
      </c>
      <c r="W37" s="668">
        <f t="shared" si="12"/>
        <v>100</v>
      </c>
      <c r="X37" s="1265"/>
      <c r="Y37" s="34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83"/>
      <c r="Q38" s="1263">
        <f t="shared" si="14"/>
        <v>111</v>
      </c>
      <c r="R38" s="667" t="s">
        <v>14</v>
      </c>
      <c r="S38" s="668">
        <f t="shared" si="10"/>
        <v>100</v>
      </c>
      <c r="T38" s="667" t="s">
        <v>14</v>
      </c>
      <c r="U38" s="668">
        <f t="shared" si="11"/>
        <v>100</v>
      </c>
      <c r="V38" s="667" t="s">
        <v>14</v>
      </c>
      <c r="W38" s="668">
        <f t="shared" si="12"/>
        <v>100</v>
      </c>
      <c r="X38" s="1265"/>
      <c r="Y38" s="34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83"/>
      <c r="Q39" s="1263">
        <f t="shared" si="14"/>
        <v>111</v>
      </c>
      <c r="R39" s="667" t="s">
        <v>14</v>
      </c>
      <c r="S39" s="668">
        <f t="shared" si="10"/>
        <v>100</v>
      </c>
      <c r="T39" s="667" t="s">
        <v>14</v>
      </c>
      <c r="U39" s="668">
        <f t="shared" si="11"/>
        <v>100</v>
      </c>
      <c r="V39" s="667" t="s">
        <v>14</v>
      </c>
      <c r="W39" s="668">
        <f t="shared" si="12"/>
        <v>100</v>
      </c>
      <c r="X39" s="1265"/>
      <c r="Y39" s="348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83"/>
      <c r="Q40" s="1263">
        <f t="shared" si="14"/>
        <v>111</v>
      </c>
      <c r="R40" s="669" t="s">
        <v>14</v>
      </c>
      <c r="S40" s="670">
        <f t="shared" si="10"/>
        <v>100</v>
      </c>
      <c r="T40" s="669" t="s">
        <v>14</v>
      </c>
      <c r="U40" s="670">
        <f t="shared" si="11"/>
        <v>100</v>
      </c>
      <c r="V40" s="669" t="s">
        <v>14</v>
      </c>
      <c r="W40" s="670">
        <f t="shared" si="12"/>
        <v>100</v>
      </c>
      <c r="X40" s="671"/>
      <c r="Y40" s="348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85" t="str">
        <f>A41</f>
        <v>成交单价</v>
      </c>
      <c r="Q41" s="3485"/>
      <c r="R41" s="3472">
        <f>E41</f>
        <v>0</v>
      </c>
      <c r="S41" s="3472"/>
      <c r="T41" s="3472">
        <f>G41</f>
        <v>0</v>
      </c>
      <c r="U41" s="3472"/>
      <c r="V41" s="3472">
        <f>I41</f>
        <v>0</v>
      </c>
      <c r="W41" s="347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85" t="str">
        <f>A42</f>
        <v>比较价值（元/平方米）</v>
      </c>
      <c r="Q42" s="3485"/>
      <c r="R42" s="3529" t="e">
        <f>ROUND(PRODUCT(R41,AA7:AA40),0)</f>
        <v>#DIV/0!</v>
      </c>
      <c r="S42" s="3529"/>
      <c r="T42" s="3529" t="e">
        <f>ROUND(PRODUCT(T41,AB7:AB40),0)</f>
        <v>#DIV/0!</v>
      </c>
      <c r="U42" s="3529"/>
      <c r="V42" s="3529" t="e">
        <f>ROUND(PRODUCT(V41,AC7:AC40),0)</f>
        <v>#DIV/0!</v>
      </c>
      <c r="W42" s="352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24" t="str">
        <f>A43</f>
        <v>估价对象XX用房的比较价值（楼面单价，元/平方米）</v>
      </c>
      <c r="Q43" s="3525"/>
      <c r="R43" s="3530" t="e">
        <f>ROUND(IF(D42="简单平均",AVERAGE(R42:W42),R42*F42+T42*H42+V42*J42),0)</f>
        <v>#DIV/0!</v>
      </c>
      <c r="S43" s="3530"/>
      <c r="T43" s="3530"/>
      <c r="U43" s="3530"/>
      <c r="V43" s="3530"/>
      <c r="W43" s="353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59" t="s">
        <v>1887</v>
      </c>
      <c r="H50" s="353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25919.38</v>
      </c>
      <c r="F51" s="611" t="e">
        <f t="shared" ref="F51:F60" si="15">ROUND(B51*E51/10000,0)</f>
        <v>#DIV/0!</v>
      </c>
      <c r="G51" s="3455"/>
      <c r="H51" s="348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1484.9900000000002</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10084.67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v>
      </c>
      <c r="B3" s="3224"/>
      <c r="C3" s="3224"/>
      <c r="D3" s="3224"/>
      <c r="E3" s="3224"/>
    </row>
    <row r="4" spans="1:5" ht="19.5" thickBot="1">
      <c r="A4" s="1391"/>
      <c r="B4" s="3222" t="s">
        <v>917</v>
      </c>
      <c r="C4" s="3222"/>
      <c r="D4" s="3222"/>
      <c r="E4" s="1391"/>
    </row>
    <row r="5" spans="1:5" ht="16.5" thickTop="1">
      <c r="B5" s="3220" t="s">
        <v>909</v>
      </c>
      <c r="C5" s="1392" t="s">
        <v>910</v>
      </c>
      <c r="D5" s="797">
        <f ca="1">结果表!H101</f>
        <v>119754</v>
      </c>
    </row>
    <row r="6" spans="1:5" ht="15.75">
      <c r="B6" s="3220"/>
      <c r="C6" s="1392" t="s">
        <v>911</v>
      </c>
      <c r="D6" s="797" t="str">
        <f ca="1">NUMBERSTRING(INT(D5*10000),2)&amp;"元整"</f>
        <v>壹拾壹亿玖仟柒佰伍拾肆万元整</v>
      </c>
    </row>
    <row r="7" spans="1:5" ht="15.75">
      <c r="B7" s="3225"/>
      <c r="C7" s="1393" t="s">
        <v>912</v>
      </c>
      <c r="D7" s="798">
        <f ca="1">结果表!H102</f>
        <v>38292</v>
      </c>
    </row>
    <row r="8" spans="1:5" ht="15.75">
      <c r="B8" s="3226" t="str">
        <f>结果表!E103</f>
        <v>2.估价师知悉的法定优先受偿款</v>
      </c>
      <c r="C8" s="1394" t="s">
        <v>913</v>
      </c>
      <c r="D8" s="798">
        <f>结果表!H103</f>
        <v>0</v>
      </c>
    </row>
    <row r="9" spans="1:5" ht="15.75">
      <c r="B9" s="322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9" t="str">
        <f>结果表!E107</f>
        <v>3.房地产抵押价值</v>
      </c>
      <c r="C13" s="1397" t="s">
        <v>910</v>
      </c>
      <c r="D13" s="800">
        <f ca="1">结果表!H107</f>
        <v>119754</v>
      </c>
    </row>
    <row r="14" spans="1:5" ht="15.75">
      <c r="B14" s="3220"/>
      <c r="C14" s="1392" t="s">
        <v>911</v>
      </c>
      <c r="D14" s="797" t="str">
        <f ca="1">NUMBERSTRING(INT(D13*10000),2)&amp;"元整"</f>
        <v>壹拾壹亿玖仟柒佰伍拾肆万元整</v>
      </c>
    </row>
    <row r="15" spans="1:5" ht="15">
      <c r="B15" s="3225"/>
      <c r="C15" s="1393" t="s">
        <v>921</v>
      </c>
      <c r="D15" s="806">
        <f ca="1">结果表!H108</f>
        <v>38292</v>
      </c>
    </row>
    <row r="16" spans="1:5" ht="15">
      <c r="B16" s="3226" t="str">
        <f>结果表!E109</f>
        <v>——</v>
      </c>
      <c r="C16" s="1397" t="s">
        <v>922</v>
      </c>
      <c r="D16" s="1398" t="str">
        <f>结果表!H109</f>
        <v>——</v>
      </c>
    </row>
    <row r="17" spans="1:5" ht="15.75">
      <c r="B17" s="3227"/>
      <c r="C17" s="1392" t="s">
        <v>923</v>
      </c>
      <c r="D17" s="797" t="e">
        <f>NUMBERSTRING(INT(D16*10000),2)&amp;"元整"</f>
        <v>#VALUE!</v>
      </c>
    </row>
    <row r="18" spans="1:5" ht="15">
      <c r="B18" s="3228"/>
      <c r="C18" s="1393" t="s">
        <v>912</v>
      </c>
      <c r="D18" s="806" t="str">
        <f>结果表!H110</f>
        <v>——</v>
      </c>
    </row>
    <row r="19" spans="1:5" ht="15.75">
      <c r="B19" s="3219" t="str">
        <f>结果表!E111</f>
        <v>——</v>
      </c>
      <c r="C19" s="1397" t="s">
        <v>910</v>
      </c>
      <c r="D19" s="798" t="str">
        <f>结果表!H111</f>
        <v>——</v>
      </c>
    </row>
    <row r="20" spans="1:5" ht="15.75">
      <c r="B20" s="3220"/>
      <c r="C20" s="1392" t="s">
        <v>923</v>
      </c>
      <c r="D20" s="797" t="e">
        <f>NUMBERSTRING(INT(D19*10000),2)&amp;"元整"</f>
        <v>#VALUE!</v>
      </c>
    </row>
    <row r="21" spans="1:5" ht="15.75" thickBot="1">
      <c r="B21" s="322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9" t="s">
        <v>2084</v>
      </c>
      <c r="D1" s="3540"/>
      <c r="E1" s="3540"/>
      <c r="F1" s="3540"/>
      <c r="G1" s="3540"/>
      <c r="H1" s="3540"/>
      <c r="I1" s="3540"/>
      <c r="J1" s="3540"/>
      <c r="K1" s="3540"/>
      <c r="L1" s="3540"/>
      <c r="M1" s="3540"/>
      <c r="N1" s="3540"/>
      <c r="O1" s="3540"/>
      <c r="P1" s="3540"/>
      <c r="Q1" s="3540"/>
      <c r="R1" s="3540"/>
      <c r="S1" s="354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6" t="s">
        <v>27</v>
      </c>
      <c r="D22" s="3537"/>
      <c r="E22" s="3537"/>
      <c r="F22" s="3537"/>
      <c r="G22" s="3537"/>
      <c r="H22" s="3537"/>
      <c r="I22" s="3537"/>
      <c r="J22" s="3537"/>
      <c r="K22" s="3537"/>
      <c r="L22" s="3537"/>
      <c r="M22" s="3537"/>
      <c r="N22" s="3537"/>
      <c r="O22" s="3537"/>
      <c r="P22" s="3537"/>
      <c r="Q22" s="35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49" t="s">
        <v>2607</v>
      </c>
      <c r="B20" s="3542" t="s">
        <v>2628</v>
      </c>
      <c r="C20" s="2843" t="s">
        <v>2439</v>
      </c>
      <c r="D20" s="2844"/>
      <c r="E20" s="2845">
        <v>1</v>
      </c>
      <c r="F20" s="2846" t="s">
        <v>2440</v>
      </c>
      <c r="G20" s="2846"/>
    </row>
    <row r="21" spans="1:13" ht="19.5" customHeight="1">
      <c r="A21" s="3550"/>
      <c r="B21" s="3543"/>
      <c r="C21" s="2847" t="s">
        <v>2441</v>
      </c>
      <c r="D21" s="2848"/>
      <c r="E21" s="2849">
        <v>1</v>
      </c>
      <c r="F21" s="2846" t="s">
        <v>2442</v>
      </c>
      <c r="G21" s="2846"/>
    </row>
    <row r="22" spans="1:13" ht="19.5" customHeight="1">
      <c r="A22" s="3550"/>
      <c r="B22" s="3543"/>
      <c r="C22" s="2847" t="s">
        <v>2443</v>
      </c>
      <c r="D22" s="2848"/>
      <c r="E22" s="2849">
        <v>0.9</v>
      </c>
      <c r="F22" s="2846" t="s">
        <v>2444</v>
      </c>
      <c r="G22" s="2846"/>
    </row>
    <row r="23" spans="1:13" ht="19.5" customHeight="1">
      <c r="A23" s="3550"/>
      <c r="B23" s="3543"/>
      <c r="C23" s="2847" t="s">
        <v>2445</v>
      </c>
      <c r="D23" s="2848"/>
      <c r="E23" s="2849">
        <v>0.9</v>
      </c>
      <c r="F23" s="2846" t="s">
        <v>2446</v>
      </c>
      <c r="G23" s="2846"/>
    </row>
    <row r="24" spans="1:13" ht="19.5" customHeight="1">
      <c r="A24" s="3550"/>
      <c r="B24" s="3543"/>
      <c r="C24" s="2847" t="s">
        <v>2447</v>
      </c>
      <c r="D24" s="2848"/>
      <c r="E24" s="2849">
        <v>0.8</v>
      </c>
      <c r="F24" s="2846" t="s">
        <v>2448</v>
      </c>
      <c r="G24" s="2846"/>
    </row>
    <row r="25" spans="1:13" ht="19.5" customHeight="1" thickBot="1">
      <c r="A25" s="3551"/>
      <c r="B25" s="354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45" t="s">
        <v>2631</v>
      </c>
      <c r="B27" s="3542" t="s">
        <v>2612</v>
      </c>
      <c r="C27" s="2843" t="s">
        <v>2452</v>
      </c>
      <c r="D27" s="2844"/>
      <c r="E27" s="2845">
        <v>1</v>
      </c>
      <c r="F27" s="2846" t="s">
        <v>2453</v>
      </c>
      <c r="G27" s="2846"/>
    </row>
    <row r="28" spans="1:13" ht="19.5" customHeight="1">
      <c r="A28" s="3546"/>
      <c r="B28" s="3543"/>
      <c r="C28" s="2847" t="s">
        <v>2454</v>
      </c>
      <c r="D28" s="2848"/>
      <c r="E28" s="2849">
        <v>1</v>
      </c>
      <c r="F28" s="2846" t="s">
        <v>2455</v>
      </c>
      <c r="G28" s="2846"/>
    </row>
    <row r="29" spans="1:13" ht="19.5" customHeight="1">
      <c r="A29" s="3546"/>
      <c r="B29" s="3543"/>
      <c r="C29" s="2847" t="s">
        <v>2456</v>
      </c>
      <c r="D29" s="2848"/>
      <c r="E29" s="2849">
        <v>0.8</v>
      </c>
      <c r="F29" s="2846" t="s">
        <v>2457</v>
      </c>
      <c r="G29" s="2846"/>
    </row>
    <row r="30" spans="1:13" ht="19.5" customHeight="1">
      <c r="A30" s="3546"/>
      <c r="B30" s="3543"/>
      <c r="C30" s="2847" t="s">
        <v>2458</v>
      </c>
      <c r="D30" s="2848"/>
      <c r="E30" s="2849">
        <v>0.8</v>
      </c>
      <c r="F30" s="2846" t="s">
        <v>2459</v>
      </c>
      <c r="G30" s="2846"/>
    </row>
    <row r="31" spans="1:13" ht="19.5" customHeight="1">
      <c r="A31" s="3546"/>
      <c r="B31" s="3543"/>
      <c r="C31" s="2847" t="s">
        <v>2460</v>
      </c>
      <c r="D31" s="2848"/>
      <c r="E31" s="2849">
        <v>0.8</v>
      </c>
      <c r="F31" s="2846" t="s">
        <v>2461</v>
      </c>
      <c r="G31" s="2846"/>
    </row>
    <row r="32" spans="1:13" ht="19.5" customHeight="1">
      <c r="A32" s="3546"/>
      <c r="B32" s="3543"/>
      <c r="C32" s="2847" t="s">
        <v>2462</v>
      </c>
      <c r="D32" s="2848"/>
      <c r="E32" s="2849">
        <v>0.7</v>
      </c>
      <c r="F32" s="2846" t="s">
        <v>2463</v>
      </c>
      <c r="G32" s="2846"/>
    </row>
    <row r="33" spans="1:7" ht="19.5" customHeight="1">
      <c r="A33" s="3546"/>
      <c r="B33" s="3543"/>
      <c r="C33" s="2847" t="s">
        <v>2464</v>
      </c>
      <c r="D33" s="2848"/>
      <c r="E33" s="2849">
        <v>0.8</v>
      </c>
      <c r="F33" s="2846" t="s">
        <v>2465</v>
      </c>
      <c r="G33" s="2846"/>
    </row>
    <row r="34" spans="1:7" ht="19.5" customHeight="1">
      <c r="A34" s="3546"/>
      <c r="B34" s="3543"/>
      <c r="C34" s="2847" t="s">
        <v>2466</v>
      </c>
      <c r="D34" s="2848"/>
      <c r="E34" s="2849">
        <v>0.6</v>
      </c>
      <c r="F34" s="2846" t="s">
        <v>2467</v>
      </c>
      <c r="G34" s="2846"/>
    </row>
    <row r="35" spans="1:7" ht="19.5" customHeight="1">
      <c r="A35" s="3546"/>
      <c r="B35" s="3543"/>
      <c r="C35" s="2847" t="s">
        <v>2468</v>
      </c>
      <c r="D35" s="2848"/>
      <c r="E35" s="2849">
        <v>0.2</v>
      </c>
      <c r="F35" s="2846" t="s">
        <v>2469</v>
      </c>
      <c r="G35" s="2846"/>
    </row>
    <row r="36" spans="1:7" ht="19.5" customHeight="1">
      <c r="A36" s="3546"/>
      <c r="B36" s="3543"/>
      <c r="C36" s="2847" t="s">
        <v>2470</v>
      </c>
      <c r="D36" s="2848"/>
      <c r="E36" s="2849">
        <v>0.2</v>
      </c>
      <c r="F36" s="2846" t="s">
        <v>2471</v>
      </c>
      <c r="G36" s="2846"/>
    </row>
    <row r="37" spans="1:7" ht="19.5" customHeight="1">
      <c r="A37" s="3546"/>
      <c r="B37" s="3548" t="s">
        <v>2632</v>
      </c>
      <c r="C37" s="2847" t="s">
        <v>2472</v>
      </c>
      <c r="D37" s="2848"/>
      <c r="E37" s="2849">
        <v>0.6</v>
      </c>
      <c r="F37" s="2846" t="s">
        <v>2473</v>
      </c>
      <c r="G37" s="2846"/>
    </row>
    <row r="38" spans="1:7" ht="19.5" customHeight="1">
      <c r="A38" s="3546"/>
      <c r="B38" s="3543"/>
      <c r="C38" s="2847" t="s">
        <v>2474</v>
      </c>
      <c r="D38" s="2848"/>
      <c r="E38" s="2849">
        <v>0.6</v>
      </c>
      <c r="F38" s="2846" t="s">
        <v>2475</v>
      </c>
      <c r="G38" s="2846"/>
    </row>
    <row r="39" spans="1:7" ht="19.5" customHeight="1" thickBot="1">
      <c r="A39" s="3547"/>
      <c r="B39" s="354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49" t="s">
        <v>2610</v>
      </c>
      <c r="B41" s="3542" t="s">
        <v>2634</v>
      </c>
      <c r="C41" s="2843" t="s">
        <v>2479</v>
      </c>
      <c r="D41" s="2844"/>
      <c r="E41" s="2845">
        <v>1</v>
      </c>
      <c r="F41" s="2846" t="s">
        <v>2480</v>
      </c>
      <c r="G41" s="2846"/>
    </row>
    <row r="42" spans="1:7" ht="19.5" customHeight="1">
      <c r="A42" s="3550"/>
      <c r="B42" s="3543"/>
      <c r="C42" s="2847" t="s">
        <v>2481</v>
      </c>
      <c r="D42" s="2848"/>
      <c r="E42" s="2849">
        <v>1</v>
      </c>
      <c r="F42" s="2846" t="s">
        <v>2482</v>
      </c>
      <c r="G42" s="2846"/>
    </row>
    <row r="43" spans="1:7" ht="19.5" customHeight="1">
      <c r="A43" s="3550"/>
      <c r="B43" s="3552"/>
      <c r="C43" s="2847" t="s">
        <v>2483</v>
      </c>
      <c r="D43" s="2848"/>
      <c r="E43" s="2849">
        <v>1.5</v>
      </c>
      <c r="F43" s="2846" t="s">
        <v>2484</v>
      </c>
      <c r="G43" s="2846"/>
    </row>
    <row r="44" spans="1:7" ht="19.5" customHeight="1">
      <c r="A44" s="3550"/>
      <c r="B44" s="2858" t="s">
        <v>2635</v>
      </c>
      <c r="C44" s="2847" t="s">
        <v>2636</v>
      </c>
      <c r="D44" s="2848"/>
      <c r="E44" s="2849">
        <v>2</v>
      </c>
      <c r="F44" s="2846" t="s">
        <v>2485</v>
      </c>
      <c r="G44" s="2846"/>
    </row>
    <row r="45" spans="1:7" ht="19.5" customHeight="1">
      <c r="A45" s="3550"/>
      <c r="B45" s="3548" t="s">
        <v>2637</v>
      </c>
      <c r="C45" s="2847" t="s">
        <v>2486</v>
      </c>
      <c r="D45" s="2848"/>
      <c r="E45" s="2849">
        <v>1</v>
      </c>
      <c r="F45" s="2846" t="s">
        <v>2487</v>
      </c>
      <c r="G45" s="2846"/>
    </row>
    <row r="46" spans="1:7" ht="19.5" customHeight="1">
      <c r="A46" s="3550"/>
      <c r="B46" s="3543"/>
      <c r="C46" s="2847" t="s">
        <v>2488</v>
      </c>
      <c r="D46" s="2848"/>
      <c r="E46" s="2849">
        <v>1</v>
      </c>
      <c r="F46" s="2846" t="s">
        <v>2489</v>
      </c>
      <c r="G46" s="2846"/>
    </row>
    <row r="47" spans="1:7" ht="19.5" customHeight="1">
      <c r="A47" s="3550"/>
      <c r="B47" s="3543"/>
      <c r="C47" s="2847" t="s">
        <v>2490</v>
      </c>
      <c r="D47" s="2848"/>
      <c r="E47" s="2849">
        <v>1</v>
      </c>
      <c r="F47" s="2846" t="s">
        <v>2491</v>
      </c>
      <c r="G47" s="2846"/>
    </row>
    <row r="48" spans="1:7" ht="19.5" customHeight="1">
      <c r="A48" s="3550"/>
      <c r="B48" s="3543"/>
      <c r="C48" s="2847" t="s">
        <v>2492</v>
      </c>
      <c r="D48" s="2848"/>
      <c r="E48" s="2849">
        <v>1</v>
      </c>
      <c r="F48" s="2846" t="s">
        <v>2493</v>
      </c>
      <c r="G48" s="2846"/>
    </row>
    <row r="49" spans="1:7" ht="19.5" customHeight="1">
      <c r="A49" s="3550"/>
      <c r="B49" s="3543"/>
      <c r="C49" s="2847" t="s">
        <v>2494</v>
      </c>
      <c r="D49" s="2848"/>
      <c r="E49" s="2849">
        <v>1</v>
      </c>
      <c r="F49" s="2846" t="s">
        <v>2495</v>
      </c>
      <c r="G49" s="2846"/>
    </row>
    <row r="50" spans="1:7" ht="19.5" customHeight="1">
      <c r="A50" s="3550"/>
      <c r="B50" s="3543"/>
      <c r="C50" s="2847" t="s">
        <v>2496</v>
      </c>
      <c r="D50" s="2848"/>
      <c r="E50" s="2849">
        <v>1</v>
      </c>
      <c r="F50" s="2846" t="s">
        <v>2497</v>
      </c>
      <c r="G50" s="2846"/>
    </row>
    <row r="51" spans="1:7" ht="19.5" customHeight="1" thickBot="1">
      <c r="A51" s="3551"/>
      <c r="B51" s="354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48" t="s">
        <v>2651</v>
      </c>
      <c r="C73" s="2832" t="s">
        <v>2652</v>
      </c>
      <c r="D73" s="2832" t="s">
        <v>2653</v>
      </c>
      <c r="E73" s="2858">
        <v>0.2</v>
      </c>
      <c r="F73" s="2858">
        <v>25</v>
      </c>
    </row>
    <row r="74" spans="1:7" ht="24">
      <c r="A74" s="2858">
        <v>2</v>
      </c>
      <c r="B74" s="3543"/>
      <c r="C74" s="2832" t="s">
        <v>2654</v>
      </c>
      <c r="D74" s="2832" t="s">
        <v>2655</v>
      </c>
      <c r="E74" s="2858">
        <v>0.2</v>
      </c>
      <c r="F74" s="2858">
        <v>25</v>
      </c>
    </row>
    <row r="75" spans="1:7" ht="24">
      <c r="A75" s="2858">
        <v>3</v>
      </c>
      <c r="B75" s="3543"/>
      <c r="C75" s="2832" t="s">
        <v>2656</v>
      </c>
      <c r="D75" s="2832" t="s">
        <v>2657</v>
      </c>
      <c r="E75" s="2858">
        <v>0.2</v>
      </c>
      <c r="F75" s="2858">
        <v>25</v>
      </c>
    </row>
    <row r="76" spans="1:7" ht="13.5">
      <c r="A76" s="2858">
        <v>4</v>
      </c>
      <c r="B76" s="3543"/>
      <c r="C76" s="2832" t="s">
        <v>2658</v>
      </c>
      <c r="D76" s="2832" t="s">
        <v>2659</v>
      </c>
      <c r="E76" s="2858">
        <v>0.15</v>
      </c>
      <c r="F76" s="2858">
        <v>20</v>
      </c>
    </row>
    <row r="77" spans="1:7" ht="24">
      <c r="A77" s="2858">
        <v>5</v>
      </c>
      <c r="B77" s="3543"/>
      <c r="C77" s="2832" t="s">
        <v>2660</v>
      </c>
      <c r="D77" s="2832" t="s">
        <v>2661</v>
      </c>
      <c r="E77" s="2858">
        <v>0.15</v>
      </c>
      <c r="F77" s="2858">
        <v>20</v>
      </c>
    </row>
    <row r="78" spans="1:7" ht="24">
      <c r="A78" s="2858">
        <v>6</v>
      </c>
      <c r="B78" s="3543"/>
      <c r="C78" s="2832" t="s">
        <v>2662</v>
      </c>
      <c r="D78" s="2832" t="s">
        <v>2663</v>
      </c>
      <c r="E78" s="2858">
        <v>0.15</v>
      </c>
      <c r="F78" s="2858">
        <v>20</v>
      </c>
    </row>
    <row r="79" spans="1:7" ht="24">
      <c r="A79" s="2858">
        <v>7</v>
      </c>
      <c r="B79" s="3543"/>
      <c r="C79" s="2832" t="s">
        <v>2664</v>
      </c>
      <c r="D79" s="2832" t="s">
        <v>2665</v>
      </c>
      <c r="E79" s="2858">
        <v>0.15</v>
      </c>
      <c r="F79" s="2858">
        <v>20</v>
      </c>
    </row>
    <row r="80" spans="1:7" ht="24">
      <c r="A80" s="2858">
        <v>8</v>
      </c>
      <c r="B80" s="3543"/>
      <c r="C80" s="2832" t="s">
        <v>2666</v>
      </c>
      <c r="D80" s="2832" t="s">
        <v>2667</v>
      </c>
      <c r="E80" s="2858">
        <v>0.1</v>
      </c>
      <c r="F80" s="2858">
        <v>15</v>
      </c>
    </row>
    <row r="81" spans="1:6" ht="24">
      <c r="A81" s="2858">
        <v>9</v>
      </c>
      <c r="B81" s="3543"/>
      <c r="C81" s="2832" t="s">
        <v>2668</v>
      </c>
      <c r="D81" s="2832" t="s">
        <v>2669</v>
      </c>
      <c r="E81" s="2858">
        <v>0.1</v>
      </c>
      <c r="F81" s="2858">
        <v>15</v>
      </c>
    </row>
    <row r="82" spans="1:6" ht="24">
      <c r="A82" s="2858">
        <v>10</v>
      </c>
      <c r="B82" s="3543"/>
      <c r="C82" s="2832" t="s">
        <v>2670</v>
      </c>
      <c r="D82" s="2832" t="s">
        <v>2671</v>
      </c>
      <c r="E82" s="2858">
        <v>0.1</v>
      </c>
      <c r="F82" s="2858">
        <v>15</v>
      </c>
    </row>
    <row r="83" spans="1:6" ht="24">
      <c r="A83" s="2858">
        <v>11</v>
      </c>
      <c r="B83" s="3543"/>
      <c r="C83" s="2832" t="s">
        <v>2672</v>
      </c>
      <c r="D83" s="2832" t="s">
        <v>2673</v>
      </c>
      <c r="E83" s="2858">
        <v>0.1</v>
      </c>
      <c r="F83" s="2858">
        <v>15</v>
      </c>
    </row>
    <row r="84" spans="1:6" ht="24">
      <c r="A84" s="2858">
        <v>12</v>
      </c>
      <c r="B84" s="3543"/>
      <c r="C84" s="2832" t="s">
        <v>2674</v>
      </c>
      <c r="D84" s="2832" t="s">
        <v>2675</v>
      </c>
      <c r="E84" s="2858">
        <v>0.1</v>
      </c>
      <c r="F84" s="2858">
        <v>15</v>
      </c>
    </row>
    <row r="85" spans="1:6" ht="13.5">
      <c r="A85" s="2858">
        <v>13</v>
      </c>
      <c r="B85" s="3543"/>
      <c r="C85" s="2832" t="s">
        <v>2676</v>
      </c>
      <c r="D85" s="2832" t="s">
        <v>2677</v>
      </c>
      <c r="E85" s="2858">
        <v>0.1</v>
      </c>
      <c r="F85" s="2858">
        <v>15</v>
      </c>
    </row>
    <row r="86" spans="1:6" ht="13.5">
      <c r="A86" s="2858">
        <v>14</v>
      </c>
      <c r="B86" s="3543"/>
      <c r="C86" s="2832" t="s">
        <v>2678</v>
      </c>
      <c r="D86" s="2832" t="s">
        <v>2679</v>
      </c>
      <c r="E86" s="2858">
        <v>0.1</v>
      </c>
      <c r="F86" s="2858">
        <v>15</v>
      </c>
    </row>
    <row r="87" spans="1:6" ht="13.5">
      <c r="A87" s="2858">
        <v>15</v>
      </c>
      <c r="B87" s="3543"/>
      <c r="C87" s="2832" t="s">
        <v>2680</v>
      </c>
      <c r="D87" s="2832" t="s">
        <v>2681</v>
      </c>
      <c r="E87" s="2858">
        <v>0.1</v>
      </c>
      <c r="F87" s="2858">
        <v>15</v>
      </c>
    </row>
    <row r="88" spans="1:6" ht="24">
      <c r="A88" s="2858">
        <v>16</v>
      </c>
      <c r="B88" s="3543"/>
      <c r="C88" s="2832" t="s">
        <v>2682</v>
      </c>
      <c r="D88" s="2832" t="s">
        <v>2683</v>
      </c>
      <c r="E88" s="2858">
        <v>0.1</v>
      </c>
      <c r="F88" s="2858">
        <v>15</v>
      </c>
    </row>
    <row r="89" spans="1:6" ht="24">
      <c r="A89" s="2858">
        <v>17</v>
      </c>
      <c r="B89" s="3552"/>
      <c r="C89" s="2832" t="s">
        <v>2684</v>
      </c>
      <c r="D89" s="2832" t="s">
        <v>2685</v>
      </c>
      <c r="E89" s="2858">
        <v>0.1</v>
      </c>
      <c r="F89" s="2858">
        <v>15</v>
      </c>
    </row>
    <row r="90" spans="1:6" ht="13.5">
      <c r="A90" s="2858">
        <v>18</v>
      </c>
      <c r="B90" s="3548" t="s">
        <v>2686</v>
      </c>
      <c r="C90" s="2832" t="s">
        <v>2687</v>
      </c>
      <c r="D90" s="2832" t="s">
        <v>2688</v>
      </c>
      <c r="E90" s="2858">
        <v>0.2</v>
      </c>
      <c r="F90" s="2858">
        <v>25</v>
      </c>
    </row>
    <row r="91" spans="1:6" ht="24">
      <c r="A91" s="2858">
        <v>19</v>
      </c>
      <c r="B91" s="3543"/>
      <c r="C91" s="2832" t="s">
        <v>2689</v>
      </c>
      <c r="D91" s="2832" t="s">
        <v>2690</v>
      </c>
      <c r="E91" s="2858">
        <v>0.2</v>
      </c>
      <c r="F91" s="2858">
        <v>25</v>
      </c>
    </row>
    <row r="92" spans="1:6" ht="13.5">
      <c r="A92" s="2858">
        <v>20</v>
      </c>
      <c r="B92" s="3543"/>
      <c r="C92" s="2832" t="s">
        <v>2691</v>
      </c>
      <c r="D92" s="2832" t="s">
        <v>2692</v>
      </c>
      <c r="E92" s="2858">
        <v>0.15</v>
      </c>
      <c r="F92" s="2858">
        <v>20</v>
      </c>
    </row>
    <row r="93" spans="1:6" ht="13.5">
      <c r="A93" s="2858">
        <v>21</v>
      </c>
      <c r="B93" s="3543"/>
      <c r="C93" s="2832" t="s">
        <v>2693</v>
      </c>
      <c r="D93" s="2832" t="s">
        <v>2694</v>
      </c>
      <c r="E93" s="2858">
        <v>0.15</v>
      </c>
      <c r="F93" s="2858">
        <v>20</v>
      </c>
    </row>
    <row r="94" spans="1:6" ht="13.5">
      <c r="A94" s="2858">
        <v>22</v>
      </c>
      <c r="B94" s="3543"/>
      <c r="C94" s="2832" t="s">
        <v>2695</v>
      </c>
      <c r="D94" s="2832" t="s">
        <v>2696</v>
      </c>
      <c r="E94" s="2858">
        <v>0.15</v>
      </c>
      <c r="F94" s="2858">
        <v>20</v>
      </c>
    </row>
    <row r="95" spans="1:6" ht="36">
      <c r="A95" s="2858">
        <v>23</v>
      </c>
      <c r="B95" s="3543"/>
      <c r="C95" s="2832" t="s">
        <v>2697</v>
      </c>
      <c r="D95" s="2832" t="s">
        <v>2698</v>
      </c>
      <c r="E95" s="2858">
        <v>0.15</v>
      </c>
      <c r="F95" s="2858">
        <v>20</v>
      </c>
    </row>
    <row r="96" spans="1:6" ht="13.5">
      <c r="A96" s="2858">
        <v>24</v>
      </c>
      <c r="B96" s="3543"/>
      <c r="C96" s="2832" t="s">
        <v>2699</v>
      </c>
      <c r="D96" s="2832" t="s">
        <v>2700</v>
      </c>
      <c r="E96" s="2858">
        <v>0.1</v>
      </c>
      <c r="F96" s="2858">
        <v>15</v>
      </c>
    </row>
    <row r="97" spans="1:6" ht="13.5">
      <c r="A97" s="2858">
        <v>25</v>
      </c>
      <c r="B97" s="3543"/>
      <c r="C97" s="2832" t="s">
        <v>2701</v>
      </c>
      <c r="D97" s="2832" t="s">
        <v>2702</v>
      </c>
      <c r="E97" s="2858">
        <v>0.1</v>
      </c>
      <c r="F97" s="2858">
        <v>15</v>
      </c>
    </row>
    <row r="98" spans="1:6" ht="24">
      <c r="A98" s="2858">
        <v>26</v>
      </c>
      <c r="B98" s="3543"/>
      <c r="C98" s="2832" t="s">
        <v>2703</v>
      </c>
      <c r="D98" s="2832" t="s">
        <v>2704</v>
      </c>
      <c r="E98" s="2858">
        <v>0.1</v>
      </c>
      <c r="F98" s="2858">
        <v>15</v>
      </c>
    </row>
    <row r="99" spans="1:6" ht="24">
      <c r="A99" s="2858">
        <v>27</v>
      </c>
      <c r="B99" s="3543"/>
      <c r="C99" s="2832" t="s">
        <v>2705</v>
      </c>
      <c r="D99" s="2832" t="s">
        <v>2706</v>
      </c>
      <c r="E99" s="2858">
        <v>0.1</v>
      </c>
      <c r="F99" s="2858">
        <v>15</v>
      </c>
    </row>
    <row r="100" spans="1:6" ht="13.5">
      <c r="A100" s="2858">
        <v>28</v>
      </c>
      <c r="B100" s="3543"/>
      <c r="C100" s="2832" t="s">
        <v>2707</v>
      </c>
      <c r="D100" s="2832" t="s">
        <v>2708</v>
      </c>
      <c r="E100" s="2858">
        <v>0.1</v>
      </c>
      <c r="F100" s="2858">
        <v>15</v>
      </c>
    </row>
    <row r="101" spans="1:6" ht="13.5">
      <c r="A101" s="2858">
        <v>29</v>
      </c>
      <c r="B101" s="3543"/>
      <c r="C101" s="2832" t="s">
        <v>2709</v>
      </c>
      <c r="D101" s="2832" t="s">
        <v>2710</v>
      </c>
      <c r="E101" s="2858">
        <v>0.1</v>
      </c>
      <c r="F101" s="2858">
        <v>15</v>
      </c>
    </row>
    <row r="102" spans="1:6" ht="13.5">
      <c r="A102" s="2858">
        <v>30</v>
      </c>
      <c r="B102" s="3543"/>
      <c r="C102" s="2832" t="s">
        <v>2711</v>
      </c>
      <c r="D102" s="2832" t="s">
        <v>2712</v>
      </c>
      <c r="E102" s="2858">
        <v>0.1</v>
      </c>
      <c r="F102" s="2858">
        <v>15</v>
      </c>
    </row>
    <row r="103" spans="1:6" ht="24">
      <c r="A103" s="2858">
        <v>31</v>
      </c>
      <c r="B103" s="3543"/>
      <c r="C103" s="2832" t="s">
        <v>2713</v>
      </c>
      <c r="D103" s="2832" t="s">
        <v>2714</v>
      </c>
      <c r="E103" s="2858">
        <v>0.1</v>
      </c>
      <c r="F103" s="2858">
        <v>15</v>
      </c>
    </row>
    <row r="104" spans="1:6" ht="24">
      <c r="A104" s="2858">
        <v>32</v>
      </c>
      <c r="B104" s="3543"/>
      <c r="C104" s="2832" t="s">
        <v>2715</v>
      </c>
      <c r="D104" s="2832" t="s">
        <v>2716</v>
      </c>
      <c r="E104" s="2858">
        <v>0.1</v>
      </c>
      <c r="F104" s="2858">
        <v>15</v>
      </c>
    </row>
    <row r="105" spans="1:6" ht="24">
      <c r="A105" s="2858">
        <v>33</v>
      </c>
      <c r="B105" s="3543"/>
      <c r="C105" s="2832" t="s">
        <v>2717</v>
      </c>
      <c r="D105" s="2832" t="s">
        <v>2718</v>
      </c>
      <c r="E105" s="2858">
        <v>0.1</v>
      </c>
      <c r="F105" s="2858">
        <v>15</v>
      </c>
    </row>
    <row r="106" spans="1:6" ht="24">
      <c r="A106" s="2858">
        <v>34</v>
      </c>
      <c r="B106" s="3552"/>
      <c r="C106" s="2832" t="s">
        <v>2719</v>
      </c>
      <c r="D106" s="2832" t="s">
        <v>2720</v>
      </c>
      <c r="E106" s="2858">
        <v>0.1</v>
      </c>
      <c r="F106" s="2858">
        <v>15</v>
      </c>
    </row>
    <row r="107" spans="1:6" ht="24">
      <c r="A107" s="2858">
        <v>35</v>
      </c>
      <c r="B107" s="3548" t="s">
        <v>2721</v>
      </c>
      <c r="C107" s="2858" t="s">
        <v>2722</v>
      </c>
      <c r="D107" s="2832" t="s">
        <v>2723</v>
      </c>
      <c r="E107" s="2858">
        <v>0.15</v>
      </c>
      <c r="F107" s="2858">
        <v>20</v>
      </c>
    </row>
    <row r="108" spans="1:6" ht="13.5">
      <c r="A108" s="2858">
        <v>36</v>
      </c>
      <c r="B108" s="3543"/>
      <c r="C108" s="2858" t="s">
        <v>2724</v>
      </c>
      <c r="D108" s="2832" t="s">
        <v>2725</v>
      </c>
      <c r="E108" s="2858">
        <v>0.15</v>
      </c>
      <c r="F108" s="2858">
        <v>20</v>
      </c>
    </row>
    <row r="109" spans="1:6" ht="13.5">
      <c r="A109" s="2858">
        <v>37</v>
      </c>
      <c r="B109" s="3543"/>
      <c r="C109" s="2858" t="s">
        <v>2726</v>
      </c>
      <c r="D109" s="2832" t="s">
        <v>2727</v>
      </c>
      <c r="E109" s="2858">
        <v>0.15</v>
      </c>
      <c r="F109" s="2858">
        <v>20</v>
      </c>
    </row>
    <row r="110" spans="1:6" ht="13.5">
      <c r="A110" s="2858">
        <v>38</v>
      </c>
      <c r="B110" s="3543"/>
      <c r="C110" s="2858" t="s">
        <v>2728</v>
      </c>
      <c r="D110" s="2832" t="s">
        <v>2729</v>
      </c>
      <c r="E110" s="2858">
        <v>0.1</v>
      </c>
      <c r="F110" s="2858">
        <v>15</v>
      </c>
    </row>
    <row r="111" spans="1:6" ht="24">
      <c r="A111" s="2858">
        <v>39</v>
      </c>
      <c r="B111" s="3543"/>
      <c r="C111" s="2858" t="s">
        <v>2730</v>
      </c>
      <c r="D111" s="2832" t="s">
        <v>2731</v>
      </c>
      <c r="E111" s="2858">
        <v>0.1</v>
      </c>
      <c r="F111" s="2858">
        <v>15</v>
      </c>
    </row>
    <row r="112" spans="1:6" ht="24">
      <c r="A112" s="2858">
        <v>40</v>
      </c>
      <c r="B112" s="3552"/>
      <c r="C112" s="2858" t="s">
        <v>2732</v>
      </c>
      <c r="D112" s="2832" t="s">
        <v>2733</v>
      </c>
      <c r="E112" s="2858">
        <v>0.1</v>
      </c>
      <c r="F112" s="2858">
        <v>15</v>
      </c>
    </row>
    <row r="113" spans="1:6" ht="13.5">
      <c r="A113" s="2858">
        <v>41</v>
      </c>
      <c r="B113" s="3553" t="s">
        <v>2734</v>
      </c>
      <c r="C113" s="2858" t="s">
        <v>2735</v>
      </c>
      <c r="D113" s="2832" t="s">
        <v>2736</v>
      </c>
      <c r="E113" s="2858">
        <v>0.1</v>
      </c>
      <c r="F113" s="2858">
        <v>15</v>
      </c>
    </row>
    <row r="114" spans="1:6" ht="13.5">
      <c r="A114" s="2858">
        <v>42</v>
      </c>
      <c r="B114" s="3553"/>
      <c r="C114" s="2858" t="s">
        <v>2737</v>
      </c>
      <c r="D114" s="2832" t="s">
        <v>2738</v>
      </c>
      <c r="E114" s="2858">
        <v>0.1</v>
      </c>
      <c r="F114" s="2858">
        <v>15</v>
      </c>
    </row>
    <row r="115" spans="1:6" ht="24">
      <c r="A115" s="2858">
        <v>43</v>
      </c>
      <c r="B115" s="3553"/>
      <c r="C115" s="2858" t="s">
        <v>2739</v>
      </c>
      <c r="D115" s="2832" t="s">
        <v>2740</v>
      </c>
      <c r="E115" s="2858">
        <v>0.1</v>
      </c>
      <c r="F115" s="2858">
        <v>15</v>
      </c>
    </row>
    <row r="116" spans="1:6" ht="13.5">
      <c r="A116" s="2858">
        <v>44</v>
      </c>
      <c r="B116" s="3548" t="s">
        <v>2741</v>
      </c>
      <c r="C116" s="2858" t="s">
        <v>2742</v>
      </c>
      <c r="D116" s="2832" t="s">
        <v>2743</v>
      </c>
      <c r="E116" s="2858">
        <v>0.1</v>
      </c>
      <c r="F116" s="2858">
        <v>15</v>
      </c>
    </row>
    <row r="117" spans="1:6" ht="24">
      <c r="A117" s="2858">
        <v>45</v>
      </c>
      <c r="B117" s="3552"/>
      <c r="C117" s="2832" t="s">
        <v>2744</v>
      </c>
      <c r="D117" s="2832" t="s">
        <v>2745</v>
      </c>
      <c r="E117" s="2858">
        <v>0.1</v>
      </c>
      <c r="F117" s="2858">
        <v>15</v>
      </c>
    </row>
    <row r="118" spans="1:6" ht="24">
      <c r="A118" s="2858">
        <v>46</v>
      </c>
      <c r="B118" s="3548" t="s">
        <v>2746</v>
      </c>
      <c r="C118" s="2858" t="s">
        <v>2747</v>
      </c>
      <c r="D118" s="2832" t="s">
        <v>2748</v>
      </c>
      <c r="E118" s="2858">
        <v>0.1</v>
      </c>
      <c r="F118" s="2858">
        <v>15</v>
      </c>
    </row>
    <row r="119" spans="1:6" ht="24">
      <c r="A119" s="2858">
        <v>47</v>
      </c>
      <c r="B119" s="3552"/>
      <c r="C119" s="2858" t="s">
        <v>2749</v>
      </c>
      <c r="D119" s="2832" t="s">
        <v>2750</v>
      </c>
      <c r="E119" s="2858">
        <v>0.1</v>
      </c>
      <c r="F119" s="2858">
        <v>15</v>
      </c>
    </row>
    <row r="120" spans="1:6" ht="13.5">
      <c r="A120" s="2858">
        <v>48</v>
      </c>
      <c r="B120" s="3548" t="s">
        <v>2751</v>
      </c>
      <c r="C120" s="2858" t="s">
        <v>2752</v>
      </c>
      <c r="D120" s="2832" t="s">
        <v>2753</v>
      </c>
      <c r="E120" s="2858">
        <v>0.1</v>
      </c>
      <c r="F120" s="2858">
        <v>15</v>
      </c>
    </row>
    <row r="121" spans="1:6" ht="13.5">
      <c r="A121" s="2858">
        <v>49</v>
      </c>
      <c r="B121" s="3552"/>
      <c r="C121" s="2858" t="s">
        <v>2754</v>
      </c>
      <c r="D121" s="2832" t="s">
        <v>2755</v>
      </c>
      <c r="E121" s="2858">
        <v>0.1</v>
      </c>
      <c r="F121" s="2858">
        <v>15</v>
      </c>
    </row>
    <row r="122" spans="1:6" ht="24">
      <c r="A122" s="2858">
        <v>50</v>
      </c>
      <c r="B122" s="3553" t="s">
        <v>2756</v>
      </c>
      <c r="C122" s="2858" t="s">
        <v>2757</v>
      </c>
      <c r="D122" s="2832" t="s">
        <v>2758</v>
      </c>
      <c r="E122" s="2858">
        <v>0.1</v>
      </c>
      <c r="F122" s="2858">
        <v>15</v>
      </c>
    </row>
    <row r="123" spans="1:6" ht="24">
      <c r="A123" s="2858">
        <v>51</v>
      </c>
      <c r="B123" s="3553"/>
      <c r="C123" s="2858" t="s">
        <v>2759</v>
      </c>
      <c r="D123" s="2832" t="s">
        <v>2760</v>
      </c>
      <c r="E123" s="2858">
        <v>0.1</v>
      </c>
      <c r="F123" s="2858">
        <v>15</v>
      </c>
    </row>
    <row r="124" spans="1:6" ht="24">
      <c r="A124" s="2858">
        <v>52</v>
      </c>
      <c r="B124" s="3553" t="s">
        <v>2761</v>
      </c>
      <c r="C124" s="2858" t="s">
        <v>2762</v>
      </c>
      <c r="D124" s="2832" t="s">
        <v>2763</v>
      </c>
      <c r="E124" s="2858">
        <v>0.1</v>
      </c>
      <c r="F124" s="2858">
        <v>15</v>
      </c>
    </row>
    <row r="125" spans="1:6" ht="24">
      <c r="A125" s="2858">
        <v>53</v>
      </c>
      <c r="B125" s="3553"/>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53" t="s">
        <v>2769</v>
      </c>
      <c r="C127" s="2858" t="s">
        <v>2770</v>
      </c>
      <c r="D127" s="2832" t="s">
        <v>2771</v>
      </c>
      <c r="E127" s="2858">
        <v>0.1</v>
      </c>
      <c r="F127" s="2858">
        <v>15</v>
      </c>
    </row>
    <row r="128" spans="1:6" ht="13.5">
      <c r="A128" s="2858">
        <v>56</v>
      </c>
      <c r="B128" s="3553"/>
      <c r="C128" s="2858" t="s">
        <v>2772</v>
      </c>
      <c r="D128" s="2832" t="s">
        <v>2773</v>
      </c>
      <c r="E128" s="2858">
        <v>0.1</v>
      </c>
      <c r="F128" s="2858">
        <v>15</v>
      </c>
    </row>
    <row r="129" spans="1:6" ht="24">
      <c r="A129" s="2858">
        <v>57</v>
      </c>
      <c r="B129" s="3553"/>
      <c r="C129" s="2858" t="s">
        <v>2774</v>
      </c>
      <c r="D129" s="2832" t="s">
        <v>2775</v>
      </c>
      <c r="E129" s="2858">
        <v>0.1</v>
      </c>
      <c r="F129" s="2858">
        <v>15</v>
      </c>
    </row>
    <row r="130" spans="1:6" ht="24">
      <c r="A130" s="2858">
        <v>58</v>
      </c>
      <c r="B130" s="3553" t="s">
        <v>2776</v>
      </c>
      <c r="C130" s="2858" t="s">
        <v>2777</v>
      </c>
      <c r="D130" s="2832" t="s">
        <v>2778</v>
      </c>
      <c r="E130" s="2858">
        <v>0.1</v>
      </c>
      <c r="F130" s="2858">
        <v>15</v>
      </c>
    </row>
    <row r="131" spans="1:6" ht="13.5">
      <c r="A131" s="2858">
        <v>59</v>
      </c>
      <c r="B131" s="3553"/>
      <c r="C131" s="2858" t="s">
        <v>2779</v>
      </c>
      <c r="D131" s="2832" t="s">
        <v>2780</v>
      </c>
      <c r="E131" s="2858">
        <v>0.1</v>
      </c>
      <c r="F131" s="2858">
        <v>15</v>
      </c>
    </row>
    <row r="132" spans="1:6" ht="13.5">
      <c r="A132" s="2858">
        <v>60</v>
      </c>
      <c r="B132" s="3548" t="s">
        <v>2781</v>
      </c>
      <c r="C132" s="2858" t="s">
        <v>2782</v>
      </c>
      <c r="D132" s="2832" t="s">
        <v>2783</v>
      </c>
      <c r="E132" s="2858">
        <v>0.1</v>
      </c>
      <c r="F132" s="2858">
        <v>15</v>
      </c>
    </row>
    <row r="133" spans="1:6" ht="13.5">
      <c r="A133" s="2858">
        <v>61</v>
      </c>
      <c r="B133" s="3552"/>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53" t="s">
        <v>2789</v>
      </c>
      <c r="C135" s="2858" t="s">
        <v>2790</v>
      </c>
      <c r="D135" s="2832" t="s">
        <v>2791</v>
      </c>
      <c r="E135" s="2858">
        <v>0.1</v>
      </c>
      <c r="F135" s="2858">
        <v>15</v>
      </c>
    </row>
    <row r="136" spans="1:6" ht="13.5">
      <c r="A136" s="2858">
        <v>64</v>
      </c>
      <c r="B136" s="3553"/>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50986</v>
      </c>
      <c r="C2" s="2" t="s">
        <v>106</v>
      </c>
      <c r="D2" s="191"/>
      <c r="E2" s="191"/>
      <c r="F2" s="191"/>
      <c r="G2" s="191"/>
    </row>
    <row r="3" spans="1:7" s="192" customFormat="1" ht="18" customHeight="1" thickBot="1">
      <c r="A3" s="195" t="s">
        <v>58</v>
      </c>
      <c r="B3" s="196">
        <f ca="1">ROUND(B2*10000/'数据-汇总表'!E3,0)</f>
        <v>16303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625</v>
      </c>
      <c r="D10" s="795">
        <f>'数据-汇总表'!E6</f>
        <v>31274.160000000003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625</v>
      </c>
      <c r="D19" s="204">
        <f>'数据-汇总表'!E3</f>
        <v>31274.160000000003</v>
      </c>
      <c r="E19" s="203">
        <f>'数据-取费表'!B31</f>
        <v>200</v>
      </c>
      <c r="F19" s="223"/>
      <c r="G19" s="1" t="s">
        <v>436</v>
      </c>
    </row>
    <row r="20" spans="1:7" s="206" customFormat="1" ht="13.5" customHeight="1">
      <c r="A20" s="731" t="s">
        <v>419</v>
      </c>
      <c r="B20" s="202" t="s">
        <v>77</v>
      </c>
      <c r="C20" s="224">
        <f>ROUND((C5+C19)*F20,0)</f>
        <v>637</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1601</v>
      </c>
      <c r="D22" s="227">
        <f ca="1">C26</f>
        <v>1.1000000000000001E-3</v>
      </c>
      <c r="E22" s="228" t="s">
        <v>99</v>
      </c>
      <c r="F22" s="229">
        <f ca="1">'数据-取费表'!B40</f>
        <v>3.6499999999999998E-2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46</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4156</v>
      </c>
      <c r="D27" s="227">
        <f>C29</f>
        <v>5.7000000000000002E-3</v>
      </c>
      <c r="E27" s="228" t="s">
        <v>99</v>
      </c>
      <c r="F27" s="238">
        <f>'数据-取费表'!Q16</f>
        <v>0.19</v>
      </c>
      <c r="G27" s="239" t="s">
        <v>431</v>
      </c>
    </row>
    <row r="28" spans="1:7" s="206" customFormat="1" ht="13.5" customHeight="1">
      <c r="A28" s="734" t="s">
        <v>349</v>
      </c>
      <c r="B28" s="240" t="s">
        <v>424</v>
      </c>
      <c r="C28" s="241">
        <f>ROUND((C5+C19+C20)*F27*'数据-取费表'!B21/'数据-取费表'!B20,0)</f>
        <v>4156</v>
      </c>
      <c r="D28" s="227"/>
      <c r="E28" s="228"/>
      <c r="F28" s="238"/>
      <c r="G28" s="239"/>
    </row>
    <row r="29" spans="1:7" s="206" customFormat="1" ht="13.5" customHeight="1">
      <c r="A29" s="734" t="s">
        <v>347</v>
      </c>
      <c r="B29" s="240" t="s">
        <v>425</v>
      </c>
      <c r="C29" s="230">
        <f>ROUND(C21*F27*'数据-取费表'!B21/'数据-取费表'!B20,4)</f>
        <v>5.7000000000000002E-3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30366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16687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15011</v>
      </c>
      <c r="D34" s="209"/>
      <c r="E34" s="212"/>
      <c r="F34" s="249">
        <f>IF('数据-取费表'!B24=0,1,'数据-取费表'!N16)</f>
        <v>1</v>
      </c>
      <c r="G34" s="211" t="s">
        <v>89</v>
      </c>
    </row>
    <row r="35" spans="1:7" ht="13.5" customHeight="1">
      <c r="A35" s="734" t="s">
        <v>351</v>
      </c>
      <c r="B35" s="207" t="s">
        <v>33</v>
      </c>
      <c r="C35" s="212">
        <f>ROUND(C34*F35,0)</f>
        <v>751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625</v>
      </c>
      <c r="D37" s="209">
        <f>'数据-汇总表'!E3</f>
        <v>31274.160000000003</v>
      </c>
      <c r="E37" s="241">
        <f>'数据-取费表'!B35</f>
        <v>200</v>
      </c>
      <c r="F37" s="251"/>
      <c r="G37" s="253" t="s">
        <v>92</v>
      </c>
    </row>
    <row r="38" spans="1:7" ht="13.5" customHeight="1">
      <c r="A38" s="734" t="s">
        <v>354</v>
      </c>
      <c r="B38" s="207" t="s">
        <v>36</v>
      </c>
      <c r="C38" s="212">
        <f>ROUND(C34*F38,0)</f>
        <v>300</v>
      </c>
      <c r="D38" s="212"/>
      <c r="E38" s="212"/>
      <c r="F38" s="251">
        <f>'数据-取费表'!B36</f>
        <v>0.02</v>
      </c>
      <c r="G38" s="211" t="s">
        <v>90</v>
      </c>
    </row>
    <row r="39" spans="1:7" s="206" customFormat="1" ht="13.5" customHeight="1">
      <c r="A39" s="731" t="s">
        <v>338</v>
      </c>
      <c r="B39" s="202" t="s">
        <v>77</v>
      </c>
      <c r="C39" s="224">
        <f>ROUND(C33*F20,0)</f>
        <v>501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627</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609</v>
      </c>
      <c r="D42" s="230"/>
      <c r="E42" s="230"/>
      <c r="F42" s="231"/>
      <c r="G42" s="3414" t="s">
        <v>94</v>
      </c>
    </row>
    <row r="43" spans="1:7" ht="13.5" customHeight="1">
      <c r="A43" s="734" t="s">
        <v>347</v>
      </c>
      <c r="B43" s="207" t="s">
        <v>426</v>
      </c>
      <c r="C43" s="230">
        <f ca="1">ROUND(IF('数据-取费表'!B22&lt;=1,C39*F22*'数据-取费表'!B21/2,C39*(POWER((1+F22),'数据-取费表'!B21/2)-1)),0)</f>
        <v>18</v>
      </c>
      <c r="D43" s="230"/>
      <c r="E43" s="230"/>
      <c r="F43" s="231"/>
      <c r="G43" s="3415"/>
    </row>
    <row r="44" spans="1:7" ht="13.5" customHeight="1">
      <c r="A44" s="734" t="s">
        <v>348</v>
      </c>
      <c r="B44" s="207" t="s">
        <v>428</v>
      </c>
      <c r="C44" s="230">
        <f ca="1">ROUND(IF('数据-取费表'!B22&lt;=1,C40*F22*'数据-取费表'!B21/2,C40*(POWER((1+F22),'数据-取费表'!B21/2)-1)),4)</f>
        <v>1.1000000000000001E-3</v>
      </c>
      <c r="D44" s="230"/>
      <c r="E44" s="230"/>
      <c r="F44" s="231"/>
      <c r="G44" s="3416"/>
    </row>
    <row r="45" spans="1:7" s="206" customFormat="1" ht="13.5" customHeight="1">
      <c r="A45" s="731" t="s">
        <v>341</v>
      </c>
      <c r="B45" s="236" t="s">
        <v>85</v>
      </c>
      <c r="C45" s="237">
        <f>C46</f>
        <v>3266</v>
      </c>
      <c r="D45" s="227">
        <f>C47</f>
        <v>5.7000000000000002E-3</v>
      </c>
      <c r="E45" s="228" t="s">
        <v>102</v>
      </c>
      <c r="F45" s="238"/>
      <c r="G45" s="239" t="s">
        <v>434</v>
      </c>
    </row>
    <row r="46" spans="1:7" s="206" customFormat="1" ht="13.5" customHeight="1">
      <c r="A46" s="734" t="s">
        <v>349</v>
      </c>
      <c r="B46" s="240" t="s">
        <v>427</v>
      </c>
      <c r="C46" s="241">
        <f>ROUND((C33+C39)*F27,0)</f>
        <v>3266</v>
      </c>
      <c r="D46" s="255"/>
      <c r="E46" s="228"/>
      <c r="F46" s="238"/>
      <c r="G46" s="239"/>
    </row>
    <row r="47" spans="1:7" s="206" customFormat="1" ht="13.5" customHeight="1">
      <c r="A47" s="734" t="s">
        <v>347</v>
      </c>
      <c r="B47" s="240" t="s">
        <v>429</v>
      </c>
      <c r="C47" s="230">
        <f>ROUND(C40*F27,4)</f>
        <v>5.7000000000000002E-3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23169</v>
      </c>
      <c r="D49" s="224"/>
      <c r="E49" s="224"/>
      <c r="F49" s="256"/>
      <c r="G49" s="226" t="s">
        <v>435</v>
      </c>
    </row>
    <row r="50" spans="1:7" s="250" customFormat="1" ht="24">
      <c r="A50" s="731" t="s">
        <v>344</v>
      </c>
      <c r="B50" s="202" t="s">
        <v>97</v>
      </c>
      <c r="C50" s="224"/>
      <c r="D50" s="224"/>
      <c r="E50" s="224"/>
      <c r="F50" s="256">
        <f>IF('数据-取费表'!B24=0,'数据-取费表'!N16,1)</f>
        <v>0.89</v>
      </c>
      <c r="G50" s="239" t="s">
        <v>98</v>
      </c>
    </row>
    <row r="51" spans="1:7" ht="16.5" customHeight="1">
      <c r="A51" s="731" t="s">
        <v>345</v>
      </c>
      <c r="B51" s="202" t="s">
        <v>105</v>
      </c>
      <c r="C51" s="224">
        <f ca="1">ROUND(C49*F50,0)</f>
        <v>20620</v>
      </c>
      <c r="D51" s="224"/>
      <c r="E51" s="224"/>
      <c r="F51" s="256"/>
      <c r="G51" s="226" t="s">
        <v>37</v>
      </c>
    </row>
    <row r="52" spans="1:7" s="200" customFormat="1" ht="16.5" thickBot="1">
      <c r="A52" s="257" t="s">
        <v>38</v>
      </c>
      <c r="B52" s="258"/>
      <c r="C52" s="259">
        <f ca="1">C31+C51</f>
        <v>50986</v>
      </c>
      <c r="D52" s="258"/>
      <c r="E52" s="258"/>
      <c r="F52" s="258"/>
      <c r="G52" s="260"/>
    </row>
    <row r="55" spans="1:7" ht="15">
      <c r="B55" s="262" t="s">
        <v>39</v>
      </c>
      <c r="C55" s="263"/>
    </row>
    <row r="56" spans="1:7">
      <c r="B56" s="265" t="s">
        <v>40</v>
      </c>
      <c r="C56" s="266">
        <f ca="1">ROUND(C51/C52,3)</f>
        <v>0.40400000000000003</v>
      </c>
    </row>
    <row r="57" spans="1:7">
      <c r="B57" s="265" t="s">
        <v>41</v>
      </c>
      <c r="C57" s="267">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54" t="s">
        <v>3181</v>
      </c>
      <c r="B1" s="355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55" t="s">
        <v>3232</v>
      </c>
      <c r="B1" s="3555"/>
      <c r="C1" s="3555"/>
      <c r="D1" s="3555"/>
      <c r="E1" s="3555"/>
      <c r="F1" s="3556"/>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44926</v>
      </c>
      <c r="B1" s="2930" t="s">
        <v>3378</v>
      </c>
      <c r="C1" s="2931"/>
      <c r="D1" s="2931"/>
      <c r="E1" s="2931"/>
      <c r="F1" s="2931"/>
      <c r="G1" s="2931"/>
      <c r="H1" s="2931"/>
      <c r="I1" s="2931"/>
      <c r="J1" s="2897"/>
      <c r="K1" s="2931" t="s">
        <v>454</v>
      </c>
      <c r="L1" s="2931"/>
      <c r="M1" s="2931"/>
      <c r="N1" s="2931"/>
      <c r="O1" s="2931"/>
      <c r="P1" s="2931"/>
      <c r="Q1" s="2897"/>
      <c r="R1" s="3557" t="s">
        <v>456</v>
      </c>
      <c r="S1" s="3558"/>
      <c r="T1" s="3558"/>
      <c r="U1" s="3558"/>
      <c r="V1" s="3558"/>
      <c r="W1" s="3558"/>
      <c r="X1" s="2897"/>
      <c r="Y1" s="3557" t="s">
        <v>457</v>
      </c>
      <c r="Z1" s="3558"/>
      <c r="AA1" s="3558"/>
      <c r="AB1" s="3558"/>
      <c r="AC1" s="3558"/>
      <c r="AD1" s="355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557" t="s">
        <v>2827</v>
      </c>
      <c r="S29" s="3558"/>
      <c r="T29" s="3558"/>
      <c r="U29" s="3558"/>
      <c r="V29" s="3558"/>
      <c r="W29" s="3558"/>
      <c r="X29" s="2897"/>
      <c r="Y29" s="3557" t="s">
        <v>2828</v>
      </c>
      <c r="Z29" s="3558"/>
      <c r="AA29" s="3558"/>
      <c r="AB29" s="3558"/>
      <c r="AC29" s="3558"/>
      <c r="AD29" s="355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62" t="s">
        <v>452</v>
      </c>
      <c r="C1" s="3562"/>
      <c r="D1" s="3562"/>
      <c r="E1" s="3562"/>
      <c r="F1" s="3562"/>
      <c r="G1" s="3558" t="s">
        <v>453</v>
      </c>
      <c r="H1" s="3558"/>
      <c r="I1" s="3558"/>
      <c r="J1" s="3558"/>
      <c r="K1" s="3558"/>
      <c r="L1" s="3558"/>
      <c r="N1" s="3558" t="s">
        <v>454</v>
      </c>
      <c r="O1" s="3558"/>
      <c r="P1" s="3558"/>
      <c r="Q1" s="3558"/>
      <c r="S1" s="3558" t="s">
        <v>455</v>
      </c>
      <c r="T1" s="3558"/>
      <c r="U1" s="3558"/>
      <c r="V1" s="3558"/>
      <c r="X1" s="3557" t="s">
        <v>456</v>
      </c>
      <c r="Y1" s="3558"/>
      <c r="Z1" s="3558"/>
      <c r="AA1" s="3558"/>
      <c r="AB1" s="3558"/>
      <c r="AD1" s="3557" t="s">
        <v>457</v>
      </c>
      <c r="AE1" s="3558"/>
      <c r="AF1" s="3558"/>
      <c r="AG1" s="3558"/>
      <c r="AH1" s="355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6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6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6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6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6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6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6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6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6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6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6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6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6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6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6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6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6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5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6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6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6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5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6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6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6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5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6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6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6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5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6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6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6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5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6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6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6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5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6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6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6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5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6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6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6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5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6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6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6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5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6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6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6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5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6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6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6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5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6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6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6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70" t="s">
        <v>2839</v>
      </c>
      <c r="B1" s="3570"/>
      <c r="C1" s="3570"/>
      <c r="D1" s="3570"/>
      <c r="E1" s="3570"/>
      <c r="F1" s="3570"/>
      <c r="G1" s="357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6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6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928</v>
      </c>
      <c r="B2" s="3230" t="s">
        <v>929</v>
      </c>
      <c r="C2" s="3230" t="s">
        <v>930</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31"/>
      <c r="B3" s="3231"/>
      <c r="C3" s="3231"/>
      <c r="D3" s="801" t="s">
        <v>925</v>
      </c>
      <c r="E3" s="801" t="s">
        <v>931</v>
      </c>
      <c r="F3" s="801" t="s">
        <v>925</v>
      </c>
      <c r="G3" s="801" t="s">
        <v>926</v>
      </c>
      <c r="H3" s="801" t="s">
        <v>925</v>
      </c>
      <c r="I3" s="801" t="s">
        <v>926</v>
      </c>
    </row>
    <row r="4" spans="1:9" ht="15">
      <c r="A4" s="1403" t="str">
        <f>项目基本情况!S2</f>
        <v>北京市房地产</v>
      </c>
      <c r="B4" s="801">
        <f>项目基本情况!C17</f>
        <v>31274.160000000003</v>
      </c>
      <c r="C4" s="801">
        <f>项目基本情况!C18</f>
        <v>10084.67</v>
      </c>
      <c r="D4" s="801">
        <f ca="1">结果表!D118</f>
        <v>85025</v>
      </c>
      <c r="E4" s="801">
        <f ca="1">结果表!E118</f>
        <v>27187</v>
      </c>
      <c r="F4" s="801">
        <f ca="1">结果表!F118</f>
        <v>34729</v>
      </c>
      <c r="G4" s="801">
        <f ca="1">结果表!G118</f>
        <v>11105</v>
      </c>
      <c r="H4" s="801">
        <f ca="1">结果表!H118</f>
        <v>119754</v>
      </c>
      <c r="I4" s="801">
        <f ca="1">结果表!I118</f>
        <v>38292</v>
      </c>
    </row>
    <row r="5" spans="1:9" ht="30" customHeight="1">
      <c r="A5" s="3231" t="s">
        <v>927</v>
      </c>
      <c r="B5" s="3231"/>
      <c r="C5" s="3231"/>
      <c r="D5" s="3231" t="str">
        <f ca="1">结果表!D119</f>
        <v>捌亿伍仟零贰拾伍万元整</v>
      </c>
      <c r="E5" s="3231"/>
      <c r="F5" s="3231" t="str">
        <f ca="1">结果表!F119</f>
        <v>叁亿肆仟柒佰贰拾玖万元整</v>
      </c>
      <c r="G5" s="3231"/>
      <c r="H5" s="3231" t="str">
        <f ca="1">结果表!H119</f>
        <v>壹拾壹亿玖仟柒佰伍拾肆万元整</v>
      </c>
      <c r="I5" s="3231"/>
    </row>
    <row r="6" spans="1:9" ht="15.75">
      <c r="A6" s="3232" t="str">
        <f>结果表!A120</f>
        <v>估价师知悉的法定优先受偿款</v>
      </c>
      <c r="B6" s="3232"/>
      <c r="C6" s="3232"/>
      <c r="D6" s="3232">
        <f>结果表!D120</f>
        <v>0</v>
      </c>
      <c r="E6" s="3232"/>
      <c r="F6" s="3232"/>
      <c r="G6" s="3232"/>
      <c r="H6" s="3232"/>
      <c r="I6" s="3232"/>
    </row>
    <row r="7" spans="1:9" ht="15">
      <c r="A7" s="3231" t="s">
        <v>927</v>
      </c>
      <c r="B7" s="3231"/>
      <c r="C7" s="3231"/>
      <c r="D7" s="3233" t="str">
        <f>结果表!D121</f>
        <v>零元整</v>
      </c>
      <c r="E7" s="3234"/>
      <c r="F7" s="3234"/>
      <c r="G7" s="3234"/>
      <c r="H7" s="3234"/>
      <c r="I7" s="3235"/>
    </row>
    <row r="8" spans="1:9" ht="15.75">
      <c r="A8" s="3232" t="str">
        <f>结果表!A122</f>
        <v>房地产抵押价值</v>
      </c>
      <c r="B8" s="3232"/>
      <c r="C8" s="3232"/>
      <c r="D8" s="3232">
        <f ca="1">结果表!D122</f>
        <v>119754</v>
      </c>
      <c r="E8" s="3232"/>
      <c r="F8" s="3232"/>
      <c r="G8" s="3232"/>
      <c r="H8" s="3232"/>
      <c r="I8" s="3232"/>
    </row>
    <row r="9" spans="1:9" ht="15">
      <c r="A9" s="3231" t="s">
        <v>927</v>
      </c>
      <c r="B9" s="3231"/>
      <c r="C9" s="3231"/>
      <c r="D9" s="3231" t="str">
        <f ca="1">结果表!D123</f>
        <v>壹拾壹亿玖仟柒佰伍拾肆万元整</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1" t="s">
        <v>927</v>
      </c>
      <c r="B11" s="3231"/>
      <c r="C11" s="3231"/>
      <c r="D11" s="3231" t="e">
        <f>结果表!D125</f>
        <v>#VALUE!</v>
      </c>
      <c r="E11" s="3231"/>
      <c r="F11" s="3231"/>
      <c r="G11" s="3231"/>
      <c r="H11" s="3231"/>
      <c r="I11" s="3231"/>
    </row>
    <row r="12" spans="1:9" ht="15.75">
      <c r="A12" s="3232" t="str">
        <f>结果表!A126</f>
        <v/>
      </c>
      <c r="B12" s="3232"/>
      <c r="C12" s="3232"/>
      <c r="D12" s="3232" t="str">
        <f>结果表!D126</f>
        <v>——</v>
      </c>
      <c r="E12" s="3232"/>
      <c r="F12" s="3232"/>
      <c r="G12" s="3232"/>
      <c r="H12" s="3232"/>
      <c r="I12" s="3232"/>
    </row>
    <row r="13" spans="1:9" ht="15.75" thickBot="1">
      <c r="A13" s="3236" t="s">
        <v>927</v>
      </c>
      <c r="B13" s="3236"/>
      <c r="C13" s="3236"/>
      <c r="D13" s="3236" t="e">
        <f>结果表!D127</f>
        <v>#VALUE!</v>
      </c>
      <c r="E13" s="3236"/>
      <c r="F13" s="3236"/>
      <c r="G13" s="3236"/>
      <c r="H13" s="3236"/>
      <c r="I13" s="3236"/>
    </row>
    <row r="14" spans="1:9" ht="15" thickTop="1">
      <c r="A14" s="3237" t="s">
        <v>932</v>
      </c>
      <c r="B14" s="3237"/>
      <c r="C14" s="3237"/>
      <c r="D14" s="3237"/>
      <c r="E14" s="3237"/>
      <c r="F14" s="3237"/>
      <c r="G14" s="3237"/>
      <c r="H14" s="3237"/>
      <c r="I14" s="323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44926</v>
      </c>
      <c r="D1" s="1217" t="s">
        <v>603</v>
      </c>
      <c r="E1" s="1212">
        <f>'数据-取费表'!B22</f>
        <v>2</v>
      </c>
      <c r="F1" s="1217" t="s">
        <v>604</v>
      </c>
      <c r="G1" s="1213">
        <f ca="1">INDIRECT("d"&amp;$K$1)/100</f>
        <v>3.6499999999999998E-2</v>
      </c>
      <c r="H1" s="1217" t="s">
        <v>634</v>
      </c>
      <c r="I1" s="1213">
        <f ca="1">F4/100</f>
        <v>1.4999999999999999E-2</v>
      </c>
      <c r="J1" s="1218">
        <f>IF(C1&gt;C13,0,MATCH(C1,C$13:C$114,-1))+IF(SUMIF(C13:C114,C1,D13:D114)=0,13,12)</f>
        <v>18</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8" t="s">
        <v>949</v>
      </c>
      <c r="B1" s="3238"/>
      <c r="C1" s="3238"/>
      <c r="D1" s="3238"/>
    </row>
    <row r="2" spans="1:4" ht="18">
      <c r="A2" s="3239" t="s">
        <v>933</v>
      </c>
      <c r="B2" s="3239"/>
      <c r="C2" s="3239"/>
      <c r="D2" s="323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9" t="s">
        <v>939</v>
      </c>
      <c r="B6" s="3239"/>
      <c r="C6" s="3239"/>
      <c r="D6" s="323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0" t="s">
        <v>942</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41" t="str">
        <f>IF(项目基本情况!B8="抵押","4.本次评估估价师所知悉的法定优先受偿款情况说明如下：","——")</f>
        <v>4.本次评估估价师所知悉的法定优先受偿款情况说明如下：</v>
      </c>
      <c r="B14" s="3242"/>
      <c r="C14" s="3242"/>
      <c r="D14" s="3242"/>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4" t="s">
        <v>943</v>
      </c>
      <c r="B16" s="3244"/>
      <c r="C16" s="3244"/>
      <c r="D16" s="3244"/>
    </row>
    <row r="17" spans="1:4" ht="144" customHeight="1">
      <c r="A17" s="3244" t="s">
        <v>944</v>
      </c>
      <c r="B17" s="3244"/>
      <c r="C17" s="3244"/>
      <c r="D17" s="3244"/>
    </row>
    <row r="18" spans="1:4" ht="15.75" customHeight="1">
      <c r="A18" s="3241" t="str">
        <f>IF(项目基本情况!B8="抵押",结果表!K120,"——")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945</v>
      </c>
      <c r="B22" s="3246"/>
      <c r="C22" s="3246"/>
      <c r="D22" s="324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3">
        <v>42551</v>
      </c>
      <c r="D31" s="32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2" t="s">
        <v>956</v>
      </c>
      <c r="B15" s="3247" t="s">
        <v>109</v>
      </c>
      <c r="C15" s="3248"/>
    </row>
    <row r="16" spans="1:7" ht="13.5">
      <c r="A16" s="3253"/>
      <c r="B16" s="3247" t="s">
        <v>42</v>
      </c>
      <c r="C16" s="3248"/>
    </row>
    <row r="17" spans="1:3" ht="13.5">
      <c r="A17" s="3253"/>
      <c r="B17" s="3250" t="s">
        <v>957</v>
      </c>
      <c r="C17" s="1429" t="s">
        <v>956</v>
      </c>
    </row>
    <row r="18" spans="1:3" ht="13.5">
      <c r="A18" s="3253"/>
      <c r="B18" s="3250"/>
      <c r="C18" s="1429" t="s">
        <v>958</v>
      </c>
    </row>
    <row r="19" spans="1:3" ht="13.5">
      <c r="A19" s="3253"/>
      <c r="B19" s="3250"/>
      <c r="C19" s="1429" t="s">
        <v>959</v>
      </c>
    </row>
    <row r="20" spans="1:3" ht="13.5">
      <c r="A20" s="3254"/>
      <c r="B20" s="3249" t="s">
        <v>960</v>
      </c>
      <c r="C20" s="3248"/>
    </row>
    <row r="21" spans="1:3" ht="13.5">
      <c r="A21" s="1430" t="s">
        <v>961</v>
      </c>
      <c r="B21" s="1431"/>
      <c r="C21" s="1432"/>
    </row>
    <row r="22" spans="1:3" ht="13.5">
      <c r="A22" s="3251" t="s">
        <v>962</v>
      </c>
      <c r="B22" s="3249" t="s">
        <v>963</v>
      </c>
      <c r="C22" s="3248"/>
    </row>
    <row r="23" spans="1:3" ht="13.5">
      <c r="A23" s="3251"/>
      <c r="B23" s="3249" t="s">
        <v>964</v>
      </c>
      <c r="C23" s="3248"/>
    </row>
    <row r="24" spans="1:3" ht="13.5">
      <c r="A24" s="3251"/>
      <c r="B24" s="3249" t="s">
        <v>965</v>
      </c>
      <c r="C24" s="3248"/>
    </row>
    <row r="25" spans="1:3" ht="13.5">
      <c r="A25" s="3251"/>
      <c r="B25" s="3250" t="s">
        <v>966</v>
      </c>
      <c r="C25" s="1429" t="s">
        <v>967</v>
      </c>
    </row>
    <row r="26" spans="1:3" ht="13.5">
      <c r="A26" s="3251"/>
      <c r="B26" s="3250"/>
      <c r="C26" s="1429" t="s">
        <v>968</v>
      </c>
    </row>
    <row r="27" spans="1:3" ht="13.5">
      <c r="A27" s="3251"/>
      <c r="B27" s="3250"/>
      <c r="C27" s="1429" t="s">
        <v>969</v>
      </c>
    </row>
    <row r="28" spans="1:3" ht="13.5">
      <c r="A28" s="3251"/>
      <c r="B28" s="3250"/>
      <c r="C28" s="1429" t="s">
        <v>970</v>
      </c>
    </row>
    <row r="29" spans="1:3" ht="13.5">
      <c r="A29" s="3251"/>
      <c r="B29" s="3250"/>
      <c r="C29" s="1429" t="s">
        <v>971</v>
      </c>
    </row>
    <row r="30" spans="1:3" ht="13.5">
      <c r="A30" s="3251"/>
      <c r="B30" s="3250"/>
      <c r="C30" s="1429" t="s">
        <v>972</v>
      </c>
    </row>
    <row r="31" spans="1:3" ht="13.5">
      <c r="A31" s="3251"/>
      <c r="B31" s="3250"/>
      <c r="C31" s="1429" t="s">
        <v>973</v>
      </c>
    </row>
    <row r="32" spans="1:3" ht="13.5">
      <c r="A32" s="3251"/>
      <c r="B32" s="3250"/>
      <c r="C32" s="1429" t="s">
        <v>974</v>
      </c>
    </row>
    <row r="33" spans="1:3" ht="13.5">
      <c r="A33" s="3251"/>
      <c r="B33" s="325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5" t="s">
        <v>2160</v>
      </c>
      <c r="B17" s="3255"/>
      <c r="C17" s="3255"/>
      <c r="D17" s="3255"/>
      <c r="E17" s="3255"/>
      <c r="F17" s="3255"/>
      <c r="G17" s="3255"/>
      <c r="H17" s="3255"/>
    </row>
    <row r="18" spans="1:8" ht="24" customHeight="1">
      <c r="A18" s="3256" t="s">
        <v>2161</v>
      </c>
      <c r="B18" s="3256"/>
      <c r="C18" s="3256"/>
      <c r="D18" s="2160"/>
      <c r="E18" s="3257" t="s">
        <v>2162</v>
      </c>
      <c r="F18" s="3256"/>
      <c r="G18" s="325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杰伟科技租赁情况!Print_Area</vt:lpstr>
      <vt:lpstr>结果表!Print_Area</vt:lpstr>
      <vt:lpstr>收益法!Print_Area</vt:lpstr>
      <vt:lpstr>'收益法 (元)'!Print_Area</vt:lpstr>
      <vt:lpstr>'收益法（汇总）'!Print_Area</vt:lpstr>
      <vt:lpstr>收益法仓储!Print_Area</vt:lpstr>
      <vt:lpstr>'收益法仓储 (2)'!Print_Area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2025-04-28T07:07:00Z</dcterms:modified>
</cp:coreProperties>
</file>