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晨月园\"/>
    </mc:Choice>
  </mc:AlternateContent>
  <xr:revisionPtr revIDLastSave="0" documentId="13_ncr:1_{27A70265-9556-4D02-AFE6-F0B3B15D5699}" xr6:coauthVersionLast="47" xr6:coauthVersionMax="47" xr10:uidLastSave="{00000000-0000-0000-0000-000000000000}"/>
  <bookViews>
    <workbookView xWindow="-110" yWindow="-110" windowWidth="25820" windowHeight="1402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82"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信息+租赁合同" sheetId="80" r:id="rId36"/>
    <sheet name="售价案例" sheetId="83" r:id="rId37"/>
    <sheet name="租金案例" sheetId="81"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19">'比较法-商业'!$B$116:$M$116</definedName>
    <definedName name="商业层高">'比较法-商业租金'!$B$116:$M$116</definedName>
    <definedName name="商业成新度" localSheetId="19">'比较法-商业'!$B$109:$M$109</definedName>
    <definedName name="商业成新度">'比较法-商业租金'!$B$109:$M$109</definedName>
    <definedName name="商业繁华度">定义!$L$1:$L$6</definedName>
    <definedName name="商业公共部分装修" localSheetId="19">'比较法-商业'!$B$107:$M$107</definedName>
    <definedName name="商业公共部分装修">'比较法-商业租金'!$B$107:$M$107</definedName>
    <definedName name="商业基础设施水平" localSheetId="19">'比较法-商业'!$B$112:$M$112</definedName>
    <definedName name="商业基础设施水平">'比较法-商业租金'!$B$112:$M$112</definedName>
    <definedName name="商业建筑结构" localSheetId="19">'比较法-商业'!$B$105:$M$105</definedName>
    <definedName name="商业建筑结构">'比较法-商业租金'!$B$105:$M$105</definedName>
    <definedName name="商业交易情况" localSheetId="19">'比较法-商业'!$A$61:$M$61</definedName>
    <definedName name="商业交易情况">'比较法-商业租金'!$A$61:$M$61</definedName>
    <definedName name="商业街名称">修正!$C$73:$C$140</definedName>
    <definedName name="商业进深比" localSheetId="19">'比较法-商业'!$B$120:$M$120</definedName>
    <definedName name="商业进深比">'比较法-商业租金'!$B$120:$M$120</definedName>
    <definedName name="商业类型" localSheetId="19">'比较法-商业'!$B$100:$M$100</definedName>
    <definedName name="商业类型">'比较法-商业租金'!$B$100:$M$100</definedName>
    <definedName name="商业临街状况" localSheetId="19">'比较法-商业'!$B$86:$M$86</definedName>
    <definedName name="商业临街状况">'比较法-商业租金'!$B$86:$M$86</definedName>
    <definedName name="商业楼层" localSheetId="19">'比较法-商业'!$B$92:$M$92</definedName>
    <definedName name="商业楼层">'比较法-商业租金'!$B$92:$M$92</definedName>
    <definedName name="商业内部装修" localSheetId="19">'比较法-商业'!$B$122:$M$122</definedName>
    <definedName name="商业内部装修">'比较法-商业租金'!$B$122:$M$122</definedName>
    <definedName name="商业人流量" localSheetId="19">'比较法-商业'!$B$90:$M$90</definedName>
    <definedName name="商业人流量">'比较法-商业租金'!$B$90:$M$90</definedName>
    <definedName name="商业业态" localSheetId="19">'比较法-商业'!$B$114:$M$114</definedName>
    <definedName name="商业业态">'比较法-商业租金'!$B$114:$M$114</definedName>
    <definedName name="商业用途" localSheetId="19">'比较法-商业'!$B$63:$M$63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S12" i="80" l="1"/>
  <c r="K42" i="82"/>
  <c r="F2" i="80"/>
  <c r="C93" i="33"/>
  <c r="C75" i="9"/>
  <c r="U6" i="1"/>
  <c r="C33" i="33"/>
  <c r="P13" i="80"/>
  <c r="P12" i="80"/>
  <c r="C77" i="9"/>
  <c r="C66" i="9"/>
  <c r="G14" i="82"/>
  <c r="C33" i="82"/>
  <c r="O14" i="80"/>
  <c r="Q11" i="80"/>
  <c r="Q13" i="80"/>
  <c r="D103" i="82"/>
  <c r="E103" i="82"/>
  <c r="E102" i="82" s="1"/>
  <c r="F103" i="82"/>
  <c r="G103" i="82"/>
  <c r="F102" i="82" s="1"/>
  <c r="H103" i="82"/>
  <c r="I103" i="82"/>
  <c r="J102" i="82"/>
  <c r="D104" i="82"/>
  <c r="E104" i="82"/>
  <c r="F104" i="82"/>
  <c r="G104" i="82"/>
  <c r="H104" i="82"/>
  <c r="I104" i="82"/>
  <c r="C104" i="82"/>
  <c r="C103" i="82"/>
  <c r="D93" i="82"/>
  <c r="C93" i="82"/>
  <c r="D66" i="82"/>
  <c r="E66" i="82"/>
  <c r="F66" i="82"/>
  <c r="C66" i="82"/>
  <c r="K43" i="82"/>
  <c r="D125" i="82" s="1"/>
  <c r="K37" i="82"/>
  <c r="K38" i="82"/>
  <c r="K39" i="82"/>
  <c r="D117" i="82" s="1"/>
  <c r="E117" i="82" s="1"/>
  <c r="F117" i="82" s="1"/>
  <c r="G117" i="82" s="1"/>
  <c r="K36" i="82"/>
  <c r="K34" i="82"/>
  <c r="K32" i="82"/>
  <c r="K27" i="82"/>
  <c r="K25" i="82"/>
  <c r="K23" i="82"/>
  <c r="K21" i="82"/>
  <c r="K19" i="82"/>
  <c r="K17" i="82"/>
  <c r="K15" i="82"/>
  <c r="E66" i="33"/>
  <c r="D66" i="33"/>
  <c r="C66" i="33" s="1"/>
  <c r="B130" i="82"/>
  <c r="B128" i="82"/>
  <c r="B126" i="82"/>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5" i="82"/>
  <c r="H38" i="82" s="1"/>
  <c r="D113" i="82"/>
  <c r="E113" i="82" s="1"/>
  <c r="F113" i="82" s="1"/>
  <c r="G113" i="82" s="1"/>
  <c r="H113" i="82" s="1"/>
  <c r="I113" i="82" s="1"/>
  <c r="J113" i="82" s="1"/>
  <c r="K113" i="82" s="1"/>
  <c r="L113" i="82" s="1"/>
  <c r="M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H102" i="82"/>
  <c r="D102" i="82"/>
  <c r="C102" i="82"/>
  <c r="D101" i="82"/>
  <c r="E101" i="82" s="1"/>
  <c r="F101" i="82" s="1"/>
  <c r="G101" i="82" s="1"/>
  <c r="H101" i="82" s="1"/>
  <c r="I101" i="82" s="1"/>
  <c r="J101" i="82" s="1"/>
  <c r="K101" i="82" s="1"/>
  <c r="L101" i="82" s="1"/>
  <c r="M101" i="82" s="1"/>
  <c r="B98" i="82"/>
  <c r="B96" i="82"/>
  <c r="B94" i="82"/>
  <c r="B92" i="82"/>
  <c r="G91" i="82"/>
  <c r="H91" i="82" s="1"/>
  <c r="I91" i="82" s="1"/>
  <c r="J91" i="82" s="1"/>
  <c r="K91" i="82" s="1"/>
  <c r="L91" i="82" s="1"/>
  <c r="M91" i="82" s="1"/>
  <c r="E91" i="82"/>
  <c r="F91" i="82" s="1"/>
  <c r="D91" i="82"/>
  <c r="B90" i="82"/>
  <c r="H27" i="82" s="1"/>
  <c r="B88" i="82"/>
  <c r="D87" i="82"/>
  <c r="E87" i="82" s="1"/>
  <c r="F87" i="82" s="1"/>
  <c r="G87" i="82" s="1"/>
  <c r="H87" i="82" s="1"/>
  <c r="I87" i="82" s="1"/>
  <c r="J87" i="82" s="1"/>
  <c r="K87" i="82" s="1"/>
  <c r="L87" i="82" s="1"/>
  <c r="M87" i="82" s="1"/>
  <c r="E85" i="82"/>
  <c r="F85" i="82" s="1"/>
  <c r="G85" i="82" s="1"/>
  <c r="D85" i="82"/>
  <c r="E83" i="82"/>
  <c r="F83" i="82" s="1"/>
  <c r="G83" i="82" s="1"/>
  <c r="D83" i="82"/>
  <c r="D81" i="82"/>
  <c r="E81" i="82" s="1"/>
  <c r="F81" i="82" s="1"/>
  <c r="G81" i="82" s="1"/>
  <c r="E79" i="82"/>
  <c r="F79" i="82" s="1"/>
  <c r="G79" i="82" s="1"/>
  <c r="D79" i="82"/>
  <c r="E77" i="82"/>
  <c r="F77" i="82" s="1"/>
  <c r="G77" i="82" s="1"/>
  <c r="D77" i="82"/>
  <c r="B74" i="82"/>
  <c r="B72" i="82"/>
  <c r="B70" i="82"/>
  <c r="H69" i="82"/>
  <c r="I69" i="82" s="1"/>
  <c r="J69" i="82" s="1"/>
  <c r="K69" i="82" s="1"/>
  <c r="L69" i="82" s="1"/>
  <c r="M69" i="82" s="1"/>
  <c r="F69" i="82"/>
  <c r="G69" i="82" s="1"/>
  <c r="D69" i="82"/>
  <c r="E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AB46" i="82"/>
  <c r="Z46" i="82"/>
  <c r="Q46" i="82"/>
  <c r="J46" i="82"/>
  <c r="AC46" i="82" s="1"/>
  <c r="H46" i="82"/>
  <c r="U46" i="82" s="1"/>
  <c r="F46" i="82"/>
  <c r="AA46" i="82" s="1"/>
  <c r="AA45" i="82"/>
  <c r="Q45" i="82"/>
  <c r="Z45" i="82" s="1"/>
  <c r="J45" i="82"/>
  <c r="AC45" i="82" s="1"/>
  <c r="H45" i="82"/>
  <c r="AB45" i="82" s="1"/>
  <c r="F45" i="82"/>
  <c r="S45" i="82" s="1"/>
  <c r="Z44" i="82"/>
  <c r="Q44" i="82"/>
  <c r="J44" i="82"/>
  <c r="AC44" i="82" s="1"/>
  <c r="H44" i="82"/>
  <c r="AB44" i="82" s="1"/>
  <c r="F44" i="82"/>
  <c r="AA44" i="82" s="1"/>
  <c r="Q43" i="82"/>
  <c r="Z43" i="82" s="1"/>
  <c r="Q42" i="82"/>
  <c r="Z42" i="82" s="1"/>
  <c r="F42" i="82"/>
  <c r="AA42" i="82" s="1"/>
  <c r="AC41" i="82"/>
  <c r="W41" i="82"/>
  <c r="Q41" i="82"/>
  <c r="Z41" i="82" s="1"/>
  <c r="J41" i="82"/>
  <c r="H41" i="82"/>
  <c r="AB41" i="82" s="1"/>
  <c r="F41" i="82"/>
  <c r="AA41" i="82" s="1"/>
  <c r="AB40" i="82"/>
  <c r="U40" i="82"/>
  <c r="Q40" i="82"/>
  <c r="Z40" i="82" s="1"/>
  <c r="J40" i="82"/>
  <c r="AC40" i="82" s="1"/>
  <c r="H40" i="82"/>
  <c r="F40" i="82"/>
  <c r="AA40" i="82" s="1"/>
  <c r="AC39" i="82"/>
  <c r="Q39" i="82"/>
  <c r="Z39" i="82" s="1"/>
  <c r="J39" i="82"/>
  <c r="W39" i="82" s="1"/>
  <c r="H39" i="82"/>
  <c r="AB39" i="82" s="1"/>
  <c r="F39" i="82"/>
  <c r="S39" i="82" s="1"/>
  <c r="Z38" i="82"/>
  <c r="Q38" i="82"/>
  <c r="J38" i="82"/>
  <c r="AC38" i="82" s="1"/>
  <c r="Q37" i="82"/>
  <c r="Z37" i="82" s="1"/>
  <c r="J37" i="82"/>
  <c r="AC37" i="82" s="1"/>
  <c r="H37" i="82"/>
  <c r="AB37" i="82" s="1"/>
  <c r="F37" i="82"/>
  <c r="S37" i="82" s="1"/>
  <c r="Z36" i="82"/>
  <c r="Q36" i="82"/>
  <c r="C36" i="82"/>
  <c r="Q35" i="82"/>
  <c r="Z35" i="82" s="1"/>
  <c r="J35" i="82"/>
  <c r="AC35" i="82" s="1"/>
  <c r="H35" i="82"/>
  <c r="U35" i="82" s="1"/>
  <c r="F35" i="82"/>
  <c r="AA35" i="82" s="1"/>
  <c r="Q34" i="82"/>
  <c r="Z34" i="82" s="1"/>
  <c r="J34" i="82"/>
  <c r="W34" i="82" s="1"/>
  <c r="H34" i="82"/>
  <c r="AB34" i="82" s="1"/>
  <c r="F34" i="82"/>
  <c r="S34" i="82" s="1"/>
  <c r="Z33" i="82"/>
  <c r="Q33" i="82"/>
  <c r="Q32" i="82"/>
  <c r="Z32" i="82" s="1"/>
  <c r="J32" i="82"/>
  <c r="AC32" i="82" s="1"/>
  <c r="H32" i="82"/>
  <c r="AB32" i="82" s="1"/>
  <c r="F32" i="82"/>
  <c r="AA32" i="82" s="1"/>
  <c r="Q31" i="82"/>
  <c r="Z31" i="82" s="1"/>
  <c r="J31" i="82"/>
  <c r="W31" i="82" s="1"/>
  <c r="H31" i="82"/>
  <c r="AB31" i="82" s="1"/>
  <c r="F31" i="82"/>
  <c r="AA31" i="82" s="1"/>
  <c r="Q30" i="82"/>
  <c r="Z30" i="82" s="1"/>
  <c r="H30" i="82"/>
  <c r="U30" i="82" s="1"/>
  <c r="AC29" i="82"/>
  <c r="W29" i="82"/>
  <c r="Q29" i="82"/>
  <c r="Z29" i="82" s="1"/>
  <c r="J29" i="82"/>
  <c r="H29" i="82"/>
  <c r="AB29" i="82" s="1"/>
  <c r="F29" i="82"/>
  <c r="AA29" i="82" s="1"/>
  <c r="Q28" i="82"/>
  <c r="Z28" i="82" s="1"/>
  <c r="Q27" i="82"/>
  <c r="Z27" i="82" s="1"/>
  <c r="J27" i="82"/>
  <c r="AC27" i="82" s="1"/>
  <c r="F27" i="82"/>
  <c r="S27" i="82" s="1"/>
  <c r="AB26" i="82"/>
  <c r="U26" i="82"/>
  <c r="Q26" i="82"/>
  <c r="Z26" i="82" s="1"/>
  <c r="J26" i="82"/>
  <c r="AC26" i="82" s="1"/>
  <c r="H26" i="82"/>
  <c r="F26" i="82"/>
  <c r="AA26" i="82" s="1"/>
  <c r="Q25" i="82"/>
  <c r="Z25" i="82" s="1"/>
  <c r="J25" i="82"/>
  <c r="W25" i="82" s="1"/>
  <c r="H25" i="82"/>
  <c r="AB25" i="82" s="1"/>
  <c r="F25" i="82"/>
  <c r="AA25" i="82" s="1"/>
  <c r="Q23" i="82"/>
  <c r="Z23" i="82" s="1"/>
  <c r="J23" i="82"/>
  <c r="AC23" i="82" s="1"/>
  <c r="H23" i="82"/>
  <c r="U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I14" i="82"/>
  <c r="J14" i="82" s="1"/>
  <c r="H14" i="82"/>
  <c r="AB14" i="82" s="1"/>
  <c r="E14" i="82"/>
  <c r="F14" i="82" s="1"/>
  <c r="Q13" i="82"/>
  <c r="Z13" i="82" s="1"/>
  <c r="J13" i="82"/>
  <c r="AC13" i="82" s="1"/>
  <c r="H13" i="82"/>
  <c r="U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B8" i="82"/>
  <c r="AA8" i="82"/>
  <c r="S8" i="82"/>
  <c r="J8" i="82"/>
  <c r="AC8" i="82" s="1"/>
  <c r="H8" i="82"/>
  <c r="U8" i="82" s="1"/>
  <c r="F8" i="82"/>
  <c r="G7" i="82"/>
  <c r="C7" i="82"/>
  <c r="I7" i="82" s="1"/>
  <c r="D3" i="82"/>
  <c r="C36" i="33"/>
  <c r="I14" i="33"/>
  <c r="E14" i="33"/>
  <c r="E104" i="33"/>
  <c r="F104" i="33"/>
  <c r="G104" i="33" s="1"/>
  <c r="H104" i="33" s="1"/>
  <c r="I104" i="33" s="1"/>
  <c r="D104" i="33"/>
  <c r="E93" i="33"/>
  <c r="E93" i="82" s="1"/>
  <c r="H28" i="82" s="1"/>
  <c r="AB28" i="82" s="1"/>
  <c r="I7" i="33"/>
  <c r="G7" i="33"/>
  <c r="E7" i="33"/>
  <c r="Q18" i="1"/>
  <c r="P18" i="1"/>
  <c r="J49" i="67"/>
  <c r="F19" i="6"/>
  <c r="B21" i="1"/>
  <c r="B58" i="1"/>
  <c r="Y6" i="1"/>
  <c r="N6" i="1"/>
  <c r="N19" i="1"/>
  <c r="D3" i="4"/>
  <c r="I17" i="80"/>
  <c r="I16" i="80"/>
  <c r="D16" i="80"/>
  <c r="D17" i="80" s="1"/>
  <c r="D18" i="80" s="1"/>
  <c r="D19" i="80" s="1"/>
  <c r="D20" i="80" s="1"/>
  <c r="D21" i="80" s="1"/>
  <c r="D22" i="80" s="1"/>
  <c r="D23" i="80" s="1"/>
  <c r="E27" i="45"/>
  <c r="D2" i="82"/>
  <c r="J42" i="82" l="1"/>
  <c r="AC42" i="82" s="1"/>
  <c r="H42" i="82"/>
  <c r="AB42" i="82" s="1"/>
  <c r="Q15" i="80"/>
  <c r="Q16" i="80"/>
  <c r="I102" i="82"/>
  <c r="G102" i="82"/>
  <c r="H33" i="82"/>
  <c r="U33" i="82" s="1"/>
  <c r="U28" i="82"/>
  <c r="E125" i="82"/>
  <c r="F125" i="82" s="1"/>
  <c r="G125" i="82" s="1"/>
  <c r="J43" i="82"/>
  <c r="H43" i="82"/>
  <c r="AB43" i="82" s="1"/>
  <c r="F43" i="82"/>
  <c r="AA43" i="82" s="1"/>
  <c r="U38" i="82"/>
  <c r="AB38" i="82"/>
  <c r="AA37" i="82"/>
  <c r="E115" i="82"/>
  <c r="F115" i="82" s="1"/>
  <c r="G115" i="82" s="1"/>
  <c r="H115" i="82" s="1"/>
  <c r="I115" i="82" s="1"/>
  <c r="J115" i="82" s="1"/>
  <c r="K115" i="82" s="1"/>
  <c r="L115" i="82" s="1"/>
  <c r="M115" i="82" s="1"/>
  <c r="F38" i="82"/>
  <c r="AA38" i="82" s="1"/>
  <c r="AA34" i="82"/>
  <c r="AC34" i="82"/>
  <c r="U32" i="82"/>
  <c r="AC25" i="82"/>
  <c r="AC14" i="82"/>
  <c r="W14" i="82"/>
  <c r="AA14" i="82"/>
  <c r="S14" i="82"/>
  <c r="W10" i="82"/>
  <c r="AB13" i="82"/>
  <c r="W8" i="82"/>
  <c r="S9" i="82"/>
  <c r="U10" i="82"/>
  <c r="W11" i="82"/>
  <c r="S13" i="82"/>
  <c r="S23" i="82"/>
  <c r="AB23" i="82"/>
  <c r="W27" i="82"/>
  <c r="S29" i="82"/>
  <c r="AB30" i="82"/>
  <c r="AC31" i="82"/>
  <c r="J33" i="82"/>
  <c r="F33" i="82"/>
  <c r="AB35" i="82"/>
  <c r="W37" i="82"/>
  <c r="AA39" i="82"/>
  <c r="U44" i="82"/>
  <c r="W45" i="82"/>
  <c r="U9" i="82"/>
  <c r="S15" i="82"/>
  <c r="S17" i="82"/>
  <c r="S19" i="82"/>
  <c r="S21" i="82"/>
  <c r="S25" i="82"/>
  <c r="AA27" i="82"/>
  <c r="S31" i="82"/>
  <c r="F36" i="82"/>
  <c r="J36" i="82"/>
  <c r="S41" i="82"/>
  <c r="AB27" i="82"/>
  <c r="U27" i="82"/>
  <c r="J28" i="82"/>
  <c r="F28" i="82"/>
  <c r="S12" i="82"/>
  <c r="S11" i="82"/>
  <c r="U12" i="82"/>
  <c r="W13" i="82"/>
  <c r="U14" i="82"/>
  <c r="U19" i="82"/>
  <c r="U21" i="82"/>
  <c r="H36" i="82"/>
  <c r="C58" i="82"/>
  <c r="D58" i="82" s="1"/>
  <c r="E58" i="82" s="1"/>
  <c r="F58" i="82" s="1"/>
  <c r="G58" i="82" s="1"/>
  <c r="H58" i="82" s="1"/>
  <c r="I58" i="82" s="1"/>
  <c r="J58" i="82" s="1"/>
  <c r="K58" i="82" s="1"/>
  <c r="L58" i="82" s="1"/>
  <c r="M58" i="82" s="1"/>
  <c r="N58" i="82" s="1"/>
  <c r="O58" i="82" s="1"/>
  <c r="W9" i="82"/>
  <c r="U15" i="82"/>
  <c r="U17" i="82"/>
  <c r="E7" i="82"/>
  <c r="F7" i="82" s="1"/>
  <c r="S10" i="82"/>
  <c r="U11" i="82"/>
  <c r="W12" i="82"/>
  <c r="W15" i="82"/>
  <c r="W17" i="82"/>
  <c r="W19" i="82"/>
  <c r="W21" i="82"/>
  <c r="F30" i="82"/>
  <c r="J30" i="82"/>
  <c r="U25" i="82"/>
  <c r="W26" i="82"/>
  <c r="U29" i="82"/>
  <c r="S32" i="82"/>
  <c r="U34" i="82"/>
  <c r="W35" i="82"/>
  <c r="U39" i="82"/>
  <c r="W40" i="82"/>
  <c r="S42" i="82"/>
  <c r="W44" i="82"/>
  <c r="S46" i="82"/>
  <c r="W23" i="82"/>
  <c r="S26" i="82"/>
  <c r="U31" i="82"/>
  <c r="W32" i="82"/>
  <c r="S35" i="82"/>
  <c r="U37" i="82"/>
  <c r="W38" i="82"/>
  <c r="S40" i="82"/>
  <c r="U41" i="82"/>
  <c r="S44" i="82"/>
  <c r="U45" i="82"/>
  <c r="W46" i="82"/>
  <c r="G14" i="73"/>
  <c r="F14" i="73"/>
  <c r="E14" i="73"/>
  <c r="U42" i="82" l="1"/>
  <c r="W42" i="82"/>
  <c r="AB33" i="82"/>
  <c r="AC43" i="82"/>
  <c r="W43" i="82"/>
  <c r="U43" i="82"/>
  <c r="S43" i="82"/>
  <c r="S38" i="82"/>
  <c r="AA30" i="82"/>
  <c r="S30" i="82"/>
  <c r="AB36" i="82"/>
  <c r="U36" i="82"/>
  <c r="J7" i="82"/>
  <c r="S7" i="82"/>
  <c r="AA7" i="82"/>
  <c r="AC28" i="82"/>
  <c r="W28" i="82"/>
  <c r="AC36" i="82"/>
  <c r="W36" i="82"/>
  <c r="AA28" i="82"/>
  <c r="S28" i="82"/>
  <c r="AC33" i="82"/>
  <c r="W33" i="82"/>
  <c r="AC30" i="82"/>
  <c r="W30" i="82"/>
  <c r="AA36" i="82"/>
  <c r="S36" i="82"/>
  <c r="AA33" i="82"/>
  <c r="S33" i="82"/>
  <c r="H7" i="82"/>
  <c r="I12" i="79"/>
  <c r="R48" i="82" l="1"/>
  <c r="AB7" i="82"/>
  <c r="T48" i="82" s="1"/>
  <c r="G48" i="82" s="1"/>
  <c r="U7" i="82"/>
  <c r="W7" i="82"/>
  <c r="AC7" i="82"/>
  <c r="V48" i="82" s="1"/>
  <c r="I48" i="82"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G52" i="82" l="1"/>
  <c r="H52" i="82" s="1"/>
  <c r="G53" i="82"/>
  <c r="H53" i="82" s="1"/>
  <c r="I52" i="82"/>
  <c r="J52" i="82" s="1"/>
  <c r="R49" i="82"/>
  <c r="E48" i="82"/>
  <c r="I53" i="82" s="1"/>
  <c r="J53" i="82"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52" i="82" l="1"/>
  <c r="F52" i="82" s="1"/>
  <c r="E53" i="82"/>
  <c r="F53" i="82" s="1"/>
  <c r="C49" i="82"/>
  <c r="C48" i="82"/>
  <c r="AD33" i="79"/>
  <c r="AR34" i="79"/>
  <c r="AR35" i="79" s="1"/>
  <c r="AR36" i="79" s="1"/>
  <c r="AR8" i="79"/>
  <c r="C60" i="78"/>
  <c r="D60" i="78" s="1"/>
  <c r="B55" i="78"/>
  <c r="D55" i="78" s="1"/>
  <c r="D53" i="78"/>
  <c r="D52" i="78"/>
  <c r="D51" i="78" s="1"/>
  <c r="B51" i="78"/>
  <c r="B56" i="78" s="1"/>
  <c r="B2" i="82" l="1"/>
  <c r="B3" i="82"/>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5" i="79"/>
  <c r="AD36" i="79"/>
  <c r="Z3" i="79"/>
  <c r="S33" i="79"/>
  <c r="AG33" i="79" s="1"/>
  <c r="S34" i="79"/>
  <c r="AG34" i="79" s="1"/>
  <c r="S35" i="79"/>
  <c r="AG35" i="79" s="1"/>
  <c r="AA31" i="79"/>
  <c r="AD31" i="79" s="1"/>
  <c r="T40" i="79"/>
  <c r="U46" i="79"/>
  <c r="AI46" i="79" s="1"/>
  <c r="AD47" i="79"/>
  <c r="S48" i="79"/>
  <c r="AG48" i="79" s="1"/>
  <c r="U50" i="79"/>
  <c r="AI50" i="79" s="1"/>
  <c r="AD51" i="79"/>
  <c r="AR19" i="79"/>
  <c r="AR20" i="79" s="1"/>
  <c r="AR21" i="79" s="1"/>
  <c r="AR22" i="79" s="1"/>
  <c r="AR23" i="79" s="1"/>
  <c r="AR24" i="79" s="1"/>
  <c r="T35" i="79"/>
  <c r="T33" i="79"/>
  <c r="T34" i="79"/>
  <c r="W22" i="79"/>
  <c r="AK22" i="79" s="1"/>
  <c r="AH22"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3" i="79"/>
  <c r="AK43" i="79" s="1"/>
  <c r="AH43" i="79"/>
  <c r="W34" i="79"/>
  <c r="AK34" i="79" s="1"/>
  <c r="AH34" i="79"/>
  <c r="W23" i="79"/>
  <c r="AK23" i="79" s="1"/>
  <c r="AH23" i="79"/>
  <c r="W12" i="79"/>
  <c r="AK12" i="79" s="1"/>
  <c r="AH12" i="79"/>
  <c r="W21" i="79"/>
  <c r="AK21" i="79" s="1"/>
  <c r="AH21" i="79"/>
  <c r="W47" i="79"/>
  <c r="AK47" i="79" s="1"/>
  <c r="AH47" i="79"/>
  <c r="W45" i="79"/>
  <c r="AK45" i="79" s="1"/>
  <c r="AH45" i="79"/>
  <c r="W33" i="79"/>
  <c r="AK33" i="79" s="1"/>
  <c r="AH33" i="79"/>
  <c r="W40" i="79"/>
  <c r="AK40" i="79" s="1"/>
  <c r="AH40" i="79"/>
  <c r="W13" i="79"/>
  <c r="AK13" i="79" s="1"/>
  <c r="AH13" i="79"/>
  <c r="W48" i="79"/>
  <c r="AK48" i="79" s="1"/>
  <c r="AH48" i="79"/>
  <c r="W49" i="79"/>
  <c r="AK49" i="79" s="1"/>
  <c r="AH49" i="79"/>
  <c r="W38" i="79"/>
  <c r="AK38" i="79" s="1"/>
  <c r="AH38"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C74" i="9"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H29" i="39"/>
  <c r="AB29" i="39" s="1"/>
  <c r="J29" i="39"/>
  <c r="AC29" i="39" s="1"/>
  <c r="J18" i="36"/>
  <c r="AC18" i="36" s="1"/>
  <c r="F68" i="35"/>
  <c r="G68" i="35" s="1"/>
  <c r="H18" i="35"/>
  <c r="AB18" i="35" s="1"/>
  <c r="J18" i="35"/>
  <c r="H21" i="37"/>
  <c r="AB21" i="37" s="1"/>
  <c r="F21" i="37"/>
  <c r="AA21" i="37" s="1"/>
  <c r="H21" i="34"/>
  <c r="AB21" i="34" s="1"/>
  <c r="H21" i="33"/>
  <c r="U21" i="33" s="1"/>
  <c r="F21" i="33"/>
  <c r="AA21" i="33" s="1"/>
  <c r="E83" i="21"/>
  <c r="F83" i="21" s="1"/>
  <c r="H1" i="69"/>
  <c r="AC25" i="40"/>
  <c r="W25" i="40"/>
  <c r="U25" i="40"/>
  <c r="U29" i="39"/>
  <c r="W29" i="39"/>
  <c r="W18" i="36"/>
  <c r="S21" i="37"/>
  <c r="U21" i="34"/>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J32" i="36" s="1"/>
  <c r="W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B57" i="36"/>
  <c r="F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J25" i="35" s="1"/>
  <c r="B75" i="35"/>
  <c r="J24" i="35" s="1"/>
  <c r="AC24" i="35" s="1"/>
  <c r="B73" i="35"/>
  <c r="J23" i="35" s="1"/>
  <c r="AC23" i="35" s="1"/>
  <c r="B57" i="35"/>
  <c r="B61" i="35"/>
  <c r="B59" i="35"/>
  <c r="H12" i="35" s="1"/>
  <c r="B131" i="34"/>
  <c r="B129" i="34"/>
  <c r="B127" i="34"/>
  <c r="B99" i="34"/>
  <c r="J32" i="34" s="1"/>
  <c r="W32" i="34" s="1"/>
  <c r="B97" i="34"/>
  <c r="H31" i="34" s="1"/>
  <c r="B95" i="34"/>
  <c r="B93" i="34"/>
  <c r="B75" i="34"/>
  <c r="F14" i="34" s="1"/>
  <c r="B73" i="34"/>
  <c r="B71" i="34"/>
  <c r="J12" i="34" s="1"/>
  <c r="W12" i="34" s="1"/>
  <c r="B130" i="33"/>
  <c r="B128" i="33"/>
  <c r="F45" i="33" s="1"/>
  <c r="S45" i="33" s="1"/>
  <c r="B126" i="33"/>
  <c r="F44" i="33" s="1"/>
  <c r="S44" i="33" s="1"/>
  <c r="B98" i="33"/>
  <c r="B96" i="33"/>
  <c r="B94" i="33"/>
  <c r="F29" i="33" s="1"/>
  <c r="S29" i="33" s="1"/>
  <c r="B74" i="33"/>
  <c r="J14" i="33" s="1"/>
  <c r="AC14" i="33" s="1"/>
  <c r="B72" i="33"/>
  <c r="B70" i="33"/>
  <c r="J12" i="33"/>
  <c r="W12" i="33" s="1"/>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F42" i="33" s="1"/>
  <c r="AA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J28" i="21" s="1"/>
  <c r="W28" i="21" s="1"/>
  <c r="B90" i="21"/>
  <c r="J27" i="21" s="1"/>
  <c r="W27" i="21" s="1"/>
  <c r="B74" i="21"/>
  <c r="J14" i="21" s="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36" i="39"/>
  <c r="S36" i="39" s="1"/>
  <c r="H36" i="39"/>
  <c r="AB36" i="39" s="1"/>
  <c r="J36" i="39"/>
  <c r="AC36" i="39" s="1"/>
  <c r="U9" i="39"/>
  <c r="W40" i="39"/>
  <c r="W25" i="37"/>
  <c r="W31" i="37"/>
  <c r="E103" i="37"/>
  <c r="F103" i="37"/>
  <c r="G103" i="37" s="1"/>
  <c r="H103" i="37" s="1"/>
  <c r="I103" i="37" s="1"/>
  <c r="J103" i="37" s="1"/>
  <c r="K103" i="37" s="1"/>
  <c r="L103" i="37" s="1"/>
  <c r="M103" i="37" s="1"/>
  <c r="F29" i="36"/>
  <c r="AA29" i="36" s="1"/>
  <c r="F16" i="36"/>
  <c r="AA16" i="36" s="1"/>
  <c r="W28" i="36"/>
  <c r="J33" i="36"/>
  <c r="AC33" i="36" s="1"/>
  <c r="H22" i="35"/>
  <c r="AB22" i="35"/>
  <c r="U31" i="35"/>
  <c r="U34" i="35"/>
  <c r="F36" i="34"/>
  <c r="J35" i="34"/>
  <c r="H39" i="33"/>
  <c r="AB39" i="33" s="1"/>
  <c r="U35" i="33"/>
  <c r="H39" i="37"/>
  <c r="AB39" i="37" s="1"/>
  <c r="S27" i="35"/>
  <c r="F11" i="40"/>
  <c r="AA11" i="40"/>
  <c r="H11" i="40"/>
  <c r="AB11" i="40"/>
  <c r="W8" i="40"/>
  <c r="AB3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C12" i="34"/>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34" i="36"/>
  <c r="S34" i="36" s="1"/>
  <c r="F14" i="35"/>
  <c r="AA14"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S41" i="33" s="1"/>
  <c r="AA41"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s="1"/>
  <c r="H29" i="33"/>
  <c r="U29" i="33" s="1"/>
  <c r="J31" i="33"/>
  <c r="W31" i="33" s="1"/>
  <c r="H31" i="33"/>
  <c r="F31" i="33"/>
  <c r="J45" i="33"/>
  <c r="W45" i="33" s="1"/>
  <c r="H14" i="34"/>
  <c r="H30" i="34"/>
  <c r="F30" i="34"/>
  <c r="S30" i="34" s="1"/>
  <c r="J30" i="34"/>
  <c r="H32" i="34"/>
  <c r="H46" i="34"/>
  <c r="U46" i="34" s="1"/>
  <c r="F46" i="34"/>
  <c r="J46" i="34"/>
  <c r="H11" i="35"/>
  <c r="AB11" i="35" s="1"/>
  <c r="J11" i="35"/>
  <c r="W11" i="35" s="1"/>
  <c r="AC11" i="35"/>
  <c r="F11" i="35"/>
  <c r="S11" i="35" s="1"/>
  <c r="J26" i="36"/>
  <c r="W26" i="36" s="1"/>
  <c r="H28" i="36"/>
  <c r="U28"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H14" i="33"/>
  <c r="U14" i="33" s="1"/>
  <c r="F14" i="33"/>
  <c r="S14" i="33"/>
  <c r="H30" i="33"/>
  <c r="AB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AC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AA14" i="39" s="1"/>
  <c r="H14" i="39"/>
  <c r="AB14" i="39"/>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U46" i="33"/>
  <c r="AA14" i="33"/>
  <c r="J36" i="37"/>
  <c r="AC36" i="37"/>
  <c r="J10" i="36"/>
  <c r="AC10" i="36" s="1"/>
  <c r="AA14" i="37"/>
  <c r="W31" i="34"/>
  <c r="S11" i="36"/>
  <c r="AC28" i="21"/>
  <c r="BA586" i="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AC43" i="33" s="1"/>
  <c r="S28" i="31"/>
  <c r="S27" i="31"/>
  <c r="S26" i="31"/>
  <c r="U14" i="40"/>
  <c r="W23" i="35"/>
  <c r="U39" i="37"/>
  <c r="U26" i="37"/>
  <c r="W47" i="34"/>
  <c r="AC36" i="34"/>
  <c r="AC31" i="33"/>
  <c r="W44" i="33"/>
  <c r="U19" i="21"/>
  <c r="W44" i="21"/>
  <c r="W15" i="34"/>
  <c r="AC15" i="34"/>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AZ191" i="3"/>
  <c r="BL192" i="3"/>
  <c r="G193" i="3"/>
  <c r="BA195" i="3"/>
  <c r="AZ195" i="3"/>
  <c r="BL196" i="3"/>
  <c r="G197" i="3"/>
  <c r="BA199" i="3"/>
  <c r="BL200" i="3"/>
  <c r="G201" i="3"/>
  <c r="BA203" i="3"/>
  <c r="BL204" i="3"/>
  <c r="AZ47" i="3"/>
  <c r="AZ67" i="3"/>
  <c r="AZ152" i="3"/>
  <c r="AZ168" i="3"/>
  <c r="AZ97"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54"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BA379" i="3"/>
  <c r="AZ379" i="3" s="1"/>
  <c r="BL380" i="3"/>
  <c r="G381" i="3"/>
  <c r="BA383" i="3"/>
  <c r="AZ383" i="3" s="1"/>
  <c r="BL384" i="3"/>
  <c r="G385" i="3"/>
  <c r="BA387" i="3"/>
  <c r="AZ387" i="3" s="1"/>
  <c r="BL388" i="3"/>
  <c r="G389" i="3"/>
  <c r="BA391" i="3"/>
  <c r="BL392" i="3"/>
  <c r="AZ392" i="3" s="1"/>
  <c r="G393" i="3"/>
  <c r="AZ291" i="3"/>
  <c r="BO5" i="3"/>
  <c r="BM5" i="3"/>
  <c r="F29" i="6" s="1"/>
  <c r="BJ5" i="3"/>
  <c r="BH5" i="3"/>
  <c r="BF5" i="3"/>
  <c r="BD5" i="3"/>
  <c r="AZ325" i="3"/>
  <c r="AZ496" i="3"/>
  <c r="G548" i="3"/>
  <c r="G538" i="3"/>
  <c r="G520" i="3"/>
  <c r="G502" i="3"/>
  <c r="BS5" i="3"/>
  <c r="BP5" i="3"/>
  <c r="BN5" i="3"/>
  <c r="BK5" i="3"/>
  <c r="BI5" i="3"/>
  <c r="BG5" i="3"/>
  <c r="BE5" i="3"/>
  <c r="BC5" i="3"/>
  <c r="G17" i="3"/>
  <c r="BA17" i="3"/>
  <c r="BT5" i="3"/>
  <c r="AZ356" i="3"/>
  <c r="BA15" i="3"/>
  <c r="BR5"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G96" i="37" s="1"/>
  <c r="H27" i="40"/>
  <c r="U27" i="40" s="1"/>
  <c r="J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8" i="3"/>
  <c r="AZ130" i="3"/>
  <c r="AZ86" i="3"/>
  <c r="AZ110"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K9" i="1"/>
  <c r="M9" i="1" s="1"/>
  <c r="D93" i="9"/>
  <c r="K6" i="1"/>
  <c r="AP6" i="1" s="1"/>
  <c r="W27" i="34"/>
  <c r="AC27" i="34"/>
  <c r="AB34" i="36"/>
  <c r="U34" i="36"/>
  <c r="AB33" i="36"/>
  <c r="U33" i="36"/>
  <c r="AC12" i="39"/>
  <c r="W12" i="39"/>
  <c r="AC39" i="40"/>
  <c r="W39" i="40"/>
  <c r="AZ586" i="3"/>
  <c r="BL14" i="3"/>
  <c r="U30" i="33"/>
  <c r="AC13" i="34"/>
  <c r="W28" i="37"/>
  <c r="S19" i="39"/>
  <c r="F12" i="33"/>
  <c r="AA12" i="33" s="1"/>
  <c r="H12" i="39"/>
  <c r="AB12" i="39"/>
  <c r="F39" i="40"/>
  <c r="BA14" i="3"/>
  <c r="AZ14" i="3" s="1"/>
  <c r="AZ367" i="3"/>
  <c r="AZ224" i="3"/>
  <c r="AZ250" i="3"/>
  <c r="AZ297" i="3"/>
  <c r="AZ149" i="3"/>
  <c r="AZ181"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U12" i="39"/>
  <c r="S23" i="36"/>
  <c r="U13" i="36"/>
  <c r="U26" i="36"/>
  <c r="S33"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S32" i="37"/>
  <c r="W30" i="37"/>
  <c r="S36" i="37"/>
  <c r="AA38" i="37"/>
  <c r="W38" i="37"/>
  <c r="AC35" i="37"/>
  <c r="S30" i="37"/>
  <c r="S37" i="37"/>
  <c r="AC15" i="37"/>
  <c r="J17" i="37"/>
  <c r="W17" i="37" s="1"/>
  <c r="G73" i="37"/>
  <c r="F17" i="37"/>
  <c r="AA17" i="37" s="1"/>
  <c r="AB17" i="37"/>
  <c r="F19" i="37"/>
  <c r="S19" i="37" s="1"/>
  <c r="F79" i="37"/>
  <c r="F23" i="37"/>
  <c r="U23" i="37"/>
  <c r="U15" i="37"/>
  <c r="AC13" i="37"/>
  <c r="AA13" i="37"/>
  <c r="H10" i="37"/>
  <c r="AB10" i="37" s="1"/>
  <c r="F63" i="37"/>
  <c r="F11" i="37"/>
  <c r="S11" i="37" s="1"/>
  <c r="W25" i="34"/>
  <c r="AB8" i="34"/>
  <c r="AA33" i="34"/>
  <c r="U43" i="34"/>
  <c r="AC39" i="34"/>
  <c r="W41" i="34"/>
  <c r="AC42" i="34"/>
  <c r="AB35" i="34"/>
  <c r="U39" i="34"/>
  <c r="S43" i="34"/>
  <c r="AA45" i="34"/>
  <c r="AA25" i="34"/>
  <c r="U28" i="34"/>
  <c r="AA29" i="34"/>
  <c r="U27" i="34"/>
  <c r="S23" i="34"/>
  <c r="U15" i="34"/>
  <c r="S13" i="34"/>
  <c r="H10" i="34"/>
  <c r="AB10" i="34" s="1"/>
  <c r="F11" i="34"/>
  <c r="S11" i="34" s="1"/>
  <c r="F70" i="34"/>
  <c r="AA35" i="33"/>
  <c r="AA29" i="33"/>
  <c r="AB29" i="33"/>
  <c r="H41" i="33"/>
  <c r="F121" i="33"/>
  <c r="G121" i="33" s="1"/>
  <c r="H121" i="33" s="1"/>
  <c r="I121" i="33" s="1"/>
  <c r="J121" i="33" s="1"/>
  <c r="K121" i="33" s="1"/>
  <c r="L121" i="33" s="1"/>
  <c r="M121" i="33" s="1"/>
  <c r="F36" i="33"/>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F87" i="33"/>
  <c r="H25" i="33"/>
  <c r="AB25" i="33" s="1"/>
  <c r="F25" i="33"/>
  <c r="AA25" i="33" s="1"/>
  <c r="J23" i="33"/>
  <c r="AC23" i="33" s="1"/>
  <c r="F85" i="33"/>
  <c r="H23" i="33"/>
  <c r="AB23" i="33" s="1"/>
  <c r="F81" i="33"/>
  <c r="F19" i="33"/>
  <c r="J17" i="33"/>
  <c r="W17" i="33" s="1"/>
  <c r="J10" i="33"/>
  <c r="W10" i="33" s="1"/>
  <c r="H10" i="33"/>
  <c r="U10" i="33" s="1"/>
  <c r="AB14" i="33"/>
  <c r="W43" i="21"/>
  <c r="W36" i="21"/>
  <c r="W41" i="21"/>
  <c r="AB39" i="21"/>
  <c r="AA43" i="21"/>
  <c r="S39" i="21"/>
  <c r="AA38" i="21"/>
  <c r="AA36" i="21"/>
  <c r="AC40" i="21"/>
  <c r="J15" i="21"/>
  <c r="F77" i="21"/>
  <c r="G77" i="21"/>
  <c r="F23" i="21"/>
  <c r="E85" i="21"/>
  <c r="AA14" i="21"/>
  <c r="D120" i="9"/>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U43" i="39"/>
  <c r="AB43" i="39"/>
  <c r="AB11" i="39"/>
  <c r="U11" i="39"/>
  <c r="AA27" i="39"/>
  <c r="S27" i="39"/>
  <c r="W17" i="39"/>
  <c r="AC17" i="39"/>
  <c r="W31" i="39"/>
  <c r="AC31" i="39"/>
  <c r="S23" i="39"/>
  <c r="AB39" i="39"/>
  <c r="W34" i="39"/>
  <c r="U38" i="39"/>
  <c r="S8"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32"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W14" i="33"/>
  <c r="AC30" i="33"/>
  <c r="W30" i="33"/>
  <c r="S31" i="33"/>
  <c r="AA31" i="33"/>
  <c r="W13" i="33"/>
  <c r="AC13"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D68" i="9"/>
  <c r="F54" i="9"/>
  <c r="J32" i="39"/>
  <c r="H32" i="39"/>
  <c r="AB32" i="39" s="1"/>
  <c r="AA32" i="39"/>
  <c r="S32" i="39"/>
  <c r="AB21" i="39"/>
  <c r="U21" i="39"/>
  <c r="AA21" i="39"/>
  <c r="S21" i="39"/>
  <c r="AC17" i="37"/>
  <c r="S17" i="37"/>
  <c r="J19" i="37"/>
  <c r="W19" i="37" s="1"/>
  <c r="AA19" i="37"/>
  <c r="J23" i="37"/>
  <c r="G79" i="37"/>
  <c r="J10" i="37"/>
  <c r="W10" i="37" s="1"/>
  <c r="G63" i="37"/>
  <c r="H63" i="37" s="1"/>
  <c r="I63" i="37" s="1"/>
  <c r="H11" i="37"/>
  <c r="AB11" i="37" s="1"/>
  <c r="G70" i="34"/>
  <c r="H11" i="34"/>
  <c r="U11" i="34" s="1"/>
  <c r="J10" i="34"/>
  <c r="AC10" i="34" s="1"/>
  <c r="AB41" i="33"/>
  <c r="U41" i="33"/>
  <c r="W35" i="33"/>
  <c r="AC35" i="33"/>
  <c r="J36" i="33"/>
  <c r="W36" i="33" s="1"/>
  <c r="H36" i="33"/>
  <c r="G87" i="33"/>
  <c r="H87" i="33"/>
  <c r="I87" i="33" s="1"/>
  <c r="J87" i="33" s="1"/>
  <c r="K87" i="33" s="1"/>
  <c r="L87" i="33" s="1"/>
  <c r="M87" i="33" s="1"/>
  <c r="J25" i="33"/>
  <c r="AC25" i="33" s="1"/>
  <c r="F23" i="33"/>
  <c r="G85" i="33"/>
  <c r="H19" i="33"/>
  <c r="U19" i="33" s="1"/>
  <c r="G81" i="33"/>
  <c r="H17" i="33"/>
  <c r="U17" i="33" s="1"/>
  <c r="F17" i="33"/>
  <c r="S17" i="33" s="1"/>
  <c r="J23" i="21"/>
  <c r="W23" i="21" s="1"/>
  <c r="F85" i="21"/>
  <c r="G85" i="21" s="1"/>
  <c r="H23" i="21"/>
  <c r="S13" i="21"/>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AA17" i="33"/>
  <c r="U23" i="2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B8" i="76"/>
  <c r="B12" i="76"/>
  <c r="E13" i="76"/>
  <c r="M8" i="15"/>
  <c r="F4" i="73"/>
  <c r="F16" i="15"/>
  <c r="F38" i="15"/>
  <c r="F5" i="73"/>
  <c r="F42" i="15"/>
  <c r="F13" i="15"/>
  <c r="F26" i="15"/>
  <c r="F7" i="73"/>
  <c r="F43" i="15"/>
  <c r="M9" i="15"/>
  <c r="F36" i="15"/>
  <c r="E8" i="76"/>
  <c r="B9" i="76"/>
  <c r="L48" i="15"/>
  <c r="B11" i="76"/>
  <c r="M26" i="15"/>
  <c r="M29" i="15"/>
  <c r="F20" i="31"/>
  <c r="L47" i="15"/>
  <c r="F40" i="15"/>
  <c r="E2" i="68"/>
  <c r="F7" i="15"/>
  <c r="B7" i="76"/>
  <c r="F6" i="73"/>
  <c r="J15" i="15"/>
  <c r="E9" i="76"/>
  <c r="E11" i="76"/>
  <c r="F3" i="73"/>
  <c r="M24" i="15"/>
  <c r="E2" i="69"/>
  <c r="D6" i="73"/>
  <c r="M28" i="67"/>
  <c r="M6" i="15"/>
  <c r="F37" i="67"/>
  <c r="C20" i="9"/>
  <c r="F16" i="67"/>
  <c r="C19" i="9"/>
  <c r="M28" i="15"/>
  <c r="F40" i="67"/>
  <c r="F38" i="67"/>
  <c r="F9" i="67"/>
  <c r="AO13" i="1"/>
  <c r="E12" i="76"/>
  <c r="J15" i="67"/>
  <c r="E7" i="76"/>
  <c r="E10" i="76"/>
  <c r="C76" i="15"/>
  <c r="M22" i="15"/>
  <c r="F8" i="15"/>
  <c r="F7" i="67"/>
  <c r="F37" i="15"/>
  <c r="F43" i="67"/>
  <c r="M26" i="67"/>
  <c r="F36" i="67"/>
  <c r="F6" i="15"/>
  <c r="F9" i="15"/>
  <c r="B10" i="76"/>
  <c r="M23" i="15"/>
  <c r="A13" i="51" l="1"/>
  <c r="B11" i="72" s="1"/>
  <c r="J27" i="33"/>
  <c r="W27" i="33" s="1"/>
  <c r="H27" i="33"/>
  <c r="AB27" i="33" s="1"/>
  <c r="F27" i="33"/>
  <c r="AA27" i="33" s="1"/>
  <c r="H43" i="33"/>
  <c r="F43" i="33"/>
  <c r="AA43" i="33" s="1"/>
  <c r="H42" i="33"/>
  <c r="AB42" i="33" s="1"/>
  <c r="J42" i="33"/>
  <c r="S43" i="33"/>
  <c r="S39" i="33"/>
  <c r="U38" i="33"/>
  <c r="S36" i="33"/>
  <c r="S21" i="33"/>
  <c r="AC17" i="33"/>
  <c r="W38" i="33"/>
  <c r="AA34" i="33"/>
  <c r="U32" i="33"/>
  <c r="U23" i="33"/>
  <c r="W19" i="33"/>
  <c r="W15" i="33"/>
  <c r="U15" i="33"/>
  <c r="S15" i="33"/>
  <c r="AC12" i="33"/>
  <c r="S12" i="33"/>
  <c r="AA13" i="33"/>
  <c r="W9" i="33"/>
  <c r="U42" i="33"/>
  <c r="U39" i="33"/>
  <c r="W39" i="33"/>
  <c r="S38" i="33"/>
  <c r="AA37" i="33"/>
  <c r="AC37" i="33"/>
  <c r="U37" i="33"/>
  <c r="AC34" i="33"/>
  <c r="AB34" i="33"/>
  <c r="W33" i="33"/>
  <c r="W32" i="33"/>
  <c r="S32" i="33"/>
  <c r="S28" i="33"/>
  <c r="AC28" i="33"/>
  <c r="AB28" i="33"/>
  <c r="U27" i="33"/>
  <c r="S27" i="33"/>
  <c r="AC27" i="33"/>
  <c r="W25" i="33"/>
  <c r="U25" i="33"/>
  <c r="S25" i="33"/>
  <c r="AC11" i="33"/>
  <c r="U11" i="33"/>
  <c r="S11" i="33"/>
  <c r="W8" i="33"/>
  <c r="E1" i="73"/>
  <c r="G29" i="6"/>
  <c r="G22" i="11"/>
  <c r="G26" i="12"/>
  <c r="G22" i="68"/>
  <c r="G22" i="69"/>
  <c r="A15" i="62"/>
  <c r="B61" i="72" s="1"/>
  <c r="C21" i="68"/>
  <c r="S23" i="37"/>
  <c r="AA23" i="37"/>
  <c r="AC27" i="40"/>
  <c r="W27" i="40"/>
  <c r="S14" i="34"/>
  <c r="AA14" i="34"/>
  <c r="U12" i="35"/>
  <c r="AB12" i="35"/>
  <c r="S12" i="36"/>
  <c r="AA12" i="36"/>
  <c r="W32" i="39"/>
  <c r="AC32" i="39"/>
  <c r="D121" i="9"/>
  <c r="D7" i="52" s="1"/>
  <c r="D6" i="52"/>
  <c r="S39" i="40"/>
  <c r="AA39" i="40"/>
  <c r="AA23" i="21"/>
  <c r="S23" i="21"/>
  <c r="AB35" i="39"/>
  <c r="U35" i="39"/>
  <c r="AB19" i="33"/>
  <c r="U36" i="33"/>
  <c r="AB36" i="33"/>
  <c r="AA37" i="21"/>
  <c r="S37" i="21"/>
  <c r="S19" i="33"/>
  <c r="AA19" i="33"/>
  <c r="AB15" i="21"/>
  <c r="AC15" i="21"/>
  <c r="W15" i="21"/>
  <c r="AB32" i="37"/>
  <c r="U32" i="37"/>
  <c r="AZ374" i="3"/>
  <c r="U41" i="39"/>
  <c r="S17" i="34"/>
  <c r="AB41" i="34"/>
  <c r="AA47" i="34"/>
  <c r="U13" i="37"/>
  <c r="AC5" i="3"/>
  <c r="AZ357" i="3"/>
  <c r="AZ322" i="3"/>
  <c r="AZ313" i="3"/>
  <c r="AZ394" i="3"/>
  <c r="AB38" i="21"/>
  <c r="AC28" i="34"/>
  <c r="AZ519" i="3"/>
  <c r="AZ573" i="3"/>
  <c r="U36" i="39"/>
  <c r="S44" i="34"/>
  <c r="J14" i="34"/>
  <c r="H45" i="33"/>
  <c r="F23" i="35"/>
  <c r="F35" i="39"/>
  <c r="BL587" i="3"/>
  <c r="AZ587" i="3" s="1"/>
  <c r="J24" i="36"/>
  <c r="H24" i="36"/>
  <c r="F24" i="36"/>
  <c r="AB30" i="37"/>
  <c r="U30" i="37"/>
  <c r="AC31" i="40"/>
  <c r="W31" i="40"/>
  <c r="W43" i="33"/>
  <c r="S42" i="33"/>
  <c r="AB31" i="37"/>
  <c r="W27" i="37"/>
  <c r="AA26" i="36"/>
  <c r="U21" i="40"/>
  <c r="AZ347" i="3"/>
  <c r="AZ200" i="3"/>
  <c r="AZ324" i="3"/>
  <c r="AA11" i="39"/>
  <c r="AC45" i="33"/>
  <c r="AZ515" i="3"/>
  <c r="AZ569" i="3"/>
  <c r="AZ571" i="3"/>
  <c r="AZ579" i="3"/>
  <c r="AZ516" i="3"/>
  <c r="AZ524" i="3"/>
  <c r="AB46" i="34"/>
  <c r="F32" i="34"/>
  <c r="AA45" i="33"/>
  <c r="H30" i="21"/>
  <c r="AA29" i="35"/>
  <c r="U38" i="40"/>
  <c r="W28" i="35"/>
  <c r="J35" i="39"/>
  <c r="AC35" i="39" s="1"/>
  <c r="J45" i="39"/>
  <c r="W45" i="39" s="1"/>
  <c r="B97" i="43"/>
  <c r="B75" i="43"/>
  <c r="AA35" i="34"/>
  <c r="H23" i="35"/>
  <c r="J39" i="37"/>
  <c r="F39" i="37"/>
  <c r="S39" i="37" s="1"/>
  <c r="H44" i="39"/>
  <c r="J44" i="39"/>
  <c r="AA34" i="39"/>
  <c r="J12" i="40"/>
  <c r="F38" i="40"/>
  <c r="AZ529" i="3"/>
  <c r="H9" i="33"/>
  <c r="F9" i="33"/>
  <c r="AA9" i="33" s="1"/>
  <c r="J26" i="33"/>
  <c r="F26" i="33"/>
  <c r="H26" i="33"/>
  <c r="AC9" i="34"/>
  <c r="W9" i="34"/>
  <c r="F12" i="35"/>
  <c r="J12" i="35"/>
  <c r="J12" i="36"/>
  <c r="H12" i="36"/>
  <c r="F32" i="36"/>
  <c r="H32" i="36"/>
  <c r="AA31" i="35"/>
  <c r="S31" i="35"/>
  <c r="AZ204" i="3"/>
  <c r="AC13" i="39"/>
  <c r="AZ391" i="3"/>
  <c r="AZ364" i="3"/>
  <c r="AZ329" i="3"/>
  <c r="AZ304" i="3"/>
  <c r="AZ306" i="3"/>
  <c r="W16" i="35"/>
  <c r="AZ535" i="3"/>
  <c r="AZ577" i="3"/>
  <c r="AZ557" i="3"/>
  <c r="AZ513" i="3"/>
  <c r="AZ575" i="3"/>
  <c r="AZ528" i="3"/>
  <c r="AZ566" i="3"/>
  <c r="AZ574" i="3"/>
  <c r="AZ582" i="3"/>
  <c r="AZ540" i="3"/>
  <c r="AZ502" i="3"/>
  <c r="J29" i="33"/>
  <c r="F30" i="21"/>
  <c r="U33" i="33"/>
  <c r="U34" i="34"/>
  <c r="W22" i="35"/>
  <c r="F45" i="39"/>
  <c r="W27" i="35"/>
  <c r="J38" i="40"/>
  <c r="U30" i="36"/>
  <c r="AB30" i="36"/>
  <c r="BL550" i="3"/>
  <c r="AZ419" i="3"/>
  <c r="AB8" i="39"/>
  <c r="C15" i="39"/>
  <c r="AA9" i="40"/>
  <c r="U31" i="36"/>
  <c r="G587" i="3"/>
  <c r="F25" i="37"/>
  <c r="BA551" i="3"/>
  <c r="AZ551" i="3" s="1"/>
  <c r="BA550" i="3"/>
  <c r="AZ550" i="3" s="1"/>
  <c r="BL548" i="3"/>
  <c r="AZ548" i="3" s="1"/>
  <c r="G427" i="3"/>
  <c r="BL428" i="3"/>
  <c r="BL429" i="3"/>
  <c r="BL432" i="3"/>
  <c r="BL435" i="3"/>
  <c r="BL436" i="3"/>
  <c r="BA439" i="3"/>
  <c r="AZ439" i="3" s="1"/>
  <c r="BA440" i="3"/>
  <c r="AZ440" i="3" s="1"/>
  <c r="BA442" i="3"/>
  <c r="BL449" i="3"/>
  <c r="BL450" i="3"/>
  <c r="AZ450" i="3" s="1"/>
  <c r="BL453" i="3"/>
  <c r="BL454" i="3"/>
  <c r="AZ462" i="3"/>
  <c r="AZ469" i="3"/>
  <c r="BL585" i="3"/>
  <c r="AZ585" i="3" s="1"/>
  <c r="BL398" i="3"/>
  <c r="G402" i="3"/>
  <c r="BL403"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AZ434" i="3" s="1"/>
  <c r="BA436" i="3"/>
  <c r="BA438" i="3"/>
  <c r="G443" i="3"/>
  <c r="BA443" i="3"/>
  <c r="AZ443" i="3" s="1"/>
  <c r="BL445" i="3"/>
  <c r="BL446" i="3"/>
  <c r="BA449" i="3"/>
  <c r="BL455" i="3"/>
  <c r="BA457" i="3"/>
  <c r="BA459" i="3"/>
  <c r="AZ459" i="3" s="1"/>
  <c r="BA460" i="3"/>
  <c r="BL467" i="3"/>
  <c r="BL468" i="3"/>
  <c r="AZ487" i="3"/>
  <c r="BL308" i="3"/>
  <c r="AZ308" i="3" s="1"/>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A445" i="3"/>
  <c r="BA447" i="3"/>
  <c r="AZ447" i="3" s="1"/>
  <c r="BL451" i="3"/>
  <c r="AZ451" i="3" s="1"/>
  <c r="BA454" i="3"/>
  <c r="AZ454" i="3" s="1"/>
  <c r="BL456" i="3"/>
  <c r="G464" i="3"/>
  <c r="BL464" i="3"/>
  <c r="BA470" i="3"/>
  <c r="BL473" i="3"/>
  <c r="AZ473" i="3" s="1"/>
  <c r="BL474" i="3"/>
  <c r="G489" i="3"/>
  <c r="BL340" i="3"/>
  <c r="AZ340" i="3" s="1"/>
  <c r="BA401" i="3"/>
  <c r="AZ401" i="3" s="1"/>
  <c r="BA403" i="3"/>
  <c r="BA404" i="3"/>
  <c r="AZ404" i="3" s="1"/>
  <c r="BA405" i="3"/>
  <c r="AZ405" i="3" s="1"/>
  <c r="BL410" i="3"/>
  <c r="G412" i="3"/>
  <c r="G418" i="3"/>
  <c r="BA422" i="3"/>
  <c r="AZ422" i="3" s="1"/>
  <c r="AZ458" i="3"/>
  <c r="AZ464" i="3"/>
  <c r="BL488" i="3"/>
  <c r="G323" i="3"/>
  <c r="BA385" i="3"/>
  <c r="BA483" i="3"/>
  <c r="BL483" i="3"/>
  <c r="BA486" i="3"/>
  <c r="BL489" i="3"/>
  <c r="BL491" i="3"/>
  <c r="BL492" i="3"/>
  <c r="G307" i="3"/>
  <c r="BA315" i="3"/>
  <c r="AZ315" i="3" s="1"/>
  <c r="BA333" i="3"/>
  <c r="BL346" i="3"/>
  <c r="AZ346" i="3" s="1"/>
  <c r="G349" i="3"/>
  <c r="G374" i="3"/>
  <c r="BA384" i="3"/>
  <c r="AZ384" i="3" s="1"/>
  <c r="BA216" i="3"/>
  <c r="AZ216" i="3" s="1"/>
  <c r="BA218" i="3"/>
  <c r="AZ218" i="3" s="1"/>
  <c r="BL218" i="3"/>
  <c r="BL220" i="3"/>
  <c r="BL221" i="3"/>
  <c r="BL223" i="3"/>
  <c r="BA227" i="3"/>
  <c r="AZ227" i="3" s="1"/>
  <c r="BA229" i="3"/>
  <c r="AZ229" i="3" s="1"/>
  <c r="BL229" i="3"/>
  <c r="BL231" i="3"/>
  <c r="BL233" i="3"/>
  <c r="AZ233" i="3" s="1"/>
  <c r="BA236" i="3"/>
  <c r="BA243" i="3"/>
  <c r="BL245" i="3"/>
  <c r="BL261" i="3"/>
  <c r="BA273" i="3"/>
  <c r="AZ273" i="3" s="1"/>
  <c r="G462" i="3"/>
  <c r="BA465" i="3"/>
  <c r="AZ465" i="3" s="1"/>
  <c r="BA467" i="3"/>
  <c r="BA468" i="3"/>
  <c r="BL471" i="3"/>
  <c r="BL475" i="3"/>
  <c r="BA477" i="3"/>
  <c r="BA478" i="3"/>
  <c r="BA481" i="3"/>
  <c r="G484" i="3"/>
  <c r="BA488" i="3"/>
  <c r="AZ488" i="3" s="1"/>
  <c r="BA491" i="3"/>
  <c r="BL324" i="3"/>
  <c r="BL328" i="3"/>
  <c r="AZ328" i="3" s="1"/>
  <c r="G329" i="3"/>
  <c r="BA335" i="3"/>
  <c r="AZ335" i="3" s="1"/>
  <c r="BA339" i="3"/>
  <c r="AZ339" i="3" s="1"/>
  <c r="BA348" i="3"/>
  <c r="BA350" i="3"/>
  <c r="AZ350" i="3" s="1"/>
  <c r="BA354" i="3"/>
  <c r="BA366" i="3"/>
  <c r="AZ366" i="3" s="1"/>
  <c r="BL375" i="3"/>
  <c r="AZ375" i="3" s="1"/>
  <c r="BL385" i="3"/>
  <c r="G392" i="3"/>
  <c r="BA397" i="3"/>
  <c r="BL397" i="3"/>
  <c r="BA210" i="3"/>
  <c r="BL210" i="3"/>
  <c r="BL212" i="3"/>
  <c r="G214" i="3"/>
  <c r="BL214" i="3"/>
  <c r="AZ214" i="3" s="1"/>
  <c r="G216" i="3"/>
  <c r="BL225" i="3"/>
  <c r="BL226" i="3"/>
  <c r="G227" i="3"/>
  <c r="BL234" i="3"/>
  <c r="BA237" i="3"/>
  <c r="AZ237" i="3" s="1"/>
  <c r="BA240" i="3"/>
  <c r="AZ240" i="3" s="1"/>
  <c r="BA241" i="3"/>
  <c r="AZ241" i="3" s="1"/>
  <c r="BL241" i="3"/>
  <c r="BA255" i="3"/>
  <c r="BA256" i="3"/>
  <c r="AZ256" i="3" s="1"/>
  <c r="BL256" i="3"/>
  <c r="BA259" i="3"/>
  <c r="AZ259" i="3" s="1"/>
  <c r="BA262" i="3"/>
  <c r="AZ262" i="3" s="1"/>
  <c r="BA265" i="3"/>
  <c r="AZ265" i="3" s="1"/>
  <c r="BL266" i="3"/>
  <c r="BA268" i="3"/>
  <c r="BA277" i="3"/>
  <c r="BL277" i="3"/>
  <c r="BA446" i="3"/>
  <c r="BA450" i="3"/>
  <c r="BA453" i="3"/>
  <c r="AZ453" i="3" s="1"/>
  <c r="BA455" i="3"/>
  <c r="BL457" i="3"/>
  <c r="BL460" i="3"/>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88" i="3"/>
  <c r="AZ388" i="3" s="1"/>
  <c r="BA396" i="3"/>
  <c r="BA209" i="3"/>
  <c r="BL217" i="3"/>
  <c r="AZ217" i="3" s="1"/>
  <c r="BA219" i="3"/>
  <c r="AZ219" i="3" s="1"/>
  <c r="BA221" i="3"/>
  <c r="BA223" i="3"/>
  <c r="AZ223" i="3" s="1"/>
  <c r="BL228" i="3"/>
  <c r="AZ228" i="3" s="1"/>
  <c r="BA230" i="3"/>
  <c r="AZ230" i="3" s="1"/>
  <c r="BL232" i="3"/>
  <c r="G238" i="3"/>
  <c r="BA239" i="3"/>
  <c r="BL239" i="3"/>
  <c r="BA242" i="3"/>
  <c r="AZ242" i="3" s="1"/>
  <c r="BA245" i="3"/>
  <c r="AZ245" i="3" s="1"/>
  <c r="BA246" i="3"/>
  <c r="BA252" i="3"/>
  <c r="AZ252" i="3" s="1"/>
  <c r="BA254" i="3"/>
  <c r="AZ254" i="3" s="1"/>
  <c r="BL257" i="3"/>
  <c r="AZ257" i="3" s="1"/>
  <c r="BL258" i="3"/>
  <c r="G263" i="3"/>
  <c r="BL264" i="3"/>
  <c r="BA267" i="3"/>
  <c r="AZ267" i="3" s="1"/>
  <c r="BA269" i="3"/>
  <c r="BL269" i="3"/>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BL177" i="3"/>
  <c r="AZ177" i="3" s="1"/>
  <c r="G179" i="3"/>
  <c r="BL183" i="3"/>
  <c r="AZ183" i="3" s="1"/>
  <c r="BA186" i="3"/>
  <c r="AZ186" i="3" s="1"/>
  <c r="BA190" i="3"/>
  <c r="AZ190" i="3" s="1"/>
  <c r="G196" i="3"/>
  <c r="BA197" i="3"/>
  <c r="BL201" i="3"/>
  <c r="AZ201" i="3" s="1"/>
  <c r="BL203" i="3"/>
  <c r="AZ203" i="3" s="1"/>
  <c r="BA204" i="3"/>
  <c r="BA18" i="3"/>
  <c r="G21" i="3"/>
  <c r="BL21" i="3"/>
  <c r="AZ21" i="3" s="1"/>
  <c r="G23" i="3"/>
  <c r="G29" i="3"/>
  <c r="BL29" i="3"/>
  <c r="AZ29" i="3" s="1"/>
  <c r="G33" i="3"/>
  <c r="G34" i="3"/>
  <c r="BA37" i="3"/>
  <c r="G39" i="3"/>
  <c r="BL39" i="3"/>
  <c r="AZ39" i="3" s="1"/>
  <c r="G47" i="3"/>
  <c r="BL48" i="3"/>
  <c r="G67" i="3"/>
  <c r="BL68" i="3"/>
  <c r="BA69" i="3"/>
  <c r="D44" i="71"/>
  <c r="T44" i="71"/>
  <c r="D34" i="71"/>
  <c r="C35" i="71"/>
  <c r="C55" i="71"/>
  <c r="D54" i="71"/>
  <c r="D67" i="71"/>
  <c r="C66" i="71"/>
  <c r="O67" i="71"/>
  <c r="BA278" i="3"/>
  <c r="AZ278" i="3" s="1"/>
  <c r="BA280" i="3"/>
  <c r="AZ280" i="3" s="1"/>
  <c r="BL283" i="3"/>
  <c r="AZ283" i="3" s="1"/>
  <c r="BL284" i="3"/>
  <c r="AZ284" i="3" s="1"/>
  <c r="BL292" i="3"/>
  <c r="BA294" i="3"/>
  <c r="AZ294" i="3" s="1"/>
  <c r="BL295" i="3"/>
  <c r="BA298" i="3"/>
  <c r="AZ298" i="3" s="1"/>
  <c r="BL301" i="3"/>
  <c r="AZ301" i="3" s="1"/>
  <c r="BL302" i="3"/>
  <c r="BA114" i="3"/>
  <c r="BL123" i="3"/>
  <c r="AZ123" i="3" s="1"/>
  <c r="BA128" i="3"/>
  <c r="AZ128" i="3" s="1"/>
  <c r="BL134" i="3"/>
  <c r="AZ134" i="3" s="1"/>
  <c r="BL137" i="3"/>
  <c r="BA146" i="3"/>
  <c r="AZ146" i="3" s="1"/>
  <c r="BA150" i="3"/>
  <c r="AZ150" i="3" s="1"/>
  <c r="BL167" i="3"/>
  <c r="AZ167" i="3" s="1"/>
  <c r="BL178" i="3"/>
  <c r="BA180" i="3"/>
  <c r="AZ180" i="3" s="1"/>
  <c r="BL182" i="3"/>
  <c r="AZ182" i="3" s="1"/>
  <c r="BA185" i="3"/>
  <c r="BA193" i="3"/>
  <c r="BA196" i="3"/>
  <c r="AZ196" i="3" s="1"/>
  <c r="BA205" i="3"/>
  <c r="AZ205" i="3" s="1"/>
  <c r="AZ25" i="3"/>
  <c r="BL55" i="3"/>
  <c r="AZ55" i="3" s="1"/>
  <c r="G58" i="3"/>
  <c r="BA59" i="3"/>
  <c r="AZ59" i="3" s="1"/>
  <c r="BL61" i="3"/>
  <c r="G64" i="3"/>
  <c r="BA64" i="3"/>
  <c r="AZ64" i="3" s="1"/>
  <c r="BL74" i="3"/>
  <c r="AZ74" i="3" s="1"/>
  <c r="G75" i="3"/>
  <c r="BL75" i="3"/>
  <c r="AZ75" i="3" s="1"/>
  <c r="BL82" i="3"/>
  <c r="C64" i="71"/>
  <c r="T64" i="71" s="1"/>
  <c r="D63" i="71"/>
  <c r="G235" i="3"/>
  <c r="BL235" i="3"/>
  <c r="AZ235" i="3" s="1"/>
  <c r="BL236" i="3"/>
  <c r="G237" i="3"/>
  <c r="BL238" i="3"/>
  <c r="AZ238" i="3" s="1"/>
  <c r="G239" i="3"/>
  <c r="BL243" i="3"/>
  <c r="G244"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BA202" i="3"/>
  <c r="BL207" i="3"/>
  <c r="BL18" i="3"/>
  <c r="G19" i="3"/>
  <c r="BL19" i="3"/>
  <c r="BA20" i="3"/>
  <c r="AZ20" i="3" s="1"/>
  <c r="BL25" i="3"/>
  <c r="BL27" i="3"/>
  <c r="BA28" i="3"/>
  <c r="AZ28" i="3" s="1"/>
  <c r="BA31" i="3"/>
  <c r="BA32" i="3"/>
  <c r="G38" i="3"/>
  <c r="BA38" i="3"/>
  <c r="AZ38" i="3" s="1"/>
  <c r="BA41" i="3"/>
  <c r="G51" i="3"/>
  <c r="BA52" i="3"/>
  <c r="AZ52" i="3" s="1"/>
  <c r="BL54" i="3"/>
  <c r="AZ54" i="3" s="1"/>
  <c r="BL69" i="3"/>
  <c r="G70" i="3"/>
  <c r="BL70" i="3"/>
  <c r="BL71" i="3"/>
  <c r="BL72" i="3"/>
  <c r="AZ72" i="3" s="1"/>
  <c r="G74" i="3"/>
  <c r="G89" i="3"/>
  <c r="D31" i="71"/>
  <c r="C32" i="71"/>
  <c r="D50" i="71"/>
  <c r="C51" i="71"/>
  <c r="AZ302" i="3"/>
  <c r="AZ125" i="3"/>
  <c r="AZ137" i="3"/>
  <c r="BL162" i="3"/>
  <c r="AZ162" i="3" s="1"/>
  <c r="BA173" i="3"/>
  <c r="AZ173" i="3" s="1"/>
  <c r="BA174" i="3"/>
  <c r="BL194" i="3"/>
  <c r="AZ194" i="3" s="1"/>
  <c r="BA198" i="3"/>
  <c r="AZ198" i="3" s="1"/>
  <c r="BA19" i="3"/>
  <c r="AZ19" i="3" s="1"/>
  <c r="BA27" i="3"/>
  <c r="BL30" i="3"/>
  <c r="BL31" i="3"/>
  <c r="G40" i="3"/>
  <c r="BL40" i="3"/>
  <c r="BL41" i="3"/>
  <c r="BA43" i="3"/>
  <c r="AZ70" i="3"/>
  <c r="G81" i="3"/>
  <c r="G93" i="3"/>
  <c r="T28" i="71"/>
  <c r="D28" i="71"/>
  <c r="U28" i="71" s="1"/>
  <c r="C27" i="71"/>
  <c r="F66" i="71"/>
  <c r="Q67" i="71"/>
  <c r="V24" i="71"/>
  <c r="E23" i="71"/>
  <c r="E22" i="71" s="1"/>
  <c r="E21" i="71" s="1"/>
  <c r="E20" i="71" s="1"/>
  <c r="BL45" i="3"/>
  <c r="BA48" i="3"/>
  <c r="AZ48" i="3" s="1"/>
  <c r="BA49" i="3"/>
  <c r="BA51" i="3"/>
  <c r="G55" i="3"/>
  <c r="BL56" i="3"/>
  <c r="BA58" i="3"/>
  <c r="BL59" i="3"/>
  <c r="BL60" i="3"/>
  <c r="BA61" i="3"/>
  <c r="AZ61" i="3" s="1"/>
  <c r="BA68" i="3"/>
  <c r="BA73" i="3"/>
  <c r="BA80" i="3"/>
  <c r="BL84" i="3"/>
  <c r="BA89" i="3"/>
  <c r="G103" i="3"/>
  <c r="BA103" i="3"/>
  <c r="AZ103" i="3" s="1"/>
  <c r="BA104" i="3"/>
  <c r="AZ104" i="3" s="1"/>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43" i="3"/>
  <c r="G44" i="3"/>
  <c r="BA45" i="3"/>
  <c r="AZ45" i="3" s="1"/>
  <c r="BA46" i="3"/>
  <c r="AZ46" i="3" s="1"/>
  <c r="BL49" i="3"/>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BL88" i="3"/>
  <c r="AZ88" i="3" s="1"/>
  <c r="G90" i="3"/>
  <c r="BL90" i="3"/>
  <c r="BL92" i="3"/>
  <c r="G101" i="3"/>
  <c r="BA101" i="3"/>
  <c r="AZ101" i="3" s="1"/>
  <c r="G108" i="3"/>
  <c r="BL112" i="3"/>
  <c r="AB21" i="33"/>
  <c r="B88" i="43"/>
  <c r="D76" i="71"/>
  <c r="T68" i="71"/>
  <c r="X34" i="71"/>
  <c r="X31" i="71"/>
  <c r="F35" i="71"/>
  <c r="F36" i="71" s="1"/>
  <c r="V36" i="71" s="1"/>
  <c r="AA34" i="71"/>
  <c r="AB35" i="71"/>
  <c r="BA82" i="3"/>
  <c r="AZ82" i="3" s="1"/>
  <c r="BL83" i="3"/>
  <c r="G86" i="3"/>
  <c r="G87" i="3"/>
  <c r="BA90" i="3"/>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F27" i="34"/>
  <c r="C21" i="39"/>
  <c r="U9" i="36"/>
  <c r="U14" i="37"/>
  <c r="H12" i="21"/>
  <c r="G526" i="3"/>
  <c r="AZ420" i="3"/>
  <c r="AZ42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H26" i="43" s="1"/>
  <c r="E29" i="6"/>
  <c r="K15" i="1" s="1"/>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M7" i="15"/>
  <c r="J6" i="15" s="1"/>
  <c r="F50" i="15"/>
  <c r="F51" i="15"/>
  <c r="F71" i="15"/>
  <c r="C6" i="15"/>
  <c r="F66" i="67"/>
  <c r="L59" i="15"/>
  <c r="N59" i="15"/>
  <c r="L58" i="15"/>
  <c r="M59" i="15"/>
  <c r="F66" i="15"/>
  <c r="F64" i="15"/>
  <c r="F71" i="67"/>
  <c r="C27" i="15"/>
  <c r="F65" i="15"/>
  <c r="C103" i="9"/>
  <c r="B13" i="70"/>
  <c r="M7" i="67"/>
  <c r="F50" i="67"/>
  <c r="F68" i="67"/>
  <c r="F64" i="67"/>
  <c r="F68" i="15"/>
  <c r="C36" i="68"/>
  <c r="D9" i="69"/>
  <c r="C36" i="69"/>
  <c r="D9" i="68"/>
  <c r="F13" i="67"/>
  <c r="F42" i="67"/>
  <c r="C76" i="67"/>
  <c r="C16" i="67"/>
  <c r="D3" i="73"/>
  <c r="F8" i="67"/>
  <c r="M23" i="67"/>
  <c r="M22" i="67"/>
  <c r="F26" i="67"/>
  <c r="D4" i="73"/>
  <c r="D5" i="73"/>
  <c r="D7" i="73"/>
  <c r="M8" i="67"/>
  <c r="M24" i="67"/>
  <c r="L47" i="67"/>
  <c r="M6" i="67"/>
  <c r="L48" i="67"/>
  <c r="M29" i="67"/>
  <c r="M9" i="67"/>
  <c r="C16" i="15"/>
  <c r="AC42" i="33" l="1"/>
  <c r="W42" i="33"/>
  <c r="S9" i="33"/>
  <c r="E26" i="43"/>
  <c r="J7" i="36"/>
  <c r="F31" i="67"/>
  <c r="L56" i="67"/>
  <c r="I54" i="67"/>
  <c r="J53" i="67"/>
  <c r="Q52" i="67" s="1"/>
  <c r="J57" i="67"/>
  <c r="J55" i="67" s="1"/>
  <c r="J58" i="67" s="1"/>
  <c r="Q50" i="67" s="1"/>
  <c r="L58" i="67"/>
  <c r="Q60" i="67" s="1"/>
  <c r="N59" i="67"/>
  <c r="L59" i="67"/>
  <c r="Q61" i="67" s="1"/>
  <c r="M59" i="67"/>
  <c r="C27" i="67"/>
  <c r="F51" i="67"/>
  <c r="F59" i="67" s="1"/>
  <c r="Q71" i="67"/>
  <c r="AC38" i="40"/>
  <c r="W38" i="40"/>
  <c r="AB32" i="36"/>
  <c r="U32" i="36"/>
  <c r="W12" i="35"/>
  <c r="AC12" i="35"/>
  <c r="AB26" i="33"/>
  <c r="U26" i="33"/>
  <c r="AB9" i="33"/>
  <c r="U9" i="33"/>
  <c r="AA38" i="40"/>
  <c r="S38" i="40"/>
  <c r="U44" i="39"/>
  <c r="AB44" i="39"/>
  <c r="AB30" i="21"/>
  <c r="U30" i="21"/>
  <c r="W14" i="34"/>
  <c r="AC14" i="34"/>
  <c r="E28" i="6"/>
  <c r="K14" i="1" s="1"/>
  <c r="K16" i="1" s="1"/>
  <c r="AZ202" i="3"/>
  <c r="AZ141" i="3"/>
  <c r="AZ287" i="3"/>
  <c r="AZ209" i="3"/>
  <c r="AZ475" i="3"/>
  <c r="AZ84" i="3"/>
  <c r="C40" i="71"/>
  <c r="D39" i="71"/>
  <c r="D75" i="71"/>
  <c r="C74" i="71"/>
  <c r="D74" i="71" s="1"/>
  <c r="C52" i="71"/>
  <c r="D51" i="71"/>
  <c r="AZ27" i="3"/>
  <c r="AZ118" i="3"/>
  <c r="AZ126" i="3"/>
  <c r="AZ368" i="3"/>
  <c r="AZ277" i="3"/>
  <c r="AZ397" i="3"/>
  <c r="AZ243" i="3"/>
  <c r="AZ403" i="3"/>
  <c r="AZ460" i="3"/>
  <c r="S32" i="36"/>
  <c r="AA32" i="36"/>
  <c r="S26" i="33"/>
  <c r="AA26" i="33"/>
  <c r="W12" i="40"/>
  <c r="AC12" i="40"/>
  <c r="AA24" i="36"/>
  <c r="S24" i="36"/>
  <c r="AA35" i="39"/>
  <c r="S35" i="39"/>
  <c r="J6" i="67"/>
  <c r="J18" i="67" s="1"/>
  <c r="C70" i="71"/>
  <c r="D70" i="71" s="1"/>
  <c r="D71" i="71"/>
  <c r="AZ333" i="3"/>
  <c r="W35" i="39"/>
  <c r="D79" i="71"/>
  <c r="C78" i="71"/>
  <c r="D78" i="71" s="1"/>
  <c r="AZ51" i="3"/>
  <c r="C56" i="71"/>
  <c r="D55" i="71"/>
  <c r="AZ197" i="3"/>
  <c r="AZ271" i="3"/>
  <c r="AZ491" i="3"/>
  <c r="AZ421" i="3"/>
  <c r="AA25" i="37"/>
  <c r="S25" i="37"/>
  <c r="S45" i="39"/>
  <c r="AA45" i="39"/>
  <c r="S30" i="21"/>
  <c r="AA30" i="21"/>
  <c r="U12" i="36"/>
  <c r="AB12" i="36"/>
  <c r="AC26" i="33"/>
  <c r="W26" i="33"/>
  <c r="AC39" i="37"/>
  <c r="W39" i="37"/>
  <c r="AA32" i="34"/>
  <c r="S32" i="34"/>
  <c r="AB24" i="36"/>
  <c r="U24" i="36"/>
  <c r="AA23" i="35"/>
  <c r="S23" i="35"/>
  <c r="G5" i="3"/>
  <c r="B3" i="3" s="1"/>
  <c r="E292" i="3" s="1"/>
  <c r="AZ281" i="3"/>
  <c r="AZ253" i="3"/>
  <c r="AZ348" i="3"/>
  <c r="AZ71" i="3"/>
  <c r="D83" i="71"/>
  <c r="C82" i="71"/>
  <c r="D82" i="71" s="1"/>
  <c r="AZ58" i="3"/>
  <c r="AZ49" i="3"/>
  <c r="C26" i="71"/>
  <c r="D26" i="71" s="1"/>
  <c r="D27" i="71"/>
  <c r="T32" i="71"/>
  <c r="D32" i="71"/>
  <c r="AZ41" i="3"/>
  <c r="AZ31" i="3"/>
  <c r="O65" i="71"/>
  <c r="D66" i="71"/>
  <c r="O66" i="71"/>
  <c r="C36" i="71"/>
  <c r="D35" i="71"/>
  <c r="AZ69" i="3"/>
  <c r="AZ269" i="3"/>
  <c r="AZ239" i="3"/>
  <c r="AZ455" i="3"/>
  <c r="AZ210" i="3"/>
  <c r="AZ483" i="3"/>
  <c r="AZ457" i="3"/>
  <c r="AZ429" i="3"/>
  <c r="W12" i="36"/>
  <c r="AC12" i="36"/>
  <c r="W44" i="39"/>
  <c r="AC44" i="39"/>
  <c r="U23" i="35"/>
  <c r="AB23" i="35"/>
  <c r="AC24" i="36"/>
  <c r="W24" i="36"/>
  <c r="U45" i="33"/>
  <c r="AB45" i="33"/>
  <c r="G16" i="1"/>
  <c r="F10" i="39" s="1"/>
  <c r="S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D26" i="43"/>
  <c r="C25" i="43" s="1"/>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Q74" i="67" l="1"/>
  <c r="AA10" i="39"/>
  <c r="F1" i="67"/>
  <c r="H10" i="39"/>
  <c r="U10" i="39" s="1"/>
  <c r="M14" i="1"/>
  <c r="AY6" i="3"/>
  <c r="E387" i="3"/>
  <c r="E351" i="3"/>
  <c r="E423" i="3"/>
  <c r="E489" i="3"/>
  <c r="E410" i="3"/>
  <c r="E550" i="3"/>
  <c r="E120" i="3"/>
  <c r="E119" i="3"/>
  <c r="AK6" i="3"/>
  <c r="E88" i="3"/>
  <c r="E248" i="3"/>
  <c r="E242" i="3"/>
  <c r="E445" i="3"/>
  <c r="E214" i="3"/>
  <c r="E447" i="3"/>
  <c r="E396" i="3"/>
  <c r="E17" i="3"/>
  <c r="E378" i="3"/>
  <c r="E131" i="3"/>
  <c r="X6" i="3"/>
  <c r="E431" i="3"/>
  <c r="E361" i="3"/>
  <c r="E99" i="3"/>
  <c r="E394" i="3"/>
  <c r="E487" i="3"/>
  <c r="E296" i="3"/>
  <c r="E200" i="3"/>
  <c r="E385" i="3"/>
  <c r="E191" i="3"/>
  <c r="E69" i="3"/>
  <c r="E514" i="3"/>
  <c r="E109" i="3"/>
  <c r="E327" i="3"/>
  <c r="E465" i="3"/>
  <c r="E495" i="3"/>
  <c r="E439" i="3"/>
  <c r="E441" i="3"/>
  <c r="E585" i="3"/>
  <c r="E562" i="3"/>
  <c r="E293" i="3"/>
  <c r="E320" i="3"/>
  <c r="E125" i="3"/>
  <c r="AG6" i="3"/>
  <c r="AE6" i="3"/>
  <c r="E353" i="3"/>
  <c r="E338" i="3"/>
  <c r="E53" i="3"/>
  <c r="E438" i="3"/>
  <c r="E250" i="3"/>
  <c r="J6" i="3"/>
  <c r="E81" i="3"/>
  <c r="E118" i="3"/>
  <c r="E142" i="3"/>
  <c r="E240" i="3"/>
  <c r="E483" i="3"/>
  <c r="E132" i="3"/>
  <c r="E100" i="3"/>
  <c r="AI6" i="3"/>
  <c r="E161" i="3"/>
  <c r="E215" i="3"/>
  <c r="E201" i="3"/>
  <c r="E211" i="3"/>
  <c r="E227" i="3"/>
  <c r="K6" i="3"/>
  <c r="E134" i="3"/>
  <c r="E533" i="3"/>
  <c r="E210" i="3"/>
  <c r="E549" i="3"/>
  <c r="E573" i="3"/>
  <c r="E245" i="3"/>
  <c r="E559" i="3"/>
  <c r="E316" i="3"/>
  <c r="E236" i="3"/>
  <c r="E437" i="3"/>
  <c r="E159" i="3"/>
  <c r="S6" i="3"/>
  <c r="E291" i="3"/>
  <c r="E504" i="3"/>
  <c r="E524" i="3"/>
  <c r="E329" i="3"/>
  <c r="E510" i="3"/>
  <c r="E479" i="3"/>
  <c r="E33" i="3"/>
  <c r="E206" i="3"/>
  <c r="E497" i="3"/>
  <c r="E232" i="3"/>
  <c r="E440" i="3"/>
  <c r="E346" i="3"/>
  <c r="E299" i="3"/>
  <c r="E176" i="3"/>
  <c r="E521" i="3"/>
  <c r="E138" i="3"/>
  <c r="E341" i="3"/>
  <c r="E154" i="3"/>
  <c r="E313" i="3"/>
  <c r="E93"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E499" i="3"/>
  <c r="E484" i="3"/>
  <c r="E281" i="3"/>
  <c r="E525" i="3"/>
  <c r="E356" i="3"/>
  <c r="E105" i="3"/>
  <c r="E463" i="3"/>
  <c r="E15" i="3"/>
  <c r="E123" i="3"/>
  <c r="E552" i="3"/>
  <c r="E312" i="3"/>
  <c r="E464" i="3"/>
  <c r="E66" i="3"/>
  <c r="E82" i="3"/>
  <c r="E471" i="3"/>
  <c r="E548"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55" i="3"/>
  <c r="E249" i="3"/>
  <c r="E96" i="3"/>
  <c r="E512" i="3"/>
  <c r="E220" i="3"/>
  <c r="E427" i="3"/>
  <c r="E178" i="3"/>
  <c r="E170" i="3"/>
  <c r="E364" i="3"/>
  <c r="E90" i="3"/>
  <c r="E520" i="3"/>
  <c r="E375" i="3"/>
  <c r="E459" i="3"/>
  <c r="E352" i="3"/>
  <c r="E20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359" i="3"/>
  <c r="E71" i="3"/>
  <c r="E39" i="3"/>
  <c r="AQ6" i="3"/>
  <c r="E26" i="3"/>
  <c r="E139" i="3"/>
  <c r="E369" i="3"/>
  <c r="E94" i="3"/>
  <c r="E219" i="3"/>
  <c r="E275" i="3"/>
  <c r="E148" i="3"/>
  <c r="E246" i="3"/>
  <c r="E263" i="3"/>
  <c r="E563" i="3"/>
  <c r="M6" i="3"/>
  <c r="E322" i="3"/>
  <c r="E400" i="3"/>
  <c r="E454" i="3"/>
  <c r="E77" i="3"/>
  <c r="E185" i="3"/>
  <c r="E305" i="3"/>
  <c r="E477" i="3"/>
  <c r="E72" i="3"/>
  <c r="E453" i="3"/>
  <c r="E114" i="3"/>
  <c r="N6" i="3"/>
  <c r="E558" i="3"/>
  <c r="E73" i="3"/>
  <c r="E238" i="3"/>
  <c r="E237" i="3"/>
  <c r="E426" i="3"/>
  <c r="E145" i="3"/>
  <c r="E284" i="3"/>
  <c r="E60" i="3"/>
  <c r="E2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16" i="3"/>
  <c r="E326" i="3"/>
  <c r="E49" i="3"/>
  <c r="E190" i="3"/>
  <c r="E225" i="3"/>
  <c r="E420" i="3"/>
  <c r="E556" i="3"/>
  <c r="E456" i="3"/>
  <c r="E173" i="3"/>
  <c r="E308" i="3"/>
  <c r="E34" i="3"/>
  <c r="E18" i="3"/>
  <c r="E198" i="3"/>
  <c r="E63" i="3"/>
  <c r="E67" i="3"/>
  <c r="E267" i="3"/>
  <c r="E409" i="3"/>
  <c r="E241" i="3"/>
  <c r="E417" i="3"/>
  <c r="E449" i="3"/>
  <c r="E575"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88" i="3"/>
  <c r="E158" i="3"/>
  <c r="E35" i="3"/>
  <c r="E412" i="3"/>
  <c r="E115" i="3"/>
  <c r="E470" i="3"/>
  <c r="E451" i="3"/>
  <c r="E405" i="3"/>
  <c r="E197" i="3"/>
  <c r="E113" i="3"/>
  <c r="E383" i="3"/>
  <c r="E42" i="3"/>
  <c r="E513" i="3"/>
  <c r="E355" i="3"/>
  <c r="E492" i="3"/>
  <c r="E46" i="3"/>
  <c r="E544" i="3"/>
  <c r="E152" i="3"/>
  <c r="E517" i="3"/>
  <c r="E466" i="3"/>
  <c r="E212" i="3"/>
  <c r="E3" i="6"/>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393" i="3"/>
  <c r="E16" i="3"/>
  <c r="E80" i="3"/>
  <c r="E324" i="3"/>
  <c r="E428" i="3"/>
  <c r="E41" i="3"/>
  <c r="E13" i="3"/>
  <c r="E408" i="3"/>
  <c r="T6" i="3"/>
  <c r="E205" i="3"/>
  <c r="E102" i="3"/>
  <c r="E235" i="3"/>
  <c r="AL6" i="3"/>
  <c r="E309" i="3"/>
  <c r="E233" i="3"/>
  <c r="E310" i="3"/>
  <c r="E64" i="3"/>
  <c r="E389" i="3"/>
  <c r="E95" i="3"/>
  <c r="E554" i="3"/>
  <c r="E442" i="3"/>
  <c r="E536" i="3"/>
  <c r="H10" i="40"/>
  <c r="AB10" i="40" s="1"/>
  <c r="J10" i="40"/>
  <c r="AC10" i="40" s="1"/>
  <c r="U7" i="36"/>
  <c r="J10" i="39"/>
  <c r="W10" i="39" s="1"/>
  <c r="F10" i="40"/>
  <c r="S10" i="40" s="1"/>
  <c r="Q73" i="67"/>
  <c r="J5" i="67"/>
  <c r="J24" i="67" s="1"/>
  <c r="C49" i="67"/>
  <c r="AF6" i="3"/>
  <c r="E86" i="3"/>
  <c r="E174" i="3"/>
  <c r="E482" i="3"/>
  <c r="E391" i="3"/>
  <c r="E494" i="3"/>
  <c r="E283" i="3"/>
  <c r="E68" i="3"/>
  <c r="E184" i="3"/>
  <c r="E84" i="3"/>
  <c r="E371" i="3"/>
  <c r="E160" i="3"/>
  <c r="E467" i="3"/>
  <c r="E59" i="3"/>
  <c r="E349" i="3"/>
  <c r="E258" i="3"/>
  <c r="E37" i="3"/>
  <c r="E491" i="3"/>
  <c r="AP6" i="3"/>
  <c r="E430" i="3"/>
  <c r="E502" i="3"/>
  <c r="E286" i="3"/>
  <c r="E539" i="3"/>
  <c r="D36" i="71"/>
  <c r="T36" i="71"/>
  <c r="T52" i="71"/>
  <c r="D52" i="71"/>
  <c r="T40" i="71"/>
  <c r="D40" i="71"/>
  <c r="R36" i="36"/>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AE6" i="1"/>
  <c r="F41" i="67" s="1"/>
  <c r="M27" i="15"/>
  <c r="M27" i="67"/>
  <c r="F41" i="15"/>
  <c r="B1" i="74" l="1"/>
  <c r="B14" i="74"/>
  <c r="AA10" i="40"/>
  <c r="AB10" i="39"/>
  <c r="F69" i="67"/>
  <c r="AC6" i="3"/>
  <c r="H6" i="3"/>
  <c r="E6" i="3" s="1"/>
  <c r="AC10" i="39"/>
  <c r="C48" i="67"/>
  <c r="C66" i="67" s="1"/>
  <c r="F25" i="12"/>
  <c r="C26" i="12" s="1"/>
  <c r="D25" i="12" s="1"/>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D10" i="69"/>
  <c r="C34" i="69"/>
  <c r="D10" i="68"/>
  <c r="C14" i="67"/>
  <c r="C17" i="67"/>
  <c r="C17" i="15"/>
  <c r="C60" i="67" l="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F6" i="67"/>
  <c r="C14" i="15"/>
  <c r="E6" i="76"/>
  <c r="B6" i="76"/>
  <c r="C6" i="67" l="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2" i="67" l="1"/>
  <c r="C10" i="67"/>
  <c r="C5" i="67" s="1"/>
  <c r="C38" i="67" s="1"/>
  <c r="C33" i="67"/>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6"/>
  <c r="D2" i="37"/>
  <c r="D2" i="34"/>
  <c r="D102" i="9" l="1"/>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9" i="1"/>
  <c r="AO12" i="1"/>
  <c r="AO7" i="1"/>
  <c r="AO11" i="1"/>
  <c r="AO10" i="1"/>
  <c r="AO6"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4" i="74" s="1"/>
  <c r="H102" i="9" l="1"/>
  <c r="H118" i="9"/>
  <c r="C105" i="9"/>
  <c r="I4" i="52"/>
  <c r="F118" i="9"/>
  <c r="F119" i="9" s="1"/>
  <c r="F5" i="52" s="1"/>
  <c r="B53" i="72" s="1"/>
  <c r="E118" i="9"/>
  <c r="D7" i="53"/>
  <c r="B21" i="72" s="1"/>
  <c r="H4" i="52" l="1"/>
  <c r="D14" i="74"/>
  <c r="G14" i="74" s="1"/>
  <c r="B6" i="74" s="1"/>
  <c r="D6" i="74" s="1"/>
  <c r="F4" i="52"/>
  <c r="B51" i="72" s="1"/>
  <c r="H119" i="9"/>
  <c r="H5" i="52" s="1"/>
  <c r="C104" i="9"/>
  <c r="H101" i="9"/>
  <c r="D45" i="9" s="1"/>
  <c r="C78" i="9" s="1"/>
  <c r="E4" i="52"/>
  <c r="B48" i="72" s="1"/>
  <c r="D118" i="9"/>
  <c r="F14" i="74" l="1"/>
  <c r="B5" i="74"/>
  <c r="D55" i="9"/>
  <c r="C72" i="9"/>
  <c r="M48" i="9"/>
  <c r="D5" i="53"/>
  <c r="H107" i="9"/>
  <c r="D4" i="52"/>
  <c r="B47" i="72" s="1"/>
  <c r="D119" i="9"/>
  <c r="D5" i="52" s="1"/>
  <c r="B49" i="72" s="1"/>
  <c r="D5" i="74" l="1"/>
  <c r="C5" i="74"/>
  <c r="H108" i="9"/>
  <c r="M49" i="9"/>
  <c r="D122" i="9"/>
  <c r="D13" i="53"/>
  <c r="B20" i="72"/>
  <c r="D6" i="53"/>
  <c r="B22" i="72" s="1"/>
  <c r="C93" i="9"/>
  <c r="C86" i="9" s="1"/>
  <c r="M53" i="9"/>
  <c r="C85" i="9"/>
  <c r="C64" i="9"/>
  <c r="C73" i="9"/>
  <c r="D52" i="9"/>
  <c r="D53" i="9"/>
  <c r="C63" i="9" l="1"/>
  <c r="C67" i="9" s="1"/>
  <c r="C68" i="9" s="1"/>
  <c r="D54" i="9" s="1"/>
  <c r="D48" i="9" s="1"/>
  <c r="M52" i="9" s="1"/>
  <c r="D14" i="53"/>
  <c r="B32" i="72" s="1"/>
  <c r="B30" i="72"/>
  <c r="D123" i="9"/>
  <c r="D9" i="52" s="1"/>
  <c r="D8" i="52"/>
  <c r="L67" i="9"/>
  <c r="M67" i="9" s="1"/>
  <c r="L68" i="9"/>
  <c r="M68" i="9" s="1"/>
  <c r="L63" i="9"/>
  <c r="M63" i="9" s="1"/>
  <c r="L66" i="9"/>
  <c r="M66" i="9" s="1"/>
  <c r="L65" i="9"/>
  <c r="M65" i="9" s="1"/>
  <c r="L64" i="9"/>
  <c r="M64" i="9" s="1"/>
  <c r="C79" i="9"/>
  <c r="D59" i="9"/>
  <c r="M55" i="9" s="1"/>
  <c r="C95" i="9"/>
  <c r="C6" i="74"/>
  <c r="D15" i="53"/>
  <c r="B31" i="72" s="1"/>
  <c r="M69" i="9" l="1"/>
  <c r="N69" i="9" s="1"/>
  <c r="C96" i="9"/>
  <c r="E96" i="9" s="1"/>
  <c r="E97" i="9" s="1"/>
  <c r="C80" i="9"/>
  <c r="E80" i="9" s="1"/>
  <c r="E81" i="9" s="1"/>
  <c r="C81" i="9" l="1"/>
  <c r="C97" i="9"/>
  <c r="D58" i="9" l="1"/>
  <c r="D56" i="9" s="1"/>
  <c r="M54" i="9" s="1"/>
  <c r="N57" i="9" s="1"/>
  <c r="P57" i="9" s="1"/>
  <c r="N58" i="9" l="1"/>
  <c r="N59" i="9"/>
  <c r="I14" i="74" s="1"/>
  <c r="B8" i="74" s="1"/>
  <c r="D8" i="74" s="1"/>
  <c r="H111" i="9" l="1"/>
  <c r="N61" i="9"/>
  <c r="H112" i="9" s="1"/>
  <c r="N60" i="9"/>
  <c r="D21" i="53" l="1"/>
  <c r="B39" i="72" s="1"/>
  <c r="C8" i="74"/>
  <c r="D19" i="53"/>
  <c r="D126" i="9"/>
  <c r="D20" i="53" l="1"/>
  <c r="B40" i="72" s="1"/>
  <c r="B38" i="72"/>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15BC4485-B002-4255-82D1-54DB2EE95307}">
      <text>
        <r>
          <rPr>
            <b/>
            <sz val="9"/>
            <color indexed="81"/>
            <rFont val="宋体"/>
            <family val="3"/>
            <charset val="134"/>
          </rPr>
          <t>权重验证</t>
        </r>
        <r>
          <rPr>
            <sz val="9"/>
            <color indexed="81"/>
            <rFont val="宋体"/>
            <family val="3"/>
            <charset val="134"/>
          </rPr>
          <t xml:space="preserve">
</t>
        </r>
      </text>
    </comment>
    <comment ref="C58" authorId="1" shapeId="0" xr:uid="{B6A53486-26EF-4BC5-B6B3-994073E6E3D7}">
      <text>
        <r>
          <rPr>
            <b/>
            <sz val="12"/>
            <color indexed="81"/>
            <rFont val="宋体"/>
            <family val="3"/>
            <charset val="134"/>
          </rPr>
          <t>价值时点所在月度</t>
        </r>
        <r>
          <rPr>
            <sz val="12"/>
            <color indexed="81"/>
            <rFont val="宋体"/>
            <family val="3"/>
            <charset val="134"/>
          </rPr>
          <t xml:space="preserve">
</t>
        </r>
      </text>
    </comment>
    <comment ref="B102" authorId="1" shapeId="0" xr:uid="{FC568548-7F9A-4AA7-9FB6-F2326B384B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<sst xmlns="http://schemas.openxmlformats.org/spreadsheetml/2006/main" count="8429" uniqueCount="3548">
  <si>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</si>
  <si>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</si>
  <si>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</si>
  <si>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</si>
  <si>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</si>
  <si>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</si>
  <si>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</si>
  <si>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</si>
  <si>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</si>
  <si>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</si>
  <si>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</si>
  <si>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</si>
  <si>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</si>
  <si>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</si>
  <si>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</si>
  <si>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</si>
  <si>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</si>
  <si>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</si>
  <si>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</si>
  <si>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</si>
  <si>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</si>
  <si>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</si>
  <si>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</si>
  <si>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</si>
  <si>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</si>
  <si>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</si>
  <si>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</si>
  <si>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</si>
  <si>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</si>
  <si>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</si>
  <si>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</si>
  <si>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</si>
  <si>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</si>
  <si>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</si>
  <si>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</si>
  <si>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</si>
  <si>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</si>
  <si>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</si>
  <si>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</si>
  <si>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</si>
  <si>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</si>
  <si>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</si>
  <si>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</si>
  <si>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</si>
  <si>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</si>
  <si>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</si>
  <si>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</si>
  <si>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</si>
  <si>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</si>
  <si>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</si>
  <si>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</si>
  <si>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</si>
  <si>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</si>
  <si>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</si>
  <si>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</si>
  <si>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</si>
  <si>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</si>
  <si>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</si>
  <si>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</si>
  <si>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</si>
  <si>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</si>
  <si>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</si>
  <si>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</si>
  <si>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</si>
  <si>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</si>
  <si>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</si>
  <si>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</si>
  <si>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</si>
  <si>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</si>
  <si>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</si>
  <si>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</si>
  <si>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</si>
  <si>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</si>
  <si>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</si>
  <si>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</si>
  <si>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</si>
  <si>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</si>
  <si>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</si>
  <si>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</si>
  <si>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</si>
  <si>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</si>
  <si>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</si>
  <si>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</si>
  <si>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</si>
  <si>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</si>
  <si>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</si>
  <si>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</si>
  <si>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</si>
  <si>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</si>
  <si>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</si>
  <si>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</si>
  <si>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</si>
  <si>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</si>
  <si>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</si>
  <si>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</si>
  <si>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</si>
  <si>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</si>
  <si>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</si>
  <si>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</si>
  <si>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</si>
  <si>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</si>
  <si>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</si>
  <si>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</si>
  <si>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</si>
  <si>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</si>
  <si>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</si>
  <si>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</si>
  <si>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</si>
  <si>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</si>
  <si>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</si>
  <si>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</si>
  <si>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</si>
  <si>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</si>
  <si>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</si>
  <si>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</si>
  <si>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</si>
  <si>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</si>
  <si>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</si>
  <si>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</si>
  <si>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</si>
  <si>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</si>
  <si>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</si>
  <si>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</si>
  <si>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</si>
  <si>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</si>
  <si>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</si>
  <si>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</si>
  <si>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</si>
  <si>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</si>
  <si>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</si>
  <si>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</si>
  <si>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</si>
  <si>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</si>
  <si>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</si>
  <si>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</si>
  <si>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</si>
  <si>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</si>
  <si>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</si>
  <si>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</si>
  <si>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</si>
  <si>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</si>
  <si>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</si>
  <si>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</si>
  <si>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</si>
  <si>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</si>
  <si>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</si>
  <si>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</si>
  <si>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</si>
  <si>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</si>
  <si>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</si>
  <si>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</si>
  <si>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</si>
  <si>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</si>
  <si>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</si>
  <si>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</si>
  <si>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</si>
  <si>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</si>
  <si>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</si>
  <si>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</si>
  <si>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</si>
  <si>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</si>
  <si>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</si>
  <si>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</si>
  <si>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</si>
  <si>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</si>
  <si>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</si>
  <si>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</si>
  <si>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</si>
  <si>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</si>
  <si>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</si>
  <si>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</si>
  <si>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</si>
  <si>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</si>
  <si>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</si>
  <si>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</si>
  <si>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</si>
  <si>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</si>
  <si>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</si>
  <si>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</si>
  <si>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</si>
  <si>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</si>
  <si>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</si>
  <si>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</si>
  <si>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</si>
  <si>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</si>
  <si>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</si>
  <si>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</si>
  <si>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</si>
  <si>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</si>
  <si>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</si>
  <si>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</si>
  <si>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</si>
  <si>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</si>
  <si>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</si>
  <si>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</si>
  <si>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</si>
  <si>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</si>
  <si>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</si>
  <si>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</si>
  <si>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</si>
  <si>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</si>
  <si>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</si>
  <si>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</si>
  <si>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</si>
  <si>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</si>
  <si>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</si>
  <si>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</si>
  <si>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</si>
  <si>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</si>
  <si>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</si>
  <si>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</si>
  <si>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</si>
  <si>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</si>
  <si>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</si>
  <si>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</si>
  <si>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</si>
  <si>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</si>
  <si>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</si>
  <si>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</si>
  <si>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</si>
  <si>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</si>
  <si>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</si>
  <si>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</si>
  <si>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</si>
  <si>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</si>
  <si>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</si>
  <si>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</si>
  <si>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</si>
  <si>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</si>
  <si>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</si>
  <si>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</si>
  <si>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</si>
  <si>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</si>
  <si>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</si>
  <si>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</si>
  <si>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</si>
  <si>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</si>
  <si>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</si>
  <si>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</si>
  <si>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</si>
  <si>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</si>
  <si>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</si>
  <si>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</si>
  <si>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</si>
  <si>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</si>
  <si>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</si>
  <si>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</si>
  <si>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</si>
  <si>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</si>
  <si>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</si>
  <si>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</si>
  <si>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</si>
  <si>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</si>
  <si>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</si>
  <si>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</si>
  <si>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</si>
  <si>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</si>
  <si>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</si>
  <si>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</si>
  <si>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</si>
  <si>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</si>
  <si>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</si>
  <si>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</si>
  <si>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</si>
  <si>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</si>
  <si>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</si>
  <si>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</si>
  <si>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</si>
  <si>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</si>
  <si>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</si>
  <si>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</si>
  <si>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</si>
  <si>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</si>
  <si>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</si>
  <si>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</si>
  <si>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</si>
  <si>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</si>
  <si>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</si>
  <si>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</si>
  <si>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</si>
  <si>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</si>
  <si>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</si>
  <si>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</si>
  <si>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</si>
  <si>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</si>
  <si>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</si>
  <si>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</si>
  <si>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</si>
  <si>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</si>
  <si>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</si>
  <si>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</si>
  <si>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</si>
  <si>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</si>
  <si>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</si>
  <si>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</si>
  <si>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</si>
  <si>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</si>
  <si>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</si>
  <si>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</si>
  <si>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</si>
  <si>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</si>
  <si>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</si>
  <si>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</si>
  <si>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</si>
  <si>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</si>
  <si>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</si>
  <si>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</si>
  <si>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</si>
  <si>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</si>
  <si>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</si>
  <si>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</si>
  <si>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</si>
  <si>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</si>
  <si>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</si>
  <si>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</si>
  <si>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</si>
  <si>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</si>
  <si>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</si>
  <si>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</si>
  <si>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</si>
  <si>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</si>
  <si>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</si>
  <si>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</si>
  <si>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</si>
  <si>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</si>
  <si>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</si>
  <si>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</si>
  <si>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</si>
  <si>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</si>
  <si>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</si>
  <si>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</si>
  <si>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</si>
  <si>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</si>
  <si>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</si>
  <si>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</si>
  <si>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</si>
  <si>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</si>
  <si>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</si>
  <si>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</si>
  <si>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</si>
  <si>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</si>
  <si>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</si>
  <si>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</si>
  <si>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</si>
  <si>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</si>
  <si>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</si>
  <si>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</si>
  <si>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</si>
  <si>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</si>
  <si>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</si>
  <si>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</si>
  <si>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</si>
  <si>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</si>
  <si>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</si>
  <si>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</si>
  <si>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</si>
  <si>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</si>
  <si>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</si>
  <si>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</si>
  <si>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</si>
  <si>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</si>
  <si>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</si>
  <si>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</si>
  <si>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</si>
  <si>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</si>
  <si>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</si>
  <si>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</si>
  <si>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</si>
  <si>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</si>
  <si>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</si>
  <si>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</si>
  <si>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</si>
  <si>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</si>
  <si>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</si>
  <si>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</si>
  <si>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</si>
  <si>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</si>
  <si>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</si>
  <si>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</si>
  <si>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</si>
  <si>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</si>
  <si>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</si>
  <si>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</si>
  <si>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</si>
  <si>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</si>
  <si>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</si>
  <si>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</si>
  <si>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</si>
  <si>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</si>
  <si>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</si>
  <si>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</si>
  <si>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</si>
  <si>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</si>
  <si>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</si>
  <si>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</si>
  <si>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</si>
  <si>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</si>
  <si>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</si>
  <si>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</si>
  <si>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</si>
  <si>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</si>
  <si>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</si>
  <si>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</si>
  <si>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</si>
  <si>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</si>
  <si>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</si>
  <si>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</si>
  <si>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</si>
  <si>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</si>
  <si>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</si>
  <si>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</si>
  <si>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</si>
  <si>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</si>
  <si>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</si>
  <si>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</si>
  <si>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</si>
  <si>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</si>
  <si>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</si>
  <si>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</si>
  <si>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</si>
  <si>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</si>
  <si>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</si>
  <si>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</si>
  <si>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</si>
  <si>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</si>
  <si>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</si>
  <si>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</si>
  <si>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</si>
  <si>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</si>
  <si>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</si>
  <si>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</si>
  <si>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</si>
  <si>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</si>
  <si>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</si>
  <si>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</si>
  <si>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</si>
  <si>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</si>
  <si>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</si>
  <si>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</si>
  <si>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</si>
  <si>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</si>
  <si>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</si>
  <si>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</si>
  <si>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</si>
  <si>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</si>
  <si>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</si>
  <si>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</si>
  <si>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</si>
  <si>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</si>
  <si>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</si>
  <si>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</si>
  <si>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</si>
  <si>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</si>
  <si>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</si>
  <si>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</si>
  <si>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</si>
  <si>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</si>
  <si>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</si>
  <si>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</si>
  <si>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</si>
  <si>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</si>
  <si>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</si>
  <si>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</si>
  <si>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</si>
  <si>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</si>
  <si>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</si>
  <si>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</si>
  <si>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</si>
  <si>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</si>
  <si>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</si>
  <si>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</si>
  <si>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</si>
  <si>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</si>
  <si>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</si>
  <si>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</si>
  <si>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</si>
  <si>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</si>
  <si>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</si>
  <si>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</si>
  <si>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</si>
  <si>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</si>
  <si>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</si>
  <si>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</si>
  <si>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</si>
  <si>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</si>
  <si>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</si>
  <si>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</si>
  <si>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</si>
  <si>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</si>
  <si>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</si>
  <si>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</si>
  <si>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</si>
  <si>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</si>
  <si>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</si>
  <si>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</si>
  <si>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</si>
  <si>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</si>
  <si>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</si>
  <si>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</si>
  <si>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</si>
  <si>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</si>
  <si>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</si>
  <si>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</si>
  <si>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</si>
  <si>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</si>
  <si>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</si>
  <si>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</si>
  <si>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</si>
  <si>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</si>
  <si>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</si>
  <si>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</si>
  <si>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</si>
  <si>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</si>
  <si>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</si>
  <si>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</si>
  <si>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</si>
  <si>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</si>
  <si>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</si>
  <si>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</si>
  <si>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</si>
  <si>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</si>
  <si>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</si>
  <si>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</si>
  <si>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</si>
  <si>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</si>
  <si>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</si>
  <si>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</si>
  <si>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</si>
  <si>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</si>
  <si>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</si>
  <si>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</si>
  <si>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</si>
  <si>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</si>
  <si>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</si>
  <si>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</si>
  <si>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</si>
  <si>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</si>
  <si>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</si>
  <si>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</si>
  <si>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</si>
  <si>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</si>
  <si>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</si>
  <si>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</si>
  <si>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</si>
  <si>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</si>
  <si>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</si>
  <si>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</si>
  <si>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</si>
  <si>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</si>
  <si>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</si>
  <si>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</si>
  <si>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</si>
  <si>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</si>
  <si>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</si>
  <si>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</si>
  <si>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</si>
  <si>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</si>
  <si>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</si>
  <si>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</si>
  <si>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</si>
  <si>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</si>
  <si>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</si>
  <si>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</si>
  <si>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</si>
  <si>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</si>
  <si>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</si>
  <si>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</si>
  <si>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</si>
  <si>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</si>
  <si>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</si>
  <si>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</si>
  <si>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</si>
  <si>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</si>
  <si>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</si>
  <si>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</si>
  <si>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</si>
  <si>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</si>
  <si>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</si>
  <si>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</si>
  <si>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</si>
  <si>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</si>
  <si>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</si>
  <si>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</si>
  <si>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</si>
  <si>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</si>
  <si>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</si>
  <si>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</si>
  <si>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</si>
  <si>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</si>
  <si>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</si>
  <si>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</si>
  <si>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</si>
  <si>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</si>
  <si>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</si>
  <si>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</si>
  <si>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</si>
  <si>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</si>
  <si>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</si>
  <si>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</si>
  <si>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</si>
  <si>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</si>
  <si>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</si>
  <si>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</si>
  <si>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</si>
  <si>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</si>
  <si>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</si>
  <si>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</si>
  <si>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</si>
  <si>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</si>
  <si>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</si>
  <si>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</si>
  <si>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</si>
  <si>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</si>
  <si>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</si>
  <si>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</si>
  <si>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</si>
  <si>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</si>
  <si>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</si>
  <si>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</si>
  <si>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</si>
  <si>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</si>
  <si>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</si>
  <si>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</si>
  <si>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</si>
  <si>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</si>
  <si>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</si>
  <si>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</si>
  <si>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</si>
  <si>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</si>
  <si>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</si>
  <si>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</si>
  <si>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</si>
  <si>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</si>
  <si>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</si>
  <si>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</si>
  <si>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</si>
  <si>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</si>
  <si>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</si>
  <si>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</si>
  <si>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</si>
  <si>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</si>
  <si>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</si>
  <si>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</si>
  <si>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</si>
  <si>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</si>
  <si>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</si>
  <si>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</si>
  <si>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</si>
  <si>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</si>
  <si>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</si>
  <si>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</si>
  <si>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</si>
  <si>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</si>
  <si>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</si>
  <si>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</si>
  <si>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</si>
  <si>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</si>
  <si>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</si>
  <si>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</si>
  <si>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</si>
  <si>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</si>
  <si>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</si>
  <si>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</si>
  <si>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</si>
  <si>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</si>
  <si>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</si>
  <si>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</si>
  <si>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</si>
  <si>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</si>
  <si>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</si>
  <si>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</si>
  <si>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</si>
  <si>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</si>
  <si>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</si>
  <si>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</si>
  <si>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</si>
  <si>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</si>
  <si>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</si>
  <si>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</si>
  <si>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</si>
  <si>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</si>
  <si>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</si>
  <si>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</si>
  <si>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</si>
  <si>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</si>
  <si>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</si>
  <si>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</si>
  <si>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</si>
  <si>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</si>
  <si>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</si>
  <si>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</si>
  <si>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</si>
  <si>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</si>
  <si>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</si>
  <si>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</si>
  <si>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</si>
  <si>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</si>
  <si>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</si>
  <si>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</si>
  <si>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</si>
  <si>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</si>
  <si>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</si>
  <si>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</si>
  <si>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</si>
  <si>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</si>
  <si>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</si>
  <si>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</si>
  <si>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</si>
  <si>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</si>
  <si>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</si>
  <si>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</si>
  <si>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</si>
  <si>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</si>
  <si>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</si>
  <si>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</si>
  <si>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</si>
  <si>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</si>
  <si>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</si>
  <si>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</si>
  <si>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</si>
  <si>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</si>
  <si>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</si>
  <si>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</si>
  <si>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</si>
  <si>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</si>
  <si>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</si>
  <si>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</si>
  <si>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</si>
  <si>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</si>
  <si>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</si>
  <si>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</si>
  <si>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</si>
  <si>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</si>
  <si>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</si>
  <si>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</si>
  <si>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</si>
  <si>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</si>
  <si>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</si>
  <si>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</si>
  <si>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</si>
  <si>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</si>
  <si>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</si>
  <si>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</si>
  <si>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</si>
  <si>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</si>
  <si>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</si>
  <si>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</si>
  <si>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</si>
  <si>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</si>
  <si>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</si>
  <si>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</si>
  <si>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</si>
  <si>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</si>
  <si>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</si>
  <si>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</si>
  <si>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</si>
  <si>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</si>
  <si>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</si>
  <si>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</si>
  <si>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</si>
  <si>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</si>
  <si>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</si>
  <si>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</si>
  <si>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</si>
  <si>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</si>
  <si>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</si>
  <si>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</si>
  <si>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</si>
  <si>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</si>
  <si>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</si>
  <si>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</si>
  <si>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</si>
  <si>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</si>
  <si>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</si>
  <si>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</si>
  <si>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</si>
  <si>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</si>
  <si>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</si>
  <si>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</si>
  <si>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</si>
  <si>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</si>
  <si>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</si>
  <si>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</si>
  <si>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</si>
  <si>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</si>
  <si>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</si>
  <si>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</si>
  <si>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</si>
  <si>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</si>
  <si>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</si>
  <si>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</si>
  <si>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</si>
  <si>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</si>
  <si>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</si>
  <si>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</si>
  <si>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</si>
  <si>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</si>
  <si>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</si>
  <si>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</si>
  <si>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</si>
  <si>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</si>
  <si>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</si>
  <si>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</si>
  <si>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</si>
  <si>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</si>
  <si>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</si>
  <si>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</si>
  <si>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</si>
  <si>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</si>
  <si>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</si>
  <si>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</si>
  <si>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</si>
  <si>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</si>
  <si>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</si>
  <si>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</si>
  <si>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</si>
  <si>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</si>
  <si>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</si>
  <si>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</si>
  <si>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</si>
  <si>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</si>
  <si>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</si>
  <si>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</si>
  <si>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</si>
  <si>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</si>
  <si>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</si>
  <si>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</si>
  <si>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</si>
  <si>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</si>
  <si>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</si>
  <si>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</si>
  <si>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</si>
  <si>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</si>
  <si>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</si>
  <si>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</si>
  <si>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</si>
  <si>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</si>
  <si>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</si>
  <si>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</si>
  <si>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</si>
  <si>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</si>
  <si>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</si>
  <si>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</si>
  <si>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</si>
  <si>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</si>
  <si>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</si>
  <si>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</si>
  <si>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</si>
  <si>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</si>
  <si>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</si>
  <si>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</si>
  <si>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</si>
  <si>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</si>
  <si>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</si>
  <si>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</si>
  <si>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</si>
  <si>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</si>
  <si>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</si>
  <si>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</si>
  <si>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</si>
  <si>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</si>
  <si>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</si>
  <si>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</si>
  <si>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</si>
  <si>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</si>
  <si>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</si>
  <si>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</si>
  <si>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</si>
  <si>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</si>
  <si>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</si>
  <si>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</si>
  <si>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</si>
  <si>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</si>
  <si>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</si>
  <si>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</si>
  <si>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</si>
  <si>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</si>
  <si>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</si>
  <si>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</si>
  <si>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</si>
  <si>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</si>
  <si>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</si>
  <si>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</si>
  <si>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</si>
  <si>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</si>
  <si>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</si>
  <si>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</si>
  <si>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</si>
  <si>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</si>
  <si>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</si>
  <si>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</si>
  <si>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</si>
  <si>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</si>
  <si>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</si>
  <si>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</si>
  <si>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</si>
  <si>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</si>
  <si>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</si>
  <si>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</si>
  <si>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</si>
  <si>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</si>
  <si>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</si>
  <si>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</si>
  <si>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</si>
  <si>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</si>
  <si>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</si>
  <si>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</si>
  <si>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</si>
  <si>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</si>
  <si>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</si>
  <si>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</si>
  <si>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</si>
  <si>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</si>
  <si>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</si>
  <si>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</si>
  <si>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</si>
  <si>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</si>
  <si>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</si>
  <si>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</si>
  <si>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</si>
  <si>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</si>
  <si>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</si>
  <si>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</si>
  <si>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</si>
  <si>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</si>
  <si>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</si>
  <si>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</si>
  <si>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</si>
  <si>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</si>
  <si>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</si>
  <si>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</si>
  <si>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</si>
  <si>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</si>
  <si>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</si>
  <si>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</si>
  <si>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</si>
  <si>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</si>
  <si>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</si>
  <si>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</si>
  <si>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</si>
  <si>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</si>
  <si>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</si>
  <si>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</si>
  <si>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</si>
  <si>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</si>
  <si>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</si>
  <si>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</si>
  <si>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</si>
  <si>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</si>
  <si>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</si>
  <si>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</si>
  <si>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</si>
  <si>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</si>
  <si>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</si>
  <si>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</si>
  <si>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</si>
  <si>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</si>
  <si>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</si>
  <si>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</si>
  <si>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</si>
  <si>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</si>
  <si>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</si>
  <si>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</si>
  <si>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</si>
  <si>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</si>
  <si>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</si>
  <si>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</si>
  <si>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</si>
  <si>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</si>
  <si>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</si>
  <si>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</si>
  <si>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</si>
  <si>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</si>
  <si>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</si>
  <si>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</si>
  <si>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</si>
  <si>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</si>
  <si>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</si>
  <si>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</si>
  <si>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</si>
  <si>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</si>
  <si>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</si>
  <si>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</si>
  <si>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</si>
  <si>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</si>
  <si>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</si>
  <si>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</si>
  <si>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</si>
  <si>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</si>
  <si>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</si>
  <si>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</si>
  <si>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</si>
  <si>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</si>
  <si>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</si>
  <si>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</si>
  <si>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</si>
  <si>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</si>
  <si>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</si>
  <si>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</si>
  <si>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</si>
  <si>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</si>
  <si>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</si>
  <si>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</si>
  <si>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</si>
  <si>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</si>
  <si>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</si>
  <si>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</si>
  <si>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</si>
  <si>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</si>
  <si>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</si>
  <si>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</si>
  <si>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</si>
  <si>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</si>
  <si>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</si>
  <si>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</si>
  <si>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</si>
  <si>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</si>
  <si>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</si>
  <si>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</si>
  <si>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</si>
  <si>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</si>
  <si>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</si>
  <si>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</si>
  <si>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</si>
  <si>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</si>
  <si>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</si>
  <si>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</si>
  <si>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</si>
  <si>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</si>
  <si>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</si>
  <si>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</si>
  <si>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</si>
  <si>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</si>
  <si>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</si>
  <si>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</si>
  <si>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</si>
  <si>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</si>
  <si>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</si>
  <si>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</si>
  <si>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</si>
  <si>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</si>
  <si>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</si>
  <si>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</si>
  <si>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</si>
  <si>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</si>
  <si>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</si>
  <si>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</si>
  <si>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</si>
  <si>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</si>
  <si>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</si>
  <si>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</si>
  <si>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</si>
  <si>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</si>
  <si>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</si>
  <si>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</si>
  <si>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</si>
  <si>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</si>
  <si>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</si>
  <si>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</si>
  <si>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</si>
  <si>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</si>
  <si>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</si>
  <si>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</si>
  <si>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</si>
  <si>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</si>
  <si>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</si>
  <si>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</si>
  <si>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</si>
  <si>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</si>
  <si>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</si>
  <si>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</si>
  <si>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</si>
  <si>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</si>
  <si>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</si>
  <si>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</si>
  <si>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</si>
  <si>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</si>
  <si>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</si>
  <si>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</si>
  <si>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</si>
  <si>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</si>
  <si>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</si>
  <si>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</si>
  <si>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</si>
  <si>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</si>
  <si>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</si>
  <si>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</si>
  <si>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</si>
  <si>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</si>
  <si>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</si>
  <si>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</si>
  <si>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</si>
  <si>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</si>
  <si>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</si>
  <si>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</si>
  <si>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</si>
  <si>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</si>
  <si>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</si>
  <si>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</si>
  <si>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</si>
  <si>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</si>
  <si>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</si>
  <si>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</si>
  <si>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</si>
  <si>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</si>
  <si>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</si>
  <si>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</si>
  <si>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</si>
  <si>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</si>
  <si>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</si>
  <si>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</si>
  <si>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</si>
  <si>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</si>
  <si>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</si>
  <si>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</si>
  <si>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</si>
  <si>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</si>
  <si>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</si>
  <si>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</si>
  <si>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</si>
  <si>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</si>
  <si>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</si>
  <si>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</si>
  <si>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</si>
  <si>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</si>
  <si>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</si>
  <si>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</si>
  <si>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</si>
  <si>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</si>
  <si>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</si>
  <si>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</si>
  <si>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</si>
  <si>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</si>
  <si>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</si>
  <si>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</si>
  <si>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</si>
  <si>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</si>
  <si>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</si>
  <si>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</si>
  <si>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</si>
  <si>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</si>
  <si>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</si>
  <si>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</si>
  <si>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</si>
  <si>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</si>
  <si>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</si>
  <si>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</si>
  <si>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</si>
  <si>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</si>
  <si>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</si>
  <si>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</si>
  <si>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</si>
  <si>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</si>
  <si>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</si>
  <si>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</si>
  <si>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</si>
  <si>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</si>
  <si>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</si>
  <si>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</si>
  <si>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</si>
  <si>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</si>
  <si>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</si>
  <si>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</si>
  <si>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</si>
  <si>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</si>
  <si>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</si>
  <si>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</si>
  <si>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</si>
  <si>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</si>
  <si>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</si>
  <si>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</si>
  <si>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</si>
  <si>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</si>
  <si>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</si>
  <si>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</si>
  <si>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</si>
  <si>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</si>
  <si>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</si>
  <si>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</si>
  <si>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</si>
  <si>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</si>
  <si>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</si>
  <si>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</si>
  <si>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</si>
  <si>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</si>
  <si>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</si>
  <si>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</si>
  <si>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</si>
  <si>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</si>
  <si>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</si>
  <si>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</si>
  <si>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</si>
  <si>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</si>
  <si>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</si>
  <si>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</si>
  <si>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</si>
  <si>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</si>
  <si>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</si>
  <si>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</si>
  <si>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</si>
  <si>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</si>
  <si>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</si>
  <si>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</si>
  <si>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</si>
  <si>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</si>
  <si>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</si>
  <si>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</si>
  <si>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</si>
  <si>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</si>
  <si>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</si>
  <si>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</si>
  <si>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</si>
  <si>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</si>
  <si>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</si>
  <si>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</si>
  <si>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</si>
  <si>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</si>
  <si>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</si>
  <si>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</si>
  <si>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</si>
  <si>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</si>
  <si>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</si>
  <si>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</si>
  <si>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</si>
  <si>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</si>
  <si>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</si>
  <si>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</si>
  <si>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</si>
  <si>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</si>
  <si>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</si>
  <si>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</si>
  <si>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</si>
  <si>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</si>
  <si>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</si>
  <si>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</si>
  <si>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</si>
  <si>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</si>
  <si>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</si>
  <si>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</si>
  <si>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</si>
  <si>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</si>
  <si>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</si>
  <si>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</si>
  <si>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</si>
  <si>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</si>
  <si>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</si>
  <si>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</si>
  <si>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</si>
  <si>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</si>
  <si>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</si>
  <si>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</si>
  <si>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</si>
  <si>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</si>
  <si>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</si>
  <si>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</si>
  <si>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</si>
  <si>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</si>
  <si>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</si>
  <si>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</si>
  <si>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</si>
  <si>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</si>
  <si>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</si>
  <si>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</si>
  <si>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</si>
  <si>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</si>
  <si>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</si>
  <si>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</si>
  <si>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</si>
  <si>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</si>
  <si>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</si>
  <si>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</si>
  <si>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</si>
  <si>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</si>
  <si>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</si>
  <si>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</si>
  <si>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</si>
  <si>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</si>
  <si>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</si>
  <si>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</si>
  <si>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</si>
  <si>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</si>
  <si>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</si>
  <si>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</si>
  <si>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</si>
  <si>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</si>
  <si>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</si>
  <si>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</si>
  <si>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</si>
  <si>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</si>
  <si>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</si>
  <si>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</si>
  <si>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</si>
  <si>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</si>
  <si>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</si>
  <si>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</si>
  <si>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</si>
  <si>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</si>
  <si>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</si>
  <si>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</si>
  <si>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</si>
  <si>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</si>
  <si>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</si>
  <si>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</si>
  <si>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</si>
  <si>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</si>
  <si>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</si>
  <si>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</si>
  <si>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</si>
  <si>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</si>
  <si>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</si>
  <si>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</si>
  <si>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</si>
  <si>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</si>
  <si>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</si>
  <si>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</si>
  <si>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</si>
  <si>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</si>
  <si>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</si>
  <si>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</si>
  <si>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</si>
  <si>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</si>
  <si>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</si>
  <si>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</si>
  <si>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</si>
  <si>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</si>
  <si>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</si>
  <si>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</si>
  <si>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</si>
  <si>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</si>
  <si>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</si>
  <si>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</si>
  <si>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</si>
  <si>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</si>
  <si>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</si>
  <si>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</si>
  <si>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</si>
  <si>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</si>
  <si>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</si>
  <si>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</si>
  <si>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</si>
  <si>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</si>
  <si>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</si>
  <si>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</si>
  <si>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</si>
  <si>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</si>
  <si>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</si>
  <si>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</si>
  <si>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</si>
  <si>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</si>
  <si>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</si>
  <si>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</si>
  <si>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</si>
  <si>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</si>
  <si>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</si>
  <si>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</si>
  <si>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</si>
  <si>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</si>
  <si>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</si>
  <si>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</si>
  <si>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</si>
  <si>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</si>
  <si>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</si>
  <si>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</si>
  <si>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</si>
  <si>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</si>
  <si>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</si>
  <si>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</si>
  <si>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</si>
  <si>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</si>
  <si>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</si>
  <si>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</si>
  <si>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</si>
  <si>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</si>
  <si>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</si>
  <si>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</si>
  <si>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</si>
  <si>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</si>
  <si>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</si>
  <si>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</si>
  <si>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</si>
  <si>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</si>
  <si>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</si>
  <si>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</si>
  <si>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</si>
  <si>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</si>
  <si>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</si>
  <si>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</si>
  <si>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</si>
  <si>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</si>
  <si>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</si>
  <si>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</si>
  <si>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</si>
  <si>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</si>
  <si>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</si>
  <si>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</si>
  <si>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</si>
  <si>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</si>
  <si>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</si>
  <si>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</si>
  <si>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</si>
  <si>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</si>
  <si>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</si>
  <si>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</si>
  <si>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</si>
  <si>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</si>
  <si>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</si>
  <si>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</si>
  <si>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</si>
  <si>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</si>
  <si>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</si>
  <si>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</si>
  <si>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</si>
  <si>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</si>
  <si>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</si>
  <si>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</si>
  <si>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</si>
  <si>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</si>
  <si>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</si>
  <si>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</si>
  <si>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</si>
  <si>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</si>
  <si>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</si>
  <si>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</si>
  <si>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</si>
  <si>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</si>
  <si>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</si>
  <si>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</si>
  <si>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</si>
  <si>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</si>
  <si>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</si>
  <si>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</si>
  <si>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</si>
  <si>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</si>
  <si>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</si>
  <si>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</si>
  <si>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</si>
  <si>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</si>
  <si>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</si>
  <si>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</si>
  <si>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</si>
  <si>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</si>
  <si>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</si>
  <si>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</si>
  <si>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</si>
  <si>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</si>
  <si>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</si>
  <si>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</si>
  <si>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</si>
  <si>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</si>
  <si>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</si>
  <si>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</si>
  <si>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</si>
  <si>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</si>
  <si>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</si>
  <si>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</si>
  <si>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</si>
  <si>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</si>
  <si>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</si>
  <si>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</si>
  <si>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</si>
  <si>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</si>
  <si>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</si>
  <si>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</si>
  <si>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</si>
  <si>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</si>
  <si>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</si>
  <si>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</si>
  <si>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</si>
  <si>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</si>
  <si>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</si>
  <si>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</si>
  <si>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</si>
  <si>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</si>
  <si>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</si>
  <si>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</si>
  <si>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</si>
  <si>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</si>
  <si>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</si>
  <si>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</si>
  <si>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</si>
  <si>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</si>
  <si>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</si>
  <si>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</si>
  <si>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</si>
  <si>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</si>
  <si>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</si>
  <si>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</si>
  <si>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</si>
  <si>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</si>
  <si>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</si>
  <si>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</si>
  <si>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</si>
  <si>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</si>
  <si>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</si>
  <si>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</si>
  <si>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</si>
  <si>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</si>
  <si>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</si>
  <si>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</si>
  <si>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</si>
  <si>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</si>
  <si>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</si>
  <si>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</si>
  <si>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</si>
  <si>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</si>
  <si>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</si>
  <si>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</si>
  <si>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</si>
  <si>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</si>
  <si>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</si>
  <si>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</si>
  <si>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</si>
  <si>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</si>
  <si>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</si>
  <si>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</si>
  <si>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</si>
  <si>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</si>
  <si>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</si>
  <si>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</si>
  <si>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</si>
  <si>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</si>
  <si>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</si>
  <si>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</si>
  <si>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</si>
  <si>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</si>
  <si>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</si>
  <si>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</si>
  <si>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</si>
  <si>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</si>
  <si>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</si>
  <si>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</si>
  <si>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</si>
  <si>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</si>
  <si>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</si>
  <si>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</si>
  <si>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</si>
  <si>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</si>
  <si>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</si>
  <si>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</si>
  <si>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</si>
  <si>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</si>
  <si>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</si>
  <si>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</si>
  <si>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</si>
  <si>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</si>
  <si>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</si>
  <si>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</si>
  <si>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</si>
  <si>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</si>
  <si>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</si>
  <si>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</si>
  <si>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</si>
  <si>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</si>
  <si>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</si>
  <si>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</si>
  <si>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</si>
  <si>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</si>
  <si>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</si>
  <si>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</si>
  <si>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</si>
  <si>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</si>
  <si>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</si>
  <si>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</si>
  <si>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</si>
  <si>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</si>
  <si>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</si>
  <si>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</si>
  <si>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</si>
  <si>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</si>
  <si>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</si>
  <si>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</si>
  <si>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</si>
  <si>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</si>
  <si>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</si>
  <si>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</si>
  <si>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</si>
  <si>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</si>
  <si>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</si>
  <si>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</si>
  <si>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</si>
  <si>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</si>
  <si>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</si>
  <si>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</si>
  <si>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</si>
  <si>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</si>
  <si>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</si>
  <si>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</si>
  <si>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</si>
  <si>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</si>
  <si>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</si>
  <si>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</si>
  <si>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</si>
  <si>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</si>
  <si>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</si>
  <si>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</si>
  <si>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</si>
  <si>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</si>
  <si>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</si>
  <si>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</si>
  <si>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</si>
  <si>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</si>
  <si>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</si>
  <si>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</si>
  <si>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</si>
  <si>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</si>
  <si>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</si>
  <si>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</si>
  <si>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</si>
  <si>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</si>
  <si>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</si>
  <si>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</si>
  <si>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</si>
  <si>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</si>
  <si>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</si>
  <si>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</si>
  <si>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</si>
  <si>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</si>
  <si>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</si>
  <si>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</si>
  <si>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</si>
  <si>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</si>
  <si>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</si>
  <si>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</si>
  <si>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</si>
  <si>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</si>
  <si>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</si>
  <si>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</si>
  <si>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</si>
  <si>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</si>
  <si>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</si>
  <si>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</si>
  <si>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</si>
  <si>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</si>
  <si>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</si>
  <si>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</si>
  <si>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</si>
  <si>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</si>
  <si>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</si>
  <si>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</si>
  <si>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</si>
  <si>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</si>
  <si>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</si>
  <si>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</si>
  <si>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</si>
  <si>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</si>
  <si>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</si>
  <si>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</si>
  <si>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</si>
  <si>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</si>
  <si>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</si>
  <si>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</si>
  <si>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</si>
  <si>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</si>
  <si>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</si>
  <si>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</si>
  <si>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</si>
  <si>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</si>
  <si>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</si>
  <si>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</si>
  <si>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</si>
  <si>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</si>
  <si>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</si>
  <si>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</si>
  <si>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</si>
  <si>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</si>
  <si>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</si>
  <si>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</si>
  <si>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</si>
  <si>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</si>
  <si>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</si>
  <si>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</si>
  <si>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</si>
  <si>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</si>
  <si>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</si>
  <si>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</si>
  <si>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</si>
  <si>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</si>
  <si>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</si>
  <si>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</si>
  <si>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</si>
  <si>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</si>
  <si>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</si>
  <si>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</si>
  <si>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</si>
  <si>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</si>
  <si>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</si>
  <si>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</si>
  <si>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</si>
  <si>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</si>
  <si>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</si>
  <si>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</si>
  <si>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</si>
  <si>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</si>
  <si>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</si>
  <si>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</si>
  <si>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</si>
  <si>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</si>
  <si>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</si>
  <si>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</si>
  <si>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</si>
  <si>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</si>
  <si>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</si>
  <si>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</si>
  <si>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</si>
  <si>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</si>
  <si>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</si>
  <si>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</si>
  <si>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</si>
  <si>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</si>
  <si>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</si>
  <si>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</si>
  <si>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</si>
  <si>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</si>
  <si>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</si>
  <si>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</si>
  <si>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</si>
  <si>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</si>
  <si>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</si>
  <si>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</si>
  <si>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</si>
  <si>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</si>
  <si>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</si>
  <si>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</si>
  <si>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</si>
  <si>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</si>
  <si>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</si>
  <si>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</si>
  <si>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</si>
  <si>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</si>
  <si>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</si>
  <si>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</si>
  <si>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</si>
  <si>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</si>
  <si>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</si>
  <si>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</si>
  <si>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</si>
  <si>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</si>
  <si>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</si>
  <si>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</si>
  <si>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</si>
  <si>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</si>
  <si>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</si>
  <si>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</si>
  <si>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</si>
  <si>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</si>
  <si>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</si>
  <si>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</si>
  <si>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</si>
  <si>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</si>
  <si>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</si>
  <si>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</si>
  <si>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</si>
  <si>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</si>
  <si>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</si>
  <si>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</si>
  <si>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</si>
  <si>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</si>
  <si>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</si>
  <si>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</si>
  <si>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</si>
  <si>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</si>
  <si>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</si>
  <si>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</si>
  <si>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</si>
  <si>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</si>
  <si>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</si>
  <si>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</si>
  <si>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</si>
  <si>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</si>
  <si>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</si>
  <si>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</si>
  <si>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</si>
  <si>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</si>
  <si>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</si>
  <si>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</si>
  <si>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</si>
  <si>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</si>
  <si>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</si>
  <si>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</si>
  <si>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</si>
  <si>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</si>
  <si>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</si>
  <si>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</si>
  <si>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</si>
  <si>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</si>
  <si>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</si>
  <si>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</si>
  <si>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</si>
  <si>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</si>
  <si>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</si>
  <si>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</si>
  <si>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</si>
  <si>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</si>
  <si>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</si>
  <si>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</si>
  <si>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</si>
  <si>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</si>
  <si>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</si>
  <si>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</si>
  <si>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</si>
  <si>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</si>
  <si>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</si>
  <si>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</si>
  <si>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</si>
  <si>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</si>
  <si>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</si>
  <si>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</si>
  <si>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</si>
  <si>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</si>
  <si>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</si>
  <si>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</si>
  <si>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</si>
  <si>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</si>
  <si>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</si>
  <si>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</si>
  <si>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</si>
  <si>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</si>
  <si>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</si>
  <si>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</si>
  <si>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</si>
  <si>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</si>
  <si>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</si>
  <si>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</si>
  <si>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</si>
  <si>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</si>
  <si>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</si>
  <si>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</si>
  <si>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</si>
  <si>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</si>
  <si>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</si>
  <si>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</si>
  <si>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</si>
  <si>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</si>
  <si>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</si>
  <si>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</si>
  <si>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</si>
  <si>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</si>
  <si>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</si>
  <si>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</si>
  <si>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</si>
  <si>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</si>
  <si>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</si>
  <si>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</si>
  <si>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</si>
  <si>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</si>
  <si>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</si>
  <si>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</si>
  <si>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</si>
  <si>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</si>
  <si>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</si>
  <si>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</si>
  <si>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</si>
  <si>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</si>
  <si>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</si>
  <si>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</si>
  <si>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</si>
  <si>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</si>
  <si>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</si>
  <si>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</si>
  <si>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</si>
  <si>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</si>
  <si>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</si>
  <si>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</si>
  <si>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</si>
  <si>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</si>
  <si>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</si>
  <si>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</si>
  <si>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</si>
  <si>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</si>
  <si>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</si>
  <si>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</si>
  <si>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</si>
  <si>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</si>
  <si>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</si>
  <si>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</si>
  <si>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</si>
  <si>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</si>
  <si>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</si>
  <si>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</si>
  <si>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</si>
  <si>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</si>
  <si>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</si>
  <si>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</si>
  <si>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</si>
  <si>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</si>
  <si>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</si>
  <si>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</si>
  <si>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</si>
  <si>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</si>
  <si>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</si>
  <si>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</si>
  <si>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</si>
  <si>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</si>
  <si>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</si>
  <si>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</si>
  <si>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</si>
  <si>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</si>
  <si>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</si>
  <si>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</si>
  <si>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</si>
  <si>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</si>
  <si>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</si>
  <si>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</si>
  <si>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</si>
  <si>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</si>
  <si>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</si>
  <si>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</si>
  <si>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</si>
  <si>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</si>
  <si>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</si>
  <si>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</si>
  <si>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</si>
  <si>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</si>
  <si>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</si>
  <si>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</si>
  <si>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</si>
  <si>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</si>
  <si>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</si>
  <si>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</si>
  <si>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</si>
  <si>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</si>
  <si>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</si>
  <si>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</si>
  <si>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</si>
  <si>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</si>
  <si>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</si>
  <si>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</si>
  <si>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</si>
  <si>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</si>
  <si>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</si>
  <si>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</si>
  <si>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</si>
  <si>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</si>
  <si>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</si>
  <si>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</si>
  <si>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</si>
  <si>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</si>
  <si>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</si>
  <si>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</si>
  <si>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</si>
  <si>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</si>
  <si>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</si>
  <si>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</si>
  <si>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</si>
  <si>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</si>
  <si>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</si>
  <si>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</si>
  <si>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</si>
  <si>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</si>
  <si>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</si>
  <si>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</si>
  <si>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</si>
  <si>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</si>
  <si>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</si>
  <si>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</si>
  <si>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</si>
  <si>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</si>
  <si>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</si>
  <si>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</si>
  <si>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</si>
  <si>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</si>
  <si>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</si>
  <si>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</si>
  <si>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</si>
  <si>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</si>
  <si>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</si>
  <si>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</si>
  <si>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</si>
  <si>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</si>
  <si>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</si>
  <si>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</si>
  <si>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</si>
  <si>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</si>
  <si>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</si>
  <si>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</si>
  <si>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</si>
  <si>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</si>
  <si>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</si>
  <si>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</si>
  <si>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</si>
  <si>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</si>
  <si>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</si>
  <si>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</si>
  <si>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</si>
  <si>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</si>
  <si>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</si>
  <si>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</si>
  <si>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</si>
  <si>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</si>
  <si>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</si>
  <si>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</si>
  <si>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</si>
  <si>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</si>
  <si>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</si>
  <si>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</si>
  <si>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</si>
  <si>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</si>
  <si>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</si>
  <si>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</si>
  <si>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</si>
  <si>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</si>
  <si>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</si>
  <si>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</si>
  <si>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</si>
  <si>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</si>
  <si>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</si>
  <si>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</si>
  <si>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</si>
  <si>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</si>
  <si>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</si>
  <si>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</si>
  <si>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</si>
  <si>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</si>
  <si>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</si>
  <si>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</si>
  <si>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</si>
  <si>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</si>
  <si>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</si>
  <si>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</si>
  <si>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</si>
  <si>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</si>
  <si>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</si>
  <si>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</si>
  <si>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</si>
  <si>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</si>
  <si>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</si>
  <si>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</si>
  <si>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</si>
  <si>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</si>
  <si>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</si>
  <si>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</si>
  <si>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</si>
  <si>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</si>
  <si>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</si>
  <si>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</si>
  <si>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</si>
  <si>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</si>
  <si>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</si>
  <si>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</si>
  <si>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</si>
  <si>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</si>
  <si>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</si>
  <si>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</si>
  <si>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</si>
  <si>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</si>
  <si>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</si>
  <si>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</si>
  <si>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</si>
  <si>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</si>
  <si>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</si>
  <si>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</si>
  <si>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</si>
  <si>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</si>
  <si>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</si>
  <si>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</si>
  <si>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</si>
  <si>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</si>
  <si>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</si>
  <si>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</si>
  <si>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</si>
  <si>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</si>
  <si>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</si>
  <si>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</si>
  <si>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</si>
  <si>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</si>
  <si>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</si>
  <si>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</si>
  <si>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</si>
  <si>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</si>
  <si>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</si>
  <si>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</si>
  <si>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</si>
  <si>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</si>
  <si>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</si>
  <si>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</si>
  <si>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</si>
  <si>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</si>
  <si>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</si>
  <si>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</si>
  <si>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</si>
  <si>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</si>
  <si>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</si>
  <si>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</si>
  <si>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</si>
  <si>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</si>
  <si>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</si>
  <si>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</si>
  <si>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</si>
  <si>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</si>
  <si>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</si>
  <si>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</si>
  <si>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</si>
  <si>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</si>
  <si>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</si>
  <si>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</si>
  <si>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</si>
  <si>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</si>
  <si>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</si>
  <si>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</si>
  <si>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</si>
  <si>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</si>
  <si>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</si>
  <si>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</si>
  <si>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</si>
  <si>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</si>
  <si>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</si>
  <si>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</si>
  <si>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</si>
  <si>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</si>
  <si>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</si>
  <si>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</si>
  <si>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</si>
  <si>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</si>
  <si>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</si>
  <si>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</si>
  <si>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</si>
  <si>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</si>
  <si>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</si>
  <si>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</si>
  <si>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</si>
  <si>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</si>
  <si>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</si>
  <si>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</si>
  <si>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</si>
  <si>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</si>
  <si>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</si>
  <si>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</si>
  <si>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</si>
  <si>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</si>
  <si>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</si>
  <si>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</si>
  <si>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</si>
  <si>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</si>
  <si>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</si>
  <si>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</si>
  <si>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</si>
  <si>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</si>
  <si>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</si>
  <si>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</si>
  <si>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</si>
  <si>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</si>
  <si>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</si>
  <si>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</si>
  <si>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</si>
  <si>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</si>
  <si>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</si>
  <si>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</si>
  <si>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</si>
  <si>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</si>
  <si>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</si>
  <si>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</si>
  <si>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</si>
  <si>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</si>
  <si>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</si>
  <si>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</si>
  <si>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</si>
  <si>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</si>
  <si>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</si>
  <si>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</si>
  <si>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</si>
  <si>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</si>
  <si>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</si>
  <si>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</si>
  <si>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</si>
  <si>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</si>
  <si>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</si>
  <si>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</si>
  <si>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</si>
  <si>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</si>
  <si>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</si>
  <si>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</si>
  <si>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</si>
  <si>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</si>
  <si>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</si>
  <si>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</si>
  <si>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</si>
  <si>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</si>
  <si>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</si>
  <si>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</si>
  <si>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</si>
  <si>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</si>
  <si>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</si>
  <si>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</si>
  <si>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</si>
  <si>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</si>
  <si>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</si>
  <si>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</si>
  <si>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</si>
  <si>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</si>
  <si>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</si>
  <si>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</si>
  <si>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</si>
  <si>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</si>
  <si>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</si>
  <si>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</si>
  <si>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</si>
  <si>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</si>
  <si>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</si>
  <si>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</si>
  <si>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</si>
  <si>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</si>
  <si>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</si>
  <si>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</si>
  <si>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</si>
  <si>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</si>
  <si>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</si>
  <si>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</si>
  <si>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</si>
  <si>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</si>
  <si>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</si>
  <si>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</si>
  <si>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</si>
  <si>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</si>
  <si>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</si>
  <si>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</si>
  <si>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</si>
  <si>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</si>
  <si>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</si>
  <si>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</si>
  <si>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</si>
  <si>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</si>
  <si>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</si>
  <si>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</si>
  <si>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</si>
  <si>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</si>
  <si>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</si>
  <si>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</si>
  <si>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</si>
  <si>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</si>
  <si>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</si>
  <si>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</si>
  <si>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</si>
  <si>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</si>
  <si>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</si>
  <si>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</si>
  <si>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</si>
  <si>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</si>
  <si>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</si>
  <si>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</si>
  <si>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</si>
  <si>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</si>
  <si>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</si>
  <si>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</si>
  <si>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</si>
  <si>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</si>
  <si>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</si>
  <si>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</si>
  <si>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</si>
  <si>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</si>
  <si>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</si>
  <si>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</si>
  <si>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</si>
  <si>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</si>
  <si>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</si>
  <si>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</si>
  <si>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</si>
  <si>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</si>
  <si>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</si>
  <si>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</si>
  <si>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</si>
  <si>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</si>
  <si>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</si>
  <si>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</si>
  <si>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</si>
  <si>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</si>
  <si>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</si>
  <si>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</si>
  <si>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</si>
  <si>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</si>
  <si>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</si>
  <si>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</si>
  <si>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</si>
  <si>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</si>
  <si>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</si>
  <si>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</si>
  <si>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</si>
  <si>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</si>
  <si>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</si>
  <si>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</si>
  <si>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</si>
  <si>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</si>
  <si>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</si>
  <si>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</si>
  <si>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</si>
  <si>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</si>
  <si>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</si>
  <si>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</si>
  <si>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</si>
  <si>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</si>
  <si>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</si>
  <si>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</si>
  <si>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</si>
  <si>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</si>
  <si>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</si>
  <si>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</si>
  <si>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</si>
  <si>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</si>
  <si>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</si>
  <si>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</si>
  <si>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</si>
  <si>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</si>
  <si>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</si>
  <si>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</si>
  <si>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</si>
  <si>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</si>
  <si>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</si>
  <si>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</si>
  <si>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</si>
  <si>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</si>
  <si>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</si>
  <si>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</si>
  <si>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</si>
  <si>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</si>
  <si>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</si>
  <si>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</si>
  <si>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</si>
  <si>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</si>
  <si>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</si>
  <si>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</si>
  <si>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</si>
  <si>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</si>
  <si>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</si>
  <si>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</si>
  <si>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</si>
  <si>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</si>
  <si>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</si>
  <si>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</si>
  <si>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</si>
  <si>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</si>
  <si>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</si>
  <si>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</si>
  <si>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</si>
  <si>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</si>
  <si>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</si>
  <si>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</si>
  <si>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</si>
  <si>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</si>
  <si>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</si>
  <si>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</si>
  <si>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</si>
  <si>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</si>
  <si>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</si>
  <si>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</si>
  <si>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</si>
  <si>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</si>
  <si>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</si>
  <si>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</si>
  <si>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</si>
  <si>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</si>
  <si>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</si>
  <si>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</si>
  <si>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</si>
  <si>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</si>
  <si>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</si>
  <si>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</si>
  <si>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</si>
  <si>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</si>
  <si>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</si>
  <si>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</si>
  <si>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</si>
  <si>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</si>
  <si>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</si>
  <si>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</si>
  <si>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</si>
  <si>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</si>
  <si>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</si>
  <si>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</si>
  <si>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</si>
  <si>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</si>
  <si>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</si>
  <si>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</si>
  <si>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</si>
  <si>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</si>
  <si>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</si>
  <si>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</si>
  <si>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</si>
  <si>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</si>
  <si>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</si>
  <si>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</si>
  <si>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</si>
  <si>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</si>
  <si>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</si>
  <si>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</si>
  <si>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</si>
  <si>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</si>
  <si>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</si>
  <si>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</si>
  <si>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</si>
  <si>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</si>
  <si>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</si>
  <si>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</si>
  <si>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</si>
  <si>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</si>
  <si>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</si>
  <si>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</si>
  <si>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</si>
  <si>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</si>
  <si>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</si>
  <si>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</si>
  <si>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</si>
  <si>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</si>
  <si>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</si>
  <si>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</si>
  <si>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</si>
  <si>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</si>
  <si>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</si>
  <si>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</si>
  <si>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</si>
  <si>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</si>
  <si>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</si>
  <si>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</si>
  <si>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</si>
  <si>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</si>
  <si>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</si>
  <si>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</si>
  <si>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</si>
  <si>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</si>
  <si>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</si>
  <si>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</si>
  <si>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</si>
  <si>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</si>
  <si>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</si>
  <si>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</si>
  <si>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</si>
  <si>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</si>
  <si>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</si>
  <si>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</si>
  <si>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</si>
  <si>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</si>
  <si>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</si>
  <si>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</si>
  <si>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</si>
  <si>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</si>
  <si>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</si>
  <si>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</si>
  <si>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</si>
  <si>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</si>
  <si>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</si>
  <si>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</si>
  <si>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</si>
  <si>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</si>
  <si>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</si>
  <si>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</si>
  <si>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</si>
  <si>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</si>
  <si>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</si>
  <si>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</si>
  <si>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</si>
  <si>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</si>
  <si>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</si>
  <si>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</si>
  <si>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</si>
  <si>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</si>
  <si>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</si>
  <si>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</si>
  <si>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</si>
  <si>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</si>
  <si>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</si>
  <si>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</si>
  <si>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</si>
  <si>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</si>
  <si>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</si>
  <si>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</si>
  <si>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</si>
  <si>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</si>
  <si>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</si>
  <si>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</si>
  <si>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</si>
  <si>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</si>
  <si>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</si>
  <si>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</si>
  <si>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</si>
  <si>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</si>
  <si>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</si>
  <si>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</si>
  <si>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</si>
  <si>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</si>
  <si>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</si>
  <si>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</si>
  <si>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</si>
  <si>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</si>
  <si>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</si>
  <si>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</si>
  <si>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</si>
  <si>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</si>
  <si>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</si>
  <si>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</si>
  <si>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</si>
  <si>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</si>
  <si>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</si>
  <si>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</si>
  <si>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</si>
  <si>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</si>
  <si>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</si>
  <si>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</si>
  <si>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</si>
  <si>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</si>
  <si>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</si>
  <si>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</si>
  <si>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</si>
  <si>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</si>
  <si>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</si>
  <si>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</si>
  <si>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</si>
  <si>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</si>
  <si>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</si>
  <si>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</si>
  <si>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</si>
  <si>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</si>
  <si>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</si>
  <si>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</si>
  <si>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</si>
  <si>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</si>
  <si>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</si>
  <si>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</si>
  <si>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</si>
  <si>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</si>
  <si>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</si>
  <si>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</si>
  <si>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</si>
  <si>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</si>
  <si>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</si>
  <si>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</si>
  <si>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</si>
  <si>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</si>
  <si>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</si>
  <si>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</si>
  <si>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</si>
  <si>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</si>
  <si>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</si>
  <si>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</si>
  <si>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</si>
  <si>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</si>
  <si>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</si>
  <si>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</si>
  <si>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</si>
  <si>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</si>
  <si>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</si>
  <si>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</si>
  <si>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</si>
  <si>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</si>
  <si>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</si>
  <si>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</si>
  <si>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</si>
  <si>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</si>
  <si>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</si>
  <si>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</si>
  <si>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</si>
  <si>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</si>
  <si>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</si>
  <si>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</si>
  <si>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</si>
  <si>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</si>
  <si>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</si>
  <si>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</si>
  <si>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</si>
  <si>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</si>
  <si>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</si>
  <si>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</si>
  <si>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</si>
  <si>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</si>
  <si>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</si>
  <si>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</si>
  <si>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</si>
  <si>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</si>
  <si>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</si>
  <si>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</si>
  <si>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</si>
  <si>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</si>
  <si>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</si>
  <si>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</si>
  <si>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</si>
  <si>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</si>
  <si>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</si>
  <si>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</si>
  <si>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</si>
  <si>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</si>
  <si>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</si>
  <si>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</si>
  <si>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</si>
  <si>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</si>
  <si>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</si>
  <si>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</si>
  <si>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</si>
  <si>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</si>
  <si>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</si>
  <si>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</si>
  <si>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</si>
  <si>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</si>
  <si>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</si>
  <si>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</si>
  <si>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</si>
  <si>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</si>
  <si>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</si>
  <si>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</si>
  <si>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</si>
  <si>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</si>
  <si>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</si>
  <si>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</si>
  <si>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</si>
  <si>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</si>
  <si>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</si>
  <si>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</si>
  <si>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</si>
  <si>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</si>
  <si>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</si>
  <si>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</si>
  <si>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</si>
  <si>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</si>
  <si>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</si>
  <si>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</si>
  <si>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</si>
  <si>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</si>
  <si>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</si>
  <si>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</si>
  <si>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</si>
  <si>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</si>
  <si>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</si>
  <si>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</si>
  <si>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</si>
  <si>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</si>
  <si>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</si>
  <si>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</si>
  <si>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</si>
  <si>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</si>
  <si>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</si>
  <si>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</si>
  <si>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</si>
  <si>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</si>
  <si>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</si>
  <si>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</si>
  <si>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</si>
  <si>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</si>
  <si>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</si>
  <si>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</si>
  <si>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</si>
  <si>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</si>
  <si>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</si>
  <si>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</si>
  <si>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</si>
  <si>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</si>
  <si>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</si>
  <si>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</si>
  <si>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</si>
  <si>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</si>
  <si>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</si>
  <si>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</si>
  <si>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</si>
  <si>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</si>
  <si>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</si>
  <si>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</si>
  <si>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</si>
  <si>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</si>
  <si>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</si>
  <si>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</si>
  <si>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</si>
  <si>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</si>
  <si>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</si>
  <si>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</si>
  <si>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</si>
  <si>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</si>
  <si>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</si>
  <si>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</si>
  <si>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</si>
  <si>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</si>
  <si>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</si>
  <si>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</si>
  <si>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</si>
  <si>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</si>
  <si>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</si>
  <si>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</si>
  <si>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</si>
  <si>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</si>
  <si>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</si>
  <si>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</si>
  <si>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</si>
  <si>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</si>
  <si>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</si>
  <si>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</si>
  <si>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</si>
  <si>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</si>
  <si>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</si>
  <si>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</si>
  <si>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</si>
  <si>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</si>
  <si>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</si>
  <si>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</si>
  <si>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</si>
  <si>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</si>
  <si>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</si>
  <si>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</si>
  <si>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</si>
  <si>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</si>
  <si>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</si>
  <si>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</si>
  <si>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</si>
  <si>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</si>
  <si>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</si>
  <si>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</si>
  <si>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</si>
  <si>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</si>
  <si>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</si>
  <si>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</si>
  <si>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</si>
  <si>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</si>
  <si>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</si>
  <si>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</si>
  <si>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</si>
  <si>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</si>
  <si>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</si>
  <si>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</si>
  <si>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</si>
  <si>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</si>
  <si>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</si>
  <si>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</si>
  <si>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</si>
  <si>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</si>
  <si>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</si>
  <si>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</si>
  <si>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</si>
  <si>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</si>
  <si>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</si>
  <si>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</si>
  <si>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</si>
  <si>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</si>
  <si>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</si>
  <si>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</si>
  <si>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</si>
  <si>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</si>
  <si>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</si>
  <si>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</si>
  <si>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</si>
  <si>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</si>
  <si>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</si>
  <si>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</si>
  <si>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</si>
  <si>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</si>
  <si>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</si>
  <si>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</si>
  <si>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</si>
  <si>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</si>
  <si>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</si>
  <si>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</si>
  <si>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</si>
  <si>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</si>
  <si>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</si>
  <si>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</si>
  <si>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</si>
  <si>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</si>
  <si>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</si>
  <si>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</si>
  <si>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</si>
  <si>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</si>
  <si>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</si>
  <si>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</si>
  <si>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</si>
  <si>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</si>
  <si>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</si>
  <si>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</si>
  <si>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</si>
  <si>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</si>
  <si>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</si>
  <si>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</si>
  <si>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</si>
  <si>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</si>
  <si>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</si>
  <si>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</si>
  <si>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</si>
  <si>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</si>
  <si>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</si>
  <si>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</si>
  <si>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</si>
  <si>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</si>
  <si>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</si>
  <si>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</si>
  <si>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</si>
  <si>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</si>
  <si>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</si>
  <si>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</si>
  <si>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</si>
  <si>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</si>
  <si>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</si>
  <si>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</si>
  <si>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</si>
  <si>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</si>
  <si>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</si>
  <si>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</si>
  <si>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</si>
  <si>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</si>
  <si>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</si>
  <si>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</si>
  <si>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</si>
  <si>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</si>
  <si>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</si>
  <si>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</si>
  <si>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</si>
  <si>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</si>
  <si>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</si>
  <si>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</si>
  <si>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</si>
  <si>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</si>
  <si>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</si>
  <si>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</si>
  <si>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</si>
  <si>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</si>
  <si>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</si>
  <si>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</si>
  <si>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</si>
  <si>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</si>
  <si>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</si>
  <si>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</si>
  <si>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</si>
  <si>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</si>
  <si>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</si>
  <si>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</si>
  <si>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</si>
  <si>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</si>
  <si>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</si>
  <si>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</si>
  <si>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</si>
  <si>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</si>
  <si>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</si>
  <si>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</si>
  <si>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</si>
  <si>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</si>
  <si>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</si>
  <si>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</si>
  <si>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</si>
  <si>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</si>
  <si>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</si>
  <si>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</si>
  <si>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</si>
  <si>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</si>
  <si>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</si>
  <si>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</si>
  <si>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</si>
  <si>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</si>
  <si>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</si>
  <si>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</si>
  <si>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</si>
  <si>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</si>
  <si>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</si>
  <si>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</si>
  <si>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</si>
  <si>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</si>
  <si>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</si>
  <si>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</si>
  <si>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</si>
  <si>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</si>
  <si>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</si>
  <si>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</si>
  <si>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</si>
  <si>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</si>
  <si>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</si>
  <si>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</si>
  <si>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</si>
  <si>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</si>
  <si>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</si>
  <si>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</si>
  <si>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</si>
  <si>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</si>
  <si>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</si>
  <si>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</si>
  <si>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</si>
  <si>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</si>
  <si>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</si>
  <si>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</si>
  <si>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</si>
  <si>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</si>
  <si>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</si>
  <si>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</si>
  <si>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</si>
  <si>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</si>
  <si>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</si>
  <si>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</si>
  <si>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</si>
  <si>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</si>
  <si>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</si>
  <si>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</si>
  <si>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</si>
  <si>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</si>
  <si>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</si>
  <si>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</si>
  <si>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</si>
  <si>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</si>
  <si>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</si>
  <si>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</si>
  <si>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</si>
  <si>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</si>
  <si>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</si>
  <si>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</si>
  <si>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</si>
  <si>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</si>
  <si>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</si>
  <si>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</si>
  <si>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</si>
  <si>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</si>
  <si>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</si>
  <si>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</si>
  <si>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</si>
  <si>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</si>
  <si>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</si>
  <si>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</si>
  <si>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</si>
  <si>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</si>
  <si>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</si>
  <si>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</si>
  <si>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</si>
  <si>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</si>
  <si>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</si>
  <si>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</si>
  <si>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</si>
  <si>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</si>
  <si>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</si>
  <si>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</si>
  <si>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</si>
  <si>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</si>
  <si>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</si>
  <si>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</si>
  <si>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</si>
  <si>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</si>
  <si>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</si>
  <si>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</si>
  <si>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</si>
  <si>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</si>
  <si>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</si>
  <si>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</si>
  <si>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</si>
  <si>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</si>
  <si>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</si>
  <si>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</si>
  <si>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</si>
  <si>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</si>
  <si>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</si>
  <si>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</si>
  <si>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</si>
  <si>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</si>
  <si>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</si>
  <si>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</si>
  <si>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</si>
  <si>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</si>
  <si>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</si>
  <si>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</si>
  <si>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</si>
  <si>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</si>
  <si>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</si>
  <si>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</si>
  <si>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</si>
  <si>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</si>
  <si>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</si>
  <si>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</si>
  <si>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</si>
  <si>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</si>
  <si>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</si>
  <si>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</si>
  <si>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</si>
  <si>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</si>
  <si>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</si>
  <si>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</si>
  <si>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</si>
  <si>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</si>
  <si>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</si>
  <si>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</si>
  <si>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</si>
  <si>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</si>
  <si>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</si>
  <si>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</si>
  <si>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</si>
  <si>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</si>
  <si>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</si>
  <si>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</si>
  <si>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</si>
  <si>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</si>
  <si>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</si>
  <si>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</si>
  <si>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</si>
  <si>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</si>
  <si>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</si>
  <si>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</si>
  <si>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</si>
  <si>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</si>
  <si>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</si>
  <si>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</si>
  <si>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</si>
  <si>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</si>
  <si>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</si>
  <si>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</si>
  <si>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</si>
  <si>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</si>
  <si>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</si>
  <si>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</si>
  <si>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</si>
  <si>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</si>
  <si>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</si>
  <si>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</si>
  <si>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</si>
  <si>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</si>
  <si>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</si>
  <si>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</si>
  <si>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</si>
  <si>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</si>
  <si>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</si>
  <si>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</si>
  <si>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</si>
  <si>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</si>
  <si>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</si>
  <si>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</si>
  <si>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</si>
  <si>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</si>
  <si>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</si>
  <si>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</si>
  <si>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</si>
  <si>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</si>
  <si>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</si>
  <si>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</si>
  <si>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</si>
  <si>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</si>
  <si>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</si>
  <si>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</si>
  <si>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</si>
  <si>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</si>
  <si>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</si>
  <si>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</si>
  <si>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</si>
  <si>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</si>
  <si>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</si>
  <si>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</si>
  <si>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</si>
  <si>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</si>
  <si>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</si>
  <si>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</si>
  <si>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</si>
  <si>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</si>
  <si>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</si>
  <si>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</si>
  <si>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</si>
  <si>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</si>
  <si>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</si>
  <si>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</si>
  <si>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</si>
  <si>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</si>
  <si>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</si>
  <si>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</si>
  <si>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</si>
  <si>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</si>
  <si>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</si>
  <si>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</si>
  <si>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</si>
  <si>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</si>
  <si>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</si>
  <si>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</si>
  <si>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</si>
  <si>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</si>
  <si>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</si>
  <si>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</si>
  <si>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</si>
  <si>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</si>
  <si>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</si>
  <si>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</si>
  <si>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</si>
  <si>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</si>
  <si>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</si>
  <si>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</si>
  <si>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</si>
  <si>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</si>
  <si>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</si>
  <si>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</si>
  <si>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</si>
  <si>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</si>
  <si>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</si>
  <si>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</si>
  <si>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</si>
  <si>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</si>
  <si>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</si>
  <si>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</si>
  <si>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</si>
  <si>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</si>
  <si>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</si>
  <si>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</si>
  <si>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</si>
  <si>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</si>
  <si>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</si>
  <si>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</si>
  <si>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</si>
  <si>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</si>
  <si>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</si>
  <si>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</si>
  <si>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</si>
  <si>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</si>
  <si>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</si>
  <si>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</si>
  <si>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</si>
  <si>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</si>
  <si>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</si>
  <si>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</si>
  <si>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</si>
  <si>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</si>
  <si>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</si>
  <si>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</si>
  <si>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</si>
  <si>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</si>
  <si>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</si>
  <si>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</si>
  <si>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</si>
  <si>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</si>
  <si>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</si>
  <si>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</si>
  <si>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</si>
  <si>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</si>
  <si>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</si>
  <si>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</si>
  <si>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</si>
  <si>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</si>
  <si>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</si>
  <si>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</si>
  <si>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</si>
  <si>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</si>
  <si>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</si>
  <si>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</si>
  <si>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</si>
  <si>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</si>
  <si>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</si>
  <si>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</si>
  <si>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</si>
  <si>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</si>
  <si>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</si>
  <si>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</si>
  <si>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</si>
  <si>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</si>
  <si>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</si>
  <si>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</si>
  <si>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</si>
  <si>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</si>
  <si>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</si>
  <si>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</si>
  <si>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</si>
  <si>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</si>
  <si>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</si>
  <si>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</si>
  <si>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</si>
  <si>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</si>
  <si>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</si>
  <si>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</si>
  <si>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</si>
  <si>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</si>
  <si>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</si>
  <si>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</si>
  <si>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</si>
  <si>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</si>
  <si>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</si>
  <si>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</si>
  <si>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</si>
  <si>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</si>
  <si>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</si>
  <si>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</si>
  <si>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</si>
  <si>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</si>
  <si>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</si>
  <si>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</si>
  <si>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</si>
  <si>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</si>
  <si>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</si>
  <si>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</si>
  <si>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</si>
  <si>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</si>
  <si>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</si>
  <si>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</si>
  <si>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</si>
  <si>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</si>
  <si>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</si>
  <si>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</si>
  <si>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</si>
  <si>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</si>
  <si>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</si>
  <si>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</si>
  <si>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</si>
  <si>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</si>
  <si>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</si>
  <si>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</si>
  <si>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</si>
  <si>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</si>
  <si>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</si>
  <si>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</si>
  <si>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</si>
  <si>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</si>
  <si>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</si>
  <si>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</si>
  <si>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</si>
  <si>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</si>
  <si>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</si>
  <si>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</si>
  <si>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</si>
  <si>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</si>
  <si>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</si>
  <si>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</si>
  <si>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</si>
  <si>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</si>
  <si>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</si>
  <si>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</si>
  <si>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</si>
  <si>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</si>
  <si>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</si>
  <si>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</si>
  <si>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</si>
  <si>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</si>
  <si>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</si>
  <si>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</si>
  <si>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</si>
  <si>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</si>
  <si>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</si>
  <si>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</si>
  <si>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</si>
  <si>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</si>
  <si>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</si>
  <si>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</si>
  <si>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</si>
  <si>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</si>
  <si>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</si>
  <si>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</si>
  <si>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</si>
  <si>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</si>
  <si>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</si>
  <si>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</si>
  <si>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</si>
  <si>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</si>
  <si>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</si>
  <si>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</si>
  <si>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</si>
  <si>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</si>
  <si>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</si>
  <si>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</si>
  <si>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</si>
  <si>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</si>
  <si>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</si>
  <si>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</si>
  <si>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</si>
  <si>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</si>
  <si>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</si>
  <si>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</si>
  <si>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</si>
  <si>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</si>
  <si>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</si>
  <si>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</si>
  <si>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</si>
  <si>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</si>
  <si>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</si>
  <si>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</si>
  <si>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</si>
  <si>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</si>
  <si>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</si>
  <si>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</si>
  <si>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</si>
  <si>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</si>
  <si>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</si>
  <si>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</si>
  <si>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</si>
  <si>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</si>
  <si>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</si>
  <si>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</si>
  <si>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</si>
  <si>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</si>
  <si>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</si>
  <si>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</si>
  <si>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</si>
  <si>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</si>
  <si>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</si>
  <si>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</si>
  <si>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</si>
  <si>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</si>
  <si>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</si>
  <si>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</si>
  <si>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</si>
  <si>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</si>
  <si>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</si>
  <si>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</si>
  <si>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</si>
  <si>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</si>
  <si>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</si>
  <si>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</si>
  <si>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</si>
  <si>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</si>
  <si>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</si>
  <si>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</si>
  <si>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</si>
  <si>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</si>
  <si>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</si>
  <si>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</si>
  <si>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</si>
  <si>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</si>
  <si>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</si>
  <si>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</si>
  <si>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</si>
  <si>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</si>
  <si>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</si>
  <si>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</si>
  <si>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</si>
  <si>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</si>
  <si>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</si>
  <si>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</si>
  <si>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</si>
  <si>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</si>
  <si>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</si>
  <si>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</si>
  <si>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</si>
  <si>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</si>
  <si>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</si>
  <si>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</si>
  <si>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</si>
  <si>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</si>
  <si>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</si>
  <si>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</si>
  <si>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</si>
  <si>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</si>
  <si>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</si>
  <si>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</si>
  <si>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</si>
  <si>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</si>
  <si>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</si>
  <si>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</si>
  <si>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</si>
  <si>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</si>
  <si>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</si>
  <si>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</si>
  <si>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</si>
  <si>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</si>
  <si>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</si>
  <si>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</si>
  <si>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</si>
  <si>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</si>
  <si>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</si>
  <si>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</si>
  <si>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</si>
  <si>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</si>
  <si>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</si>
  <si>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</si>
  <si>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</si>
  <si>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</si>
  <si>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</si>
  <si>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</si>
  <si>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</si>
  <si>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</si>
  <si>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</si>
  <si>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</si>
  <si>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</si>
  <si>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</si>
  <si>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</si>
  <si>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</si>
  <si>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</si>
  <si>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</si>
  <si>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</si>
  <si>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</si>
  <si>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</si>
  <si>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</si>
  <si>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</si>
  <si>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</si>
  <si>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</si>
  <si>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</si>
  <si>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</si>
  <si>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</si>
  <si>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</si>
  <si>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</si>
  <si>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</si>
  <si>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</si>
  <si>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</si>
  <si>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</si>
  <si>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</si>
  <si>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</si>
  <si>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</si>
  <si>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</si>
  <si>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</si>
  <si>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</si>
  <si>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</si>
  <si>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</si>
  <si>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</si>
  <si>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</si>
  <si>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</si>
  <si>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</si>
  <si>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</si>
  <si>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</si>
  <si>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</si>
  <si>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</si>
  <si>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</si>
  <si>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</si>
  <si>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</si>
  <si>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</si>
  <si>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</si>
  <si>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</si>
  <si>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</si>
  <si>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</si>
  <si>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</si>
  <si>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</si>
  <si>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</si>
  <si>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</si>
  <si>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</si>
  <si>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</si>
  <si>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</si>
  <si>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</si>
  <si>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</si>
  <si>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</si>
  <si>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</si>
  <si>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</si>
  <si>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</si>
  <si>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</si>
  <si>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</si>
  <si>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</si>
  <si>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</si>
  <si>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</si>
  <si>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</si>
  <si>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</si>
  <si>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</si>
  <si>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</si>
  <si>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</si>
  <si>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</si>
  <si>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</si>
  <si>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</si>
  <si>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</si>
  <si>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</si>
  <si>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r>
      <t>2</t>
    </r>
    <r>
      <rPr>
        <sz val="11"/>
        <color theme="1"/>
        <rFont val="宋体"/>
        <family val="3"/>
        <charset val="134"/>
        <scheme val="minor"/>
      </rPr>
      <t>022年11月7日拍卖取得</t>
    </r>
    <phoneticPr fontId="134" type="noConversion"/>
  </si>
  <si>
    <t>成交价</t>
    <phoneticPr fontId="134" type="noConversion"/>
  </si>
  <si>
    <t>万元</t>
    <phoneticPr fontId="134" type="noConversion"/>
  </si>
  <si>
    <t>租赁合同</t>
    <phoneticPr fontId="134" type="noConversion"/>
  </si>
  <si>
    <t>建筑面积</t>
    <phoneticPr fontId="134" type="noConversion"/>
  </si>
  <si>
    <t>另有无证地下面积</t>
    <phoneticPr fontId="134" type="noConversion"/>
  </si>
  <si>
    <t>免租期</t>
    <phoneticPr fontId="134" type="noConversion"/>
  </si>
  <si>
    <t>个月</t>
    <phoneticPr fontId="134" type="noConversion"/>
  </si>
  <si>
    <t>付款方式</t>
    <phoneticPr fontId="134" type="noConversion"/>
  </si>
  <si>
    <t>季付</t>
    <phoneticPr fontId="134" type="noConversion"/>
  </si>
  <si>
    <t>年租金</t>
    <phoneticPr fontId="134" type="noConversion"/>
  </si>
  <si>
    <t>第三年开始递增，每两年递增6%</t>
    <phoneticPr fontId="134" type="noConversion"/>
  </si>
  <si>
    <t>押金</t>
    <phoneticPr fontId="134" type="noConversion"/>
  </si>
  <si>
    <t>第一年</t>
    <phoneticPr fontId="134" type="noConversion"/>
  </si>
  <si>
    <t>第二年</t>
    <phoneticPr fontId="134" type="noConversion"/>
  </si>
  <si>
    <t>第三年</t>
    <phoneticPr fontId="134" type="noConversion"/>
  </si>
  <si>
    <t>第四年</t>
    <phoneticPr fontId="134" type="noConversion"/>
  </si>
  <si>
    <t>第五年</t>
    <phoneticPr fontId="134" type="noConversion"/>
  </si>
  <si>
    <t>第六年</t>
    <phoneticPr fontId="134" type="noConversion"/>
  </si>
  <si>
    <t>第七年</t>
    <phoneticPr fontId="134" type="noConversion"/>
  </si>
  <si>
    <t>第八年</t>
    <phoneticPr fontId="134" type="noConversion"/>
  </si>
  <si>
    <t>第九年</t>
    <phoneticPr fontId="134" type="noConversion"/>
  </si>
  <si>
    <t>第十年</t>
    <phoneticPr fontId="134" type="noConversion"/>
  </si>
  <si>
    <t>日租金</t>
    <phoneticPr fontId="134" type="noConversion"/>
  </si>
  <si>
    <t>不含地下面积日租金</t>
    <phoneticPr fontId="134" type="noConversion"/>
  </si>
  <si>
    <t>元/平方米</t>
    <phoneticPr fontId="134" type="noConversion"/>
  </si>
  <si>
    <t>抵押</t>
  </si>
  <si>
    <t>房地产抵押价值</t>
  </si>
  <si>
    <t>北京市</t>
  </si>
  <si>
    <t>企业</t>
  </si>
  <si>
    <r>
      <rPr>
        <sz val="10"/>
        <color theme="9" tint="-0.249977111117893"/>
        <rFont val="宋体"/>
        <family val="3"/>
        <charset val="134"/>
      </rPr>
      <t>海淀区蓝靛厂晨月园甲</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层等</t>
    </r>
    <r>
      <rPr>
        <sz val="10"/>
        <color theme="9" tint="-0.249977111117893"/>
        <rFont val="Arial"/>
        <family val="2"/>
      </rPr>
      <t>[2]</t>
    </r>
    <r>
      <rPr>
        <sz val="10"/>
        <color theme="9" tint="-0.249977111117893"/>
        <rFont val="宋体"/>
        <family val="3"/>
        <charset val="134"/>
      </rPr>
      <t>套</t>
    </r>
    <phoneticPr fontId="6" type="noConversion"/>
  </si>
  <si>
    <t>北京美丽德装饰工程有限责任公司</t>
    <phoneticPr fontId="6" type="noConversion"/>
  </si>
  <si>
    <t>产权证</t>
    <phoneticPr fontId="3" type="noConversion"/>
  </si>
  <si>
    <t>成新度</t>
  </si>
  <si>
    <t>曙光街道</t>
    <phoneticPr fontId="3" type="noConversion"/>
  </si>
  <si>
    <t>收益法 (元)</t>
  </si>
  <si>
    <t>是</t>
  </si>
  <si>
    <t>否</t>
  </si>
  <si>
    <t>商业项目</t>
  </si>
  <si>
    <t>现房</t>
  </si>
  <si>
    <t>地上</t>
  </si>
  <si>
    <r>
      <t>01</t>
    </r>
    <r>
      <rPr>
        <sz val="10"/>
        <color indexed="8"/>
        <rFont val="宋体"/>
        <family val="3"/>
        <charset val="134"/>
      </rPr>
      <t>层</t>
    </r>
    <phoneticPr fontId="3" type="noConversion"/>
  </si>
  <si>
    <r>
      <t>02</t>
    </r>
    <r>
      <rPr>
        <sz val="10"/>
        <color indexed="8"/>
        <rFont val="宋体"/>
        <family val="3"/>
        <charset val="134"/>
      </rPr>
      <t>层</t>
    </r>
    <phoneticPr fontId="3" type="noConversion"/>
  </si>
  <si>
    <t>商业</t>
    <phoneticPr fontId="7" type="noConversion"/>
  </si>
  <si>
    <t>钢混</t>
  </si>
  <si>
    <t>非生产用房</t>
  </si>
  <si>
    <t>押一</t>
  </si>
  <si>
    <t>根据建成年代推算</t>
    <phoneticPr fontId="6" type="noConversion"/>
  </si>
  <si>
    <t>郑燚</t>
  </si>
  <si>
    <t>单套模式</t>
  </si>
  <si>
    <t>售价</t>
  </si>
  <si>
    <t>观山园</t>
    <phoneticPr fontId="3" type="noConversion"/>
  </si>
  <si>
    <t>西屋国际</t>
    <phoneticPr fontId="3" type="noConversion"/>
  </si>
  <si>
    <t>晨月园</t>
    <phoneticPr fontId="3" type="noConversion"/>
  </si>
  <si>
    <t>正常</t>
  </si>
  <si>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</si>
  <si>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</si>
  <si>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</si>
  <si>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</si>
  <si>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</si>
  <si>
    <r>
      <t>30-40</t>
    </r>
    <r>
      <rPr>
        <sz val="11"/>
        <rFont val="宋体"/>
        <family val="3"/>
        <charset val="134"/>
      </rPr>
      <t>（含）</t>
    </r>
    <phoneticPr fontId="30" type="noConversion"/>
  </si>
  <si>
    <t>双面临街</t>
    <phoneticPr fontId="30" type="noConversion"/>
  </si>
  <si>
    <t>单面临街</t>
  </si>
  <si>
    <t>单面临街</t>
    <phoneticPr fontId="30" type="noConversion"/>
  </si>
  <si>
    <t>较好</t>
  </si>
  <si>
    <t>较好</t>
    <phoneticPr fontId="30" type="noConversion"/>
  </si>
  <si>
    <t>大</t>
    <phoneticPr fontId="30" type="noConversion"/>
  </si>
  <si>
    <t>较大</t>
  </si>
  <si>
    <t>较大</t>
    <phoneticPr fontId="30" type="noConversion"/>
  </si>
  <si>
    <t>一般</t>
  </si>
  <si>
    <t>一般</t>
    <phoneticPr fontId="30" type="noConversion"/>
  </si>
  <si>
    <t>较小</t>
  </si>
  <si>
    <t>较小</t>
    <phoneticPr fontId="30" type="noConversion"/>
  </si>
  <si>
    <t>小</t>
    <phoneticPr fontId="30"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</si>
  <si>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</si>
  <si>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</si>
  <si>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</si>
  <si>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配套商业</t>
  </si>
  <si>
    <t>配套商业</t>
    <phoneticPr fontId="30" type="noConversion"/>
  </si>
  <si>
    <t>钢混</t>
    <phoneticPr fontId="30" type="noConversion"/>
  </si>
  <si>
    <t>七通</t>
  </si>
  <si>
    <t>七通</t>
    <phoneticPr fontId="30" type="noConversion"/>
  </si>
  <si>
    <t>六通</t>
    <phoneticPr fontId="30" type="noConversion"/>
  </si>
  <si>
    <t>五通</t>
    <phoneticPr fontId="30" type="noConversion"/>
  </si>
  <si>
    <t>四通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</si>
  <si>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</si>
  <si>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</si>
  <si>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</si>
  <si>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</si>
  <si>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</si>
  <si>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</si>
  <si>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精装修</t>
  </si>
  <si>
    <t>精装修</t>
    <phoneticPr fontId="30" type="noConversion"/>
  </si>
  <si>
    <t>普通装修</t>
  </si>
  <si>
    <t>普通装修</t>
    <phoneticPr fontId="30" type="noConversion"/>
  </si>
  <si>
    <t>简单装修</t>
  </si>
  <si>
    <t>简单装修</t>
    <phoneticPr fontId="30" type="noConversion"/>
  </si>
  <si>
    <t>毛坯</t>
    <phoneticPr fontId="30" type="noConversion"/>
  </si>
  <si>
    <t>商业</t>
    <phoneticPr fontId="30" type="noConversion"/>
  </si>
  <si>
    <r>
      <t>20-30</t>
    </r>
    <r>
      <rPr>
        <sz val="11"/>
        <color indexed="8"/>
        <rFont val="宋体"/>
        <family val="3"/>
        <charset val="134"/>
      </rPr>
      <t>（含）</t>
    </r>
    <phoneticPr fontId="30" type="noConversion"/>
  </si>
  <si>
    <r>
      <t>10-20</t>
    </r>
    <r>
      <rPr>
        <sz val="11"/>
        <color indexed="8"/>
        <rFont val="宋体"/>
        <family val="3"/>
        <charset val="134"/>
      </rPr>
      <t>（含）</t>
    </r>
    <phoneticPr fontId="30" type="noConversion"/>
  </si>
  <si>
    <t>三部</t>
    <phoneticPr fontId="30" type="noConversion"/>
  </si>
  <si>
    <t>1-2层</t>
  </si>
  <si>
    <t>1层</t>
  </si>
  <si>
    <t>租金</t>
  </si>
  <si>
    <t>1层</t>
    <phoneticPr fontId="134" type="noConversion"/>
  </si>
  <si>
    <t>2层</t>
    <phoneticPr fontId="134" type="noConversion"/>
  </si>
  <si>
    <r>
      <t>1</t>
    </r>
    <r>
      <rPr>
        <sz val="11"/>
        <color theme="1"/>
        <rFont val="宋体"/>
        <family val="3"/>
        <charset val="134"/>
        <scheme val="minor"/>
      </rPr>
      <t>-2层</t>
    </r>
    <phoneticPr fontId="134" type="noConversion"/>
  </si>
  <si>
    <t>系数</t>
    <phoneticPr fontId="134" type="noConversion"/>
  </si>
  <si>
    <t>地下一层</t>
    <phoneticPr fontId="134" type="noConversion"/>
  </si>
  <si>
    <t>地下1、1、2层</t>
    <phoneticPr fontId="134" type="noConversion"/>
  </si>
  <si>
    <t>比较法-商业</t>
  </si>
  <si>
    <t>郦城工作区</t>
    <phoneticPr fontId="3" type="noConversion"/>
  </si>
  <si>
    <t>金雅园南区</t>
    <phoneticPr fontId="3" type="noConversion"/>
  </si>
  <si>
    <t>定慧福里北区</t>
    <phoneticPr fontId="3" type="noConversion"/>
  </si>
  <si>
    <t>楼面单价</t>
  </si>
  <si>
    <t>自定义</t>
  </si>
  <si>
    <t>情况4</t>
  </si>
  <si>
    <t>转让取得</t>
  </si>
  <si>
    <t>非个人房产</t>
  </si>
  <si>
    <t>买卖合同</t>
  </si>
  <si>
    <t>2016年5月1日后购买</t>
  </si>
  <si>
    <t>取值</t>
    <phoneticPr fontId="134" type="noConversion"/>
  </si>
  <si>
    <t>1-2层有产权证，地下面积无证</t>
    <phoneticPr fontId="134" type="noConversion"/>
  </si>
  <si>
    <t>楼层</t>
    <phoneticPr fontId="134" type="noConversion"/>
  </si>
  <si>
    <t>成交单价</t>
    <phoneticPr fontId="134" type="noConversion"/>
  </si>
  <si>
    <r>
      <t>晨月园1层报价</t>
    </r>
    <r>
      <rPr>
        <sz val="11"/>
        <color theme="1"/>
        <rFont val="宋体"/>
        <family val="3"/>
        <charset val="134"/>
        <scheme val="minor"/>
      </rPr>
      <t>8万</t>
    </r>
    <phoneticPr fontId="134" type="noConversion"/>
  </si>
  <si>
    <t>银行着急报数，后期不能更改，先测算后补现场，已询问产权方，无超高层高，有燃气，可餐饮</t>
    <phoneticPr fontId="134" type="noConversion"/>
  </si>
  <si>
    <t>标准层高</t>
    <phoneticPr fontId="134" type="noConversion"/>
  </si>
  <si>
    <t>不可餐饮</t>
    <phoneticPr fontId="134" type="noConversion"/>
  </si>
  <si>
    <t>华夏银行</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</si>
</sst>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202" formatCode="0.0000"/>
    <numFmt numFmtId="206" formatCode="0.0000;_쐀"/>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0" fillId="0" borderId="0" xfId="0" applyNumberFormat="1">
      <alignment vertical="center"/>
    </xf>
    <xf numFmtId="9" fontId="0" fillId="0" borderId="0" xfId="0" applyNumberFormat="1">
      <alignment vertical="center"/>
    </xf>
    <xf numFmtId="14" fontId="0" fillId="5" borderId="0" xfId="0" applyNumberFormat="1" applyFill="1">
      <alignment vertical="center"/>
    </xf>
    <xf numFmtId="0" fontId="95" fillId="5" borderId="0" xfId="0" applyFont="1" applyFill="1">
      <alignment vertical="center"/>
    </xf>
    <xf numFmtId="9"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76" fontId="47"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xf numFmtId="0" fontId="113" fillId="6" borderId="13" xfId="0" applyFont="1" applyFill="1" applyBorder="1">
      <alignment vertical="center"/>
    </xf>
    <xf numFmtId="186" fontId="54" fillId="6" borderId="1" xfId="0" applyNumberFormat="1" applyFont="1" applyFill="1" applyBorder="1" applyAlignment="1">
      <alignment horizontal="left" vertical="center" wrapText="1"/>
    </xf>
    <xf numFmtId="186" fontId="54" fillId="6" borderId="32" xfId="0" applyNumberFormat="1" applyFont="1" applyFill="1" applyBorder="1" applyAlignment="1">
      <alignment horizontal="left" vertical="center" wrapText="1"/>
    </xf>
    <xf numFmtId="202" fontId="113" fillId="6" borderId="4" xfId="0" applyNumberFormat="1" applyFont="1" applyFill="1" applyBorder="1" applyAlignment="1">
      <alignment horizontal="left" vertical="center"/>
    </xf>
    <xf numFmtId="186" fontId="139" fillId="6" borderId="2" xfId="0" applyNumberFormat="1" applyFont="1" applyFill="1" applyBorder="1" applyAlignment="1">
      <alignment horizontal="left" vertical="center" wrapText="1"/>
    </xf>
    <xf numFmtId="186" fontId="113" fillId="6" borderId="1" xfId="0" applyNumberFormat="1" applyFont="1" applyFill="1" applyBorder="1" applyAlignment="1">
      <alignment horizontal="left" vertical="center" wrapText="1"/>
    </xf>
    <xf numFmtId="186" fontId="139" fillId="6" borderId="1" xfId="0" applyNumberFormat="1" applyFont="1" applyFill="1" applyBorder="1" applyAlignment="1">
      <alignment horizontal="left" vertical="center" wrapText="1"/>
    </xf>
    <xf numFmtId="202" fontId="113" fillId="0" borderId="1" xfId="0" applyNumberFormat="1" applyFont="1" applyBorder="1" applyAlignment="1" applyProtection="1">
      <alignment horizontal="left" vertical="center" wrapText="1"/>
      <protection locked="0"/>
    </xf>
    <xf numFmtId="206" fontId="113" fillId="6" borderId="1" xfId="0" applyNumberFormat="1" applyFont="1" applyFill="1" applyBorder="1" applyAlignment="1">
      <alignment horizontal="left" vertical="center" wrapText="1"/>
    </xf>
    <xf numFmtId="181" fontId="139" fillId="6" borderId="1" xfId="0" applyNumberFormat="1" applyFont="1" applyFill="1" applyBorder="1" applyAlignment="1">
      <alignment horizontal="left" vertical="center" wrapText="1"/>
    </xf>
    <xf numFmtId="202" fontId="139" fillId="6" borderId="32" xfId="0" applyNumberFormat="1" applyFont="1" applyFill="1" applyBorder="1" applyAlignment="1">
      <alignment horizontal="left" vertical="center" wrapText="1"/>
    </xf>
    <xf numFmtId="0" fontId="77" fillId="7" borderId="5" xfId="0" applyFont="1" applyFill="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264127</xdr:colOff>
      <xdr:row>41</xdr:row>
      <xdr:rowOff>106650</xdr:rowOff>
    </xdr:to>
    <xdr:pic>
      <xdr:nvPicPr>
        <xdr:cNvPr id="3" name="图片 2">
          <a:extLst>
            <a:ext uri="{FF2B5EF4-FFF2-40B4-BE49-F238E27FC236}">
              <a16:creationId xmlns:a16="http://schemas.microsoft.com/office/drawing/2014/main" id="{A3EE9351-1101-CCF6-54B3-0314F4A0249B}"/>
            </a:ext>
          </a:extLst>
        </xdr:cNvPr>
        <xdr:cNvPicPr>
          <a:picLocks noChangeAspect="1"/>
        </xdr:cNvPicPr>
      </xdr:nvPicPr>
      <xdr:blipFill>
        <a:blip xmlns:r="http://schemas.openxmlformats.org/officeDocument/2006/relationships" r:embed="rId1"/>
        <a:stretch>
          <a:fillRect/>
        </a:stretch>
      </xdr:blipFill>
      <xdr:spPr>
        <a:xfrm>
          <a:off x="0" y="0"/>
          <a:ext cx="8188927" cy="7396450"/>
        </a:xfrm>
        <a:prstGeom prst="rect">
          <a:avLst/>
        </a:prstGeom>
      </xdr:spPr>
    </xdr:pic>
    <xdr:clientData/>
  </xdr:twoCellAnchor>
  <xdr:twoCellAnchor editAs="oneCell">
    <xdr:from>
      <xdr:col>0</xdr:col>
      <xdr:colOff>88900</xdr:colOff>
      <xdr:row>42</xdr:row>
      <xdr:rowOff>44450</xdr:rowOff>
    </xdr:from>
    <xdr:to>
      <xdr:col>13</xdr:col>
      <xdr:colOff>412700</xdr:colOff>
      <xdr:row>85</xdr:row>
      <xdr:rowOff>119345</xdr:rowOff>
    </xdr:to>
    <xdr:pic>
      <xdr:nvPicPr>
        <xdr:cNvPr id="4" name="图片 3">
          <a:extLst>
            <a:ext uri="{FF2B5EF4-FFF2-40B4-BE49-F238E27FC236}">
              <a16:creationId xmlns:a16="http://schemas.microsoft.com/office/drawing/2014/main" id="{94DB3434-6C7F-1EEA-A4B5-DE41BC1DD350}"/>
            </a:ext>
          </a:extLst>
        </xdr:cNvPr>
        <xdr:cNvPicPr>
          <a:picLocks noChangeAspect="1"/>
        </xdr:cNvPicPr>
      </xdr:nvPicPr>
      <xdr:blipFill>
        <a:blip xmlns:r="http://schemas.openxmlformats.org/officeDocument/2006/relationships" r:embed="rId2"/>
        <a:stretch>
          <a:fillRect/>
        </a:stretch>
      </xdr:blipFill>
      <xdr:spPr>
        <a:xfrm>
          <a:off x="88900" y="7512050"/>
          <a:ext cx="8248600" cy="7720295"/>
        </a:xfrm>
        <a:prstGeom prst="rect">
          <a:avLst/>
        </a:prstGeom>
      </xdr:spPr>
    </xdr:pic>
    <xdr:clientData/>
  </xdr:twoCellAnchor>
  <xdr:twoCellAnchor editAs="oneCell">
    <xdr:from>
      <xdr:col>0</xdr:col>
      <xdr:colOff>260351</xdr:colOff>
      <xdr:row>85</xdr:row>
      <xdr:rowOff>152400</xdr:rowOff>
    </xdr:from>
    <xdr:to>
      <xdr:col>13</xdr:col>
      <xdr:colOff>524695</xdr:colOff>
      <xdr:row>126</xdr:row>
      <xdr:rowOff>176517</xdr:rowOff>
    </xdr:to>
    <xdr:pic>
      <xdr:nvPicPr>
        <xdr:cNvPr id="5" name="图片 4">
          <a:extLst>
            <a:ext uri="{FF2B5EF4-FFF2-40B4-BE49-F238E27FC236}">
              <a16:creationId xmlns:a16="http://schemas.microsoft.com/office/drawing/2014/main" id="{2620611D-3D98-D7B0-B593-26E1A23D5056}"/>
            </a:ext>
          </a:extLst>
        </xdr:cNvPr>
        <xdr:cNvPicPr>
          <a:picLocks noChangeAspect="1"/>
        </xdr:cNvPicPr>
      </xdr:nvPicPr>
      <xdr:blipFill>
        <a:blip xmlns:r="http://schemas.openxmlformats.org/officeDocument/2006/relationships" r:embed="rId3"/>
        <a:stretch>
          <a:fillRect/>
        </a:stretch>
      </xdr:blipFill>
      <xdr:spPr>
        <a:xfrm>
          <a:off x="260351" y="15265400"/>
          <a:ext cx="8189144" cy="7313917"/>
        </a:xfrm>
        <a:prstGeom prst="rect">
          <a:avLst/>
        </a:prstGeom>
      </xdr:spPr>
    </xdr:pic>
    <xdr:clientData/>
  </xdr:twoCellAnchor>
  <xdr:twoCellAnchor editAs="oneCell">
    <xdr:from>
      <xdr:col>22</xdr:col>
      <xdr:colOff>501650</xdr:colOff>
      <xdr:row>90</xdr:row>
      <xdr:rowOff>50800</xdr:rowOff>
    </xdr:from>
    <xdr:to>
      <xdr:col>42</xdr:col>
      <xdr:colOff>433459</xdr:colOff>
      <xdr:row>117</xdr:row>
      <xdr:rowOff>78771</xdr:rowOff>
    </xdr:to>
    <xdr:pic>
      <xdr:nvPicPr>
        <xdr:cNvPr id="7" name="图片 6">
          <a:extLst>
            <a:ext uri="{FF2B5EF4-FFF2-40B4-BE49-F238E27FC236}">
              <a16:creationId xmlns:a16="http://schemas.microsoft.com/office/drawing/2014/main" id="{CCCCA718-F9DE-30D4-40F8-A21AAD079575}"/>
            </a:ext>
          </a:extLst>
        </xdr:cNvPr>
        <xdr:cNvPicPr>
          <a:picLocks noChangeAspect="1"/>
        </xdr:cNvPicPr>
      </xdr:nvPicPr>
      <xdr:blipFill>
        <a:blip xmlns:r="http://schemas.openxmlformats.org/officeDocument/2006/relationships" r:embed="rId4"/>
        <a:stretch>
          <a:fillRect/>
        </a:stretch>
      </xdr:blipFill>
      <xdr:spPr>
        <a:xfrm>
          <a:off x="13912850" y="16052800"/>
          <a:ext cx="12123809" cy="48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562502</xdr:colOff>
      <xdr:row>38</xdr:row>
      <xdr:rowOff>119400</xdr:rowOff>
    </xdr:to>
    <xdr:pic>
      <xdr:nvPicPr>
        <xdr:cNvPr id="2" name="图片 1">
          <a:extLst>
            <a:ext uri="{FF2B5EF4-FFF2-40B4-BE49-F238E27FC236}">
              <a16:creationId xmlns:a16="http://schemas.microsoft.com/office/drawing/2014/main" id="{51B2638E-1C36-0290-F47D-0A30E01DADF1}"/>
            </a:ext>
          </a:extLst>
        </xdr:cNvPr>
        <xdr:cNvPicPr>
          <a:picLocks noChangeAspect="1"/>
        </xdr:cNvPicPr>
      </xdr:nvPicPr>
      <xdr:blipFill>
        <a:blip xmlns:r="http://schemas.openxmlformats.org/officeDocument/2006/relationships" r:embed="rId1"/>
        <a:stretch>
          <a:fillRect/>
        </a:stretch>
      </xdr:blipFill>
      <xdr:spPr>
        <a:xfrm>
          <a:off x="0" y="0"/>
          <a:ext cx="7877702" cy="6875800"/>
        </a:xfrm>
        <a:prstGeom prst="rect">
          <a:avLst/>
        </a:prstGeom>
      </xdr:spPr>
    </xdr:pic>
    <xdr:clientData/>
  </xdr:twoCellAnchor>
  <xdr:twoCellAnchor editAs="oneCell">
    <xdr:from>
      <xdr:col>0</xdr:col>
      <xdr:colOff>1</xdr:colOff>
      <xdr:row>40</xdr:row>
      <xdr:rowOff>133350</xdr:rowOff>
    </xdr:from>
    <xdr:to>
      <xdr:col>12</xdr:col>
      <xdr:colOff>561403</xdr:colOff>
      <xdr:row>82</xdr:row>
      <xdr:rowOff>128864</xdr:rowOff>
    </xdr:to>
    <xdr:pic>
      <xdr:nvPicPr>
        <xdr:cNvPr id="3" name="图片 2">
          <a:extLst>
            <a:ext uri="{FF2B5EF4-FFF2-40B4-BE49-F238E27FC236}">
              <a16:creationId xmlns:a16="http://schemas.microsoft.com/office/drawing/2014/main" id="{64035ED0-1468-60E6-D2F9-C0348449F710}"/>
            </a:ext>
          </a:extLst>
        </xdr:cNvPr>
        <xdr:cNvPicPr>
          <a:picLocks noChangeAspect="1"/>
        </xdr:cNvPicPr>
      </xdr:nvPicPr>
      <xdr:blipFill>
        <a:blip xmlns:r="http://schemas.openxmlformats.org/officeDocument/2006/relationships" r:embed="rId2"/>
        <a:stretch>
          <a:fillRect/>
        </a:stretch>
      </xdr:blipFill>
      <xdr:spPr>
        <a:xfrm>
          <a:off x="1" y="7245350"/>
          <a:ext cx="7876602" cy="7463114"/>
        </a:xfrm>
        <a:prstGeom prst="rect">
          <a:avLst/>
        </a:prstGeom>
      </xdr:spPr>
    </xdr:pic>
    <xdr:clientData/>
  </xdr:twoCellAnchor>
  <xdr:twoCellAnchor editAs="oneCell">
    <xdr:from>
      <xdr:col>0</xdr:col>
      <xdr:colOff>38100</xdr:colOff>
      <xdr:row>84</xdr:row>
      <xdr:rowOff>0</xdr:rowOff>
    </xdr:from>
    <xdr:to>
      <xdr:col>12</xdr:col>
      <xdr:colOff>540577</xdr:colOff>
      <xdr:row>121</xdr:row>
      <xdr:rowOff>163831</xdr:rowOff>
    </xdr:to>
    <xdr:pic>
      <xdr:nvPicPr>
        <xdr:cNvPr id="4" name="图片 3">
          <a:extLst>
            <a:ext uri="{FF2B5EF4-FFF2-40B4-BE49-F238E27FC236}">
              <a16:creationId xmlns:a16="http://schemas.microsoft.com/office/drawing/2014/main" id="{017DD3C3-562C-E7CD-FB43-D4F5CBDEC5F7}"/>
            </a:ext>
          </a:extLst>
        </xdr:cNvPr>
        <xdr:cNvPicPr>
          <a:picLocks noChangeAspect="1"/>
        </xdr:cNvPicPr>
      </xdr:nvPicPr>
      <xdr:blipFill>
        <a:blip xmlns:r="http://schemas.openxmlformats.org/officeDocument/2006/relationships" r:embed="rId3"/>
        <a:stretch>
          <a:fillRect/>
        </a:stretch>
      </xdr:blipFill>
      <xdr:spPr>
        <a:xfrm>
          <a:off x="38100" y="14935200"/>
          <a:ext cx="7817677" cy="6742431"/>
        </a:xfrm>
        <a:prstGeom prst="rect">
          <a:avLst/>
        </a:prstGeom>
      </xdr:spPr>
    </xdr:pic>
    <xdr:clientData/>
  </xdr:twoCellAnchor>
  <xdr:twoCellAnchor editAs="oneCell">
    <xdr:from>
      <xdr:col>20</xdr:col>
      <xdr:colOff>336550</xdr:colOff>
      <xdr:row>29</xdr:row>
      <xdr:rowOff>19050</xdr:rowOff>
    </xdr:from>
    <xdr:to>
      <xdr:col>29</xdr:col>
      <xdr:colOff>17817</xdr:colOff>
      <xdr:row>45</xdr:row>
      <xdr:rowOff>107250</xdr:rowOff>
    </xdr:to>
    <xdr:pic>
      <xdr:nvPicPr>
        <xdr:cNvPr id="5" name="图片 4">
          <a:extLst>
            <a:ext uri="{FF2B5EF4-FFF2-40B4-BE49-F238E27FC236}">
              <a16:creationId xmlns:a16="http://schemas.microsoft.com/office/drawing/2014/main" id="{E44FDD15-BC76-43C8-8EEE-93D014E6818E}"/>
            </a:ext>
          </a:extLst>
        </xdr:cNvPr>
        <xdr:cNvPicPr>
          <a:picLocks noChangeAspect="1"/>
        </xdr:cNvPicPr>
      </xdr:nvPicPr>
      <xdr:blipFill>
        <a:blip xmlns:r="http://schemas.openxmlformats.org/officeDocument/2006/relationships" r:embed="rId4"/>
        <a:stretch>
          <a:fillRect/>
        </a:stretch>
      </xdr:blipFill>
      <xdr:spPr>
        <a:xfrm>
          <a:off x="12528550" y="5175250"/>
          <a:ext cx="5167667" cy="2933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北京市海淀区蓝靛厂晨月园甲3号楼1层01层等[2]套房地产抵押价值预评估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受贵公司委托，我公司对北京市海淀区蓝靛厂晨月园甲3号楼1层01层等[2]套房地产抵押价值进行了预评估。</v>
      </c>
    </row>
    <row r="7" spans="1:2">
      <c r="A7" s="1119" t="s">
        <v>566</v>
      </c>
      <c r="B7" s="1120" t="str">
        <f>'预评函-1'!A7</f>
        <v>估价对象为北京市海淀区蓝靛厂晨月园甲3号楼1层01层等[2]套房地产，为北京美丽德装饰工程有限责任公司所有。根据《国有土地使用证》[]，估价对象（分摊）出让国有建设用地使用权面积为0平方米，建筑面积为887.22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蓝靛厂晨月园甲3号楼1层01层等[2]套房地产,属北京美丽德装饰工程有限责任公司开发建设的商业项目，该项目尚在开发建设中。根据《国有土地使用证》[]，估价对象（分摊）出让国有建设用地使用权面积为0平方米，规划建筑面积为887.22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为估价委托人在向华夏银行办理贷款手续过程中，确定房地产抵押贷款额度提供参考依据而评估房地产抵押价值。</v>
      </c>
    </row>
    <row r="12" spans="1:2">
      <c r="A12" s="1119" t="s">
        <v>528</v>
      </c>
      <c r="B12" s="1120" t="str">
        <f>'预评函-1'!A15</f>
        <v>2025年9月9日（评估专业人员实地查勘之日）</v>
      </c>
    </row>
    <row r="13" spans="1:2">
      <c r="A13" s="1119" t="s">
        <v>529</v>
      </c>
      <c r="B13" s="1120"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5151.8203999999996</v>
      </c>
    </row>
    <row r="21" spans="1:2">
      <c r="A21" s="1119" t="s">
        <v>537</v>
      </c>
      <c r="B21" s="1120">
        <f ca="1">'预评函-2'!D7</f>
        <v>58067</v>
      </c>
    </row>
    <row r="22" spans="1:2">
      <c r="A22" s="1119" t="s">
        <v>538</v>
      </c>
      <c r="B22" s="1120" t="str">
        <f ca="1">'预评函-2'!D6</f>
        <v>伍仟壹佰伍拾壹万捌仟贰佰零肆元整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5151.8203999999996</v>
      </c>
    </row>
    <row r="31" spans="1:2">
      <c r="A31" s="1119" t="s">
        <v>576</v>
      </c>
      <c r="B31" s="1120">
        <f ca="1">'预评函-2'!D15</f>
        <v>58067</v>
      </c>
    </row>
    <row r="32" spans="1:2">
      <c r="A32" s="1119" t="s">
        <v>543</v>
      </c>
      <c r="B32" s="1120" t="str">
        <f ca="1">'预评函-2'!D14</f>
        <v>伍仟壹佰伍拾壹万捌仟贰佰零肆元整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5149.2444999999998</v>
      </c>
    </row>
    <row r="39" spans="1:2">
      <c r="A39" s="1119" t="s">
        <v>545</v>
      </c>
      <c r="B39" s="1120">
        <f ca="1">'预评函-2'!D21</f>
        <v>58038</v>
      </c>
    </row>
    <row r="40" spans="1:2">
      <c r="A40" s="1119" t="s">
        <v>546</v>
      </c>
      <c r="B40" s="1120" t="str">
        <f ca="1">'预评函-2'!D20</f>
        <v>伍仟壹佰肆拾玖万贰仟肆佰肆拾伍元整</v>
      </c>
    </row>
    <row r="41" spans="1:2">
      <c r="A41" s="1119" t="s">
        <v>592</v>
      </c>
      <c r="B41" s="1120" t="str">
        <f>'预评函-3'!A4</f>
        <v>北京市海淀区蓝靛厂晨月园甲3号楼1层01层等[2]套房地产</v>
      </c>
    </row>
    <row r="42" spans="1:2" ht="30">
      <c r="A42" s="1119" t="s">
        <v>590</v>
      </c>
      <c r="B42" s="1120" t="str">
        <f>'预评函-3'!B2</f>
        <v>建筑面积</v>
      </c>
    </row>
    <row r="43" spans="1:2">
      <c r="A43" s="1119" t="s">
        <v>591</v>
      </c>
      <c r="B43" s="1120">
        <f>'预评函-3'!B4</f>
        <v>887.22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晨月园甲3号楼1层01层等[2]套房地产作为抵押担保物，向华夏银行办理贷款手续。华夏银行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3"/>
    <col min="8" max="8" width="5.453125" style="2753" customWidth="1"/>
    <col min="9" max="13" width="9.453125" style="2794" customWidth="1"/>
    <col min="14" max="18" width="9.453125" style="2753" customWidth="1"/>
    <col min="19" max="16384" width="15.26953125" style="2753"/>
  </cols>
  <sheetData>
    <row r="1" spans="1:18">
      <c r="A1" s="2750" t="s">
        <v>2500</v>
      </c>
      <c r="B1" s="2751"/>
      <c r="C1" s="2751"/>
      <c r="D1" s="2751"/>
      <c r="E1" s="2751"/>
      <c r="F1" s="2752"/>
      <c r="I1" s="3129" t="s">
        <v>2593</v>
      </c>
      <c r="J1" s="2777"/>
      <c r="K1" s="2777"/>
      <c r="L1" s="2777"/>
      <c r="M1" s="2777"/>
      <c r="N1" s="2962"/>
      <c r="O1" s="2962"/>
      <c r="P1" s="2962"/>
      <c r="Q1" s="2962"/>
      <c r="R1" s="2962"/>
    </row>
    <row r="2" spans="1:18">
      <c r="A2" s="2754"/>
      <c r="B2" s="2755"/>
      <c r="C2" s="2755"/>
      <c r="D2" s="2755"/>
      <c r="E2" s="2755"/>
      <c r="F2" s="2756"/>
      <c r="I2" s="3205" t="s">
        <v>2580</v>
      </c>
      <c r="J2" s="3205"/>
      <c r="K2" s="3205"/>
      <c r="L2" s="3205"/>
      <c r="M2" s="3205"/>
      <c r="N2" s="3205"/>
      <c r="O2" s="3205"/>
      <c r="P2" s="3205"/>
      <c r="Q2" s="3205"/>
      <c r="R2" s="3205"/>
    </row>
    <row r="3" spans="1:18">
      <c r="A3" s="2757" t="s">
        <v>2501</v>
      </c>
      <c r="B3" s="2758">
        <f>项目基本情况!D3</f>
        <v>45909</v>
      </c>
      <c r="C3" s="2760"/>
      <c r="D3" s="2760"/>
      <c r="E3" s="2760"/>
      <c r="F3" s="2756"/>
      <c r="I3" s="2772"/>
      <c r="J3" s="2772" t="s">
        <v>2584</v>
      </c>
      <c r="K3" s="2772" t="s">
        <v>2585</v>
      </c>
      <c r="L3" s="2772" t="s">
        <v>2586</v>
      </c>
      <c r="M3" s="2772" t="s">
        <v>2587</v>
      </c>
      <c r="N3" s="3130" t="s">
        <v>2588</v>
      </c>
      <c r="O3" s="3130" t="s">
        <v>2589</v>
      </c>
      <c r="P3" s="3130" t="s">
        <v>2590</v>
      </c>
      <c r="Q3" s="3130" t="s">
        <v>2591</v>
      </c>
      <c r="R3" s="3130" t="s">
        <v>2592</v>
      </c>
    </row>
    <row r="4" spans="1:18">
      <c r="A4" s="2757" t="s">
        <v>2502</v>
      </c>
      <c r="B4" s="2760" t="s">
        <v>2503</v>
      </c>
      <c r="C4" s="2760" t="s">
        <v>2504</v>
      </c>
      <c r="D4" s="2760" t="s">
        <v>2505</v>
      </c>
      <c r="E4" s="2760" t="s">
        <v>2506</v>
      </c>
      <c r="F4" s="2756"/>
      <c r="I4" s="2772" t="s">
        <v>2581</v>
      </c>
      <c r="J4" s="2772">
        <v>80</v>
      </c>
      <c r="K4" s="2772">
        <v>70</v>
      </c>
      <c r="L4" s="2772">
        <v>20</v>
      </c>
      <c r="M4" s="2772">
        <v>30</v>
      </c>
      <c r="N4" s="2760">
        <v>45</v>
      </c>
      <c r="O4" s="2760">
        <v>60</v>
      </c>
      <c r="P4" s="2760">
        <v>50</v>
      </c>
      <c r="Q4" s="2760">
        <v>20</v>
      </c>
      <c r="R4" s="2760">
        <v>375</v>
      </c>
    </row>
    <row r="5" spans="1:18">
      <c r="A5" s="2761">
        <v>40</v>
      </c>
      <c r="B5" s="2758">
        <v>46375</v>
      </c>
      <c r="C5" s="2760">
        <f>ROUNDDOWN(MIN((B5-B3)/365,A5),2)</f>
        <v>1.27</v>
      </c>
      <c r="D5" s="2762">
        <f>IF(ISERROR(ROUND(POWER(1+E5,A5-C5)*(POWER(1+E5,C5)-1)/(POWER(1+E5,A5)-1),3)),0,ROUND(POWER(1+E5,A5-C5)*(POWER(1+E5,C5)-1)/(POWER(1+E5,A5)-1),4))</f>
        <v>6.1400000000000003E-2</v>
      </c>
      <c r="E5" s="2763">
        <v>0.04</v>
      </c>
      <c r="F5" s="2756"/>
      <c r="I5" s="2772" t="s">
        <v>2582</v>
      </c>
      <c r="J5" s="2772">
        <v>70</v>
      </c>
      <c r="K5" s="2772">
        <v>60</v>
      </c>
      <c r="L5" s="2772">
        <v>15</v>
      </c>
      <c r="M5" s="2772">
        <v>25</v>
      </c>
      <c r="N5" s="2760">
        <v>40</v>
      </c>
      <c r="O5" s="2760">
        <v>50</v>
      </c>
      <c r="P5" s="2760">
        <v>40</v>
      </c>
      <c r="Q5" s="2760">
        <v>15</v>
      </c>
      <c r="R5" s="2760">
        <v>315</v>
      </c>
    </row>
    <row r="6" spans="1:18">
      <c r="A6" s="2761">
        <v>50</v>
      </c>
      <c r="B6" s="2758">
        <v>50028</v>
      </c>
      <c r="C6" s="2760">
        <f>ROUNDDOWN(MIN((B6-B3)/365,A6),2)</f>
        <v>11.28</v>
      </c>
      <c r="D6" s="2762">
        <f>IF(ISERROR(ROUND(POWER(1+E6,A6-C6)*(POWER(1+E6,C6)-1)/(POWER(1+E6,A6)-1),3)),0,ROUND(POWER(1+E6,A6-C6)*(POWER(1+E6,C6)-1)/(POWER(1+E6,A6)-1),4))</f>
        <v>0.41610000000000003</v>
      </c>
      <c r="E6" s="2763">
        <v>0.04</v>
      </c>
      <c r="F6" s="2756"/>
      <c r="I6" s="2772" t="s">
        <v>2583</v>
      </c>
      <c r="J6" s="2772">
        <v>60</v>
      </c>
      <c r="K6" s="2772">
        <v>50</v>
      </c>
      <c r="L6" s="2772">
        <v>10</v>
      </c>
      <c r="M6" s="2772">
        <v>20</v>
      </c>
      <c r="N6" s="2760">
        <v>35</v>
      </c>
      <c r="O6" s="2760">
        <v>40</v>
      </c>
      <c r="P6" s="2760">
        <v>30</v>
      </c>
      <c r="Q6" s="2760">
        <v>10</v>
      </c>
      <c r="R6" s="2760">
        <v>255</v>
      </c>
    </row>
    <row r="7" spans="1:18">
      <c r="A7" s="2761">
        <v>70</v>
      </c>
      <c r="B7" s="2758">
        <v>57333</v>
      </c>
      <c r="C7" s="2760">
        <f>ROUNDDOWN(MIN((B7-B3)/365,A7),2)</f>
        <v>31.29</v>
      </c>
      <c r="D7" s="2762">
        <f>IF(ISERROR(ROUND(POWER(1+E7,A7-C7)*(POWER(1+E7,C7)-1)/(POWER(1+E7,A7)-1),3)),0,ROUND(POWER(1+E7,A7-C7)*(POWER(1+E7,C7)-1)/(POWER(1+E7,A7)-1),4))</f>
        <v>0.75539999999999996</v>
      </c>
      <c r="E7" s="2763">
        <v>0.04</v>
      </c>
      <c r="F7" s="2756"/>
    </row>
    <row r="8" spans="1:18">
      <c r="A8" s="2754"/>
      <c r="B8" s="2755"/>
      <c r="C8" s="2755"/>
      <c r="D8" s="2755"/>
      <c r="E8" s="2755"/>
      <c r="F8" s="2756"/>
    </row>
    <row r="9" spans="1:18">
      <c r="A9" s="2757" t="s">
        <v>2507</v>
      </c>
      <c r="B9" s="2760"/>
      <c r="C9" s="2760"/>
      <c r="D9" s="2760"/>
      <c r="E9" s="2760"/>
      <c r="F9" s="2764"/>
    </row>
    <row r="10" spans="1:18">
      <c r="A10" s="2757" t="s">
        <v>2508</v>
      </c>
      <c r="B10" s="2760"/>
      <c r="C10" s="2760"/>
      <c r="D10" s="2760" t="s">
        <v>2506</v>
      </c>
      <c r="E10" s="2760"/>
      <c r="F10" s="2764" t="s">
        <v>2505</v>
      </c>
    </row>
    <row r="11" spans="1:18">
      <c r="A11" s="2757" t="s">
        <v>2509</v>
      </c>
      <c r="B11" s="2765">
        <v>70</v>
      </c>
      <c r="C11" s="2760" t="s">
        <v>2510</v>
      </c>
      <c r="D11" s="2765">
        <v>4.4999999999999998E-2</v>
      </c>
      <c r="E11" s="2760" t="s">
        <v>2511</v>
      </c>
      <c r="F11" s="2766">
        <f>ROUND(1-(1/(POWER(1+D11,B11))),4)</f>
        <v>0.95409999999999995</v>
      </c>
    </row>
    <row r="12" spans="1:18">
      <c r="A12" s="2757" t="s">
        <v>2512</v>
      </c>
      <c r="B12" s="2765">
        <v>40</v>
      </c>
      <c r="C12" s="2760" t="s">
        <v>2513</v>
      </c>
      <c r="D12" s="2765">
        <v>4.4999999999999998E-2</v>
      </c>
      <c r="E12" s="2760" t="s">
        <v>2514</v>
      </c>
      <c r="F12" s="2766">
        <f>ROUND(1-(1/(POWER(1+D12,B12))),4)</f>
        <v>0.82809999999999995</v>
      </c>
    </row>
    <row r="13" spans="1:18">
      <c r="A13" s="2757" t="s">
        <v>2515</v>
      </c>
      <c r="B13" s="2760"/>
      <c r="C13" s="2760"/>
      <c r="D13" s="2755"/>
      <c r="E13" s="2755"/>
      <c r="F13" s="2756"/>
    </row>
    <row r="14" spans="1:18">
      <c r="A14" s="2757" t="s">
        <v>2516</v>
      </c>
      <c r="B14" s="2765">
        <v>5000</v>
      </c>
      <c r="C14" s="2759"/>
      <c r="D14" s="2755"/>
      <c r="E14" s="2755"/>
      <c r="F14" s="2756"/>
    </row>
    <row r="15" spans="1:18">
      <c r="A15" s="2757" t="s">
        <v>2517</v>
      </c>
      <c r="B15" s="2760">
        <f>ROUND(B14*F12/F11,2)</f>
        <v>4339.6899999999996</v>
      </c>
      <c r="C15" s="2760">
        <f>ROUND(F12/F11,4)</f>
        <v>0.8679</v>
      </c>
      <c r="D15" s="2755"/>
      <c r="E15" s="2755"/>
      <c r="F15" s="2756"/>
    </row>
    <row r="16" spans="1:18">
      <c r="A16" s="2757" t="s">
        <v>2518</v>
      </c>
      <c r="B16" s="2760"/>
      <c r="C16" s="2760"/>
      <c r="D16" s="2755"/>
      <c r="E16" s="2755"/>
      <c r="F16" s="2756"/>
    </row>
    <row r="17" spans="1:14">
      <c r="A17" s="2757" t="s">
        <v>2517</v>
      </c>
      <c r="B17" s="2765">
        <v>4810</v>
      </c>
      <c r="C17" s="2759"/>
      <c r="D17" s="2755"/>
      <c r="E17" s="2755"/>
      <c r="F17" s="2756"/>
    </row>
    <row r="18" spans="1:14" ht="14.5" thickBot="1">
      <c r="A18" s="2767" t="s">
        <v>2516</v>
      </c>
      <c r="B18" s="2768">
        <f>ROUND(B17*F11/F12,2)</f>
        <v>5541.87</v>
      </c>
      <c r="C18" s="2768">
        <f>ROUND(F11/F12,4)</f>
        <v>1.1521999999999999</v>
      </c>
      <c r="D18" s="2769"/>
      <c r="E18" s="2769"/>
      <c r="F18" s="2770"/>
    </row>
    <row r="19" spans="1:14" ht="14.5" thickBot="1"/>
    <row r="20" spans="1:14" s="2803" customFormat="1" ht="14.5" thickTop="1">
      <c r="A20" s="2800" t="s">
        <v>2519</v>
      </c>
      <c r="B20" s="2801"/>
      <c r="C20" s="2801"/>
      <c r="D20" s="2801"/>
      <c r="E20" s="2801"/>
      <c r="F20" s="2801"/>
      <c r="G20" s="2802"/>
      <c r="I20" s="2804" t="s">
        <v>2564</v>
      </c>
      <c r="J20" s="2804" t="s">
        <v>2569</v>
      </c>
      <c r="K20" s="2804"/>
      <c r="L20" s="2804"/>
      <c r="M20" s="2804"/>
    </row>
    <row r="21" spans="1:14">
      <c r="A21" s="2771"/>
      <c r="B21" s="2772" t="s">
        <v>2520</v>
      </c>
      <c r="C21" s="2772" t="s">
        <v>2521</v>
      </c>
      <c r="D21" s="2772" t="s">
        <v>2522</v>
      </c>
      <c r="E21" s="2772" t="s">
        <v>2523</v>
      </c>
      <c r="F21" s="2772" t="s">
        <v>2524</v>
      </c>
      <c r="G21" s="2773" t="s">
        <v>2525</v>
      </c>
      <c r="I21" s="2794">
        <v>5</v>
      </c>
      <c r="J21" s="2794">
        <v>54.2</v>
      </c>
    </row>
    <row r="22" spans="1:14">
      <c r="A22" s="2771" t="s">
        <v>2526</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2527</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2567</v>
      </c>
      <c r="N23" s="3147" t="s">
        <v>2568</v>
      </c>
    </row>
    <row r="24" spans="1:14">
      <c r="A24" s="2771" t="s">
        <v>2528</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2566</v>
      </c>
      <c r="N24" s="3147">
        <v>10</v>
      </c>
    </row>
    <row r="25" spans="1:14">
      <c r="A25" s="2771" t="s">
        <v>2529</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2570</v>
      </c>
      <c r="N25" s="3147">
        <v>8</v>
      </c>
    </row>
    <row r="26" spans="1:14">
      <c r="A26" s="2776"/>
      <c r="B26" s="2777"/>
      <c r="C26" s="2777"/>
      <c r="D26" s="2777"/>
      <c r="E26" s="2777"/>
      <c r="F26" s="2777"/>
      <c r="G26" s="2778"/>
      <c r="I26" s="2794">
        <v>30</v>
      </c>
      <c r="J26" s="2794">
        <v>90.5</v>
      </c>
      <c r="K26" s="2794">
        <f t="shared" si="2"/>
        <v>4.2000000000000028</v>
      </c>
      <c r="L26" s="2794" t="s">
        <v>2571</v>
      </c>
      <c r="N26" s="3147">
        <v>5</v>
      </c>
    </row>
    <row r="27" spans="1:14">
      <c r="A27" s="2776" t="s">
        <v>2530</v>
      </c>
      <c r="B27" s="2777"/>
      <c r="C27" s="2777"/>
      <c r="D27" s="2777"/>
      <c r="E27" s="2777"/>
      <c r="F27" s="2777"/>
      <c r="G27" s="2778"/>
      <c r="I27" s="2794">
        <v>35</v>
      </c>
      <c r="J27" s="2794">
        <v>93.8</v>
      </c>
      <c r="K27" s="2794">
        <f t="shared" si="2"/>
        <v>3.2999999999999972</v>
      </c>
      <c r="L27" s="2794" t="s">
        <v>2572</v>
      </c>
      <c r="N27" s="3147">
        <v>3</v>
      </c>
    </row>
    <row r="28" spans="1:14">
      <c r="A28" s="2776" t="s">
        <v>2531</v>
      </c>
      <c r="B28" s="2777"/>
      <c r="C28" s="2777"/>
      <c r="D28" s="2777"/>
      <c r="E28" s="2777"/>
      <c r="F28" s="2777"/>
      <c r="G28" s="2778"/>
      <c r="I28" s="2794">
        <v>40</v>
      </c>
      <c r="J28" s="2794">
        <v>96.4</v>
      </c>
      <c r="K28" s="2794">
        <f t="shared" si="2"/>
        <v>2.6000000000000085</v>
      </c>
      <c r="L28" s="2794" t="s">
        <v>2573</v>
      </c>
      <c r="N28" s="3147">
        <v>2</v>
      </c>
    </row>
    <row r="29" spans="1:14">
      <c r="A29" s="2776" t="s">
        <v>2532</v>
      </c>
      <c r="B29" s="2777"/>
      <c r="C29" s="2777"/>
      <c r="D29" s="2777"/>
      <c r="E29" s="2777"/>
      <c r="F29" s="2777"/>
      <c r="G29" s="2778"/>
      <c r="I29" s="2794">
        <v>45</v>
      </c>
      <c r="J29" s="2794">
        <v>98.4</v>
      </c>
      <c r="K29" s="2794">
        <f t="shared" si="2"/>
        <v>2</v>
      </c>
    </row>
    <row r="30" spans="1:14">
      <c r="A30" s="2776" t="s">
        <v>2533</v>
      </c>
      <c r="B30" s="2777"/>
      <c r="C30" s="2777"/>
      <c r="D30" s="2777"/>
      <c r="E30" s="2777"/>
      <c r="F30" s="2777"/>
      <c r="G30" s="2778"/>
      <c r="I30" s="2794">
        <v>50</v>
      </c>
      <c r="J30" s="2794">
        <v>100</v>
      </c>
      <c r="K30" s="2794">
        <f t="shared" si="2"/>
        <v>1.5999999999999943</v>
      </c>
    </row>
    <row r="31" spans="1:14">
      <c r="A31" s="2776" t="s">
        <v>2534</v>
      </c>
      <c r="B31" s="2777"/>
      <c r="C31" s="2777"/>
      <c r="D31" s="2777"/>
      <c r="E31" s="2777"/>
      <c r="F31" s="2777"/>
      <c r="G31" s="2778"/>
      <c r="I31" s="2794" t="s">
        <v>2565</v>
      </c>
    </row>
    <row r="32" spans="1:14">
      <c r="A32" s="2776" t="s">
        <v>2535</v>
      </c>
      <c r="B32" s="2777"/>
      <c r="C32" s="2777"/>
      <c r="D32" s="2777"/>
      <c r="E32" s="2777"/>
      <c r="F32" s="2777"/>
      <c r="G32" s="2778"/>
    </row>
    <row r="33" spans="1:14">
      <c r="A33" s="2776" t="s">
        <v>2536</v>
      </c>
      <c r="B33" s="2777"/>
      <c r="C33" s="2777"/>
      <c r="D33" s="2777"/>
      <c r="E33" s="2777"/>
      <c r="F33" s="2777"/>
      <c r="G33" s="2778"/>
      <c r="I33" s="2794" t="s">
        <v>2564</v>
      </c>
      <c r="J33" s="2794" t="s">
        <v>2574</v>
      </c>
    </row>
    <row r="34" spans="1:14">
      <c r="A34" s="2776" t="s">
        <v>2537</v>
      </c>
      <c r="B34" s="2777"/>
      <c r="C34" s="2777"/>
      <c r="D34" s="2777"/>
      <c r="E34" s="2777"/>
      <c r="F34" s="2777"/>
      <c r="G34" s="2778"/>
      <c r="I34" s="2794">
        <v>5</v>
      </c>
      <c r="J34" s="2794">
        <v>55.1</v>
      </c>
    </row>
    <row r="35" spans="1:14">
      <c r="A35" s="2776" t="s">
        <v>2538</v>
      </c>
      <c r="B35" s="2777"/>
      <c r="C35" s="2777"/>
      <c r="D35" s="2777"/>
      <c r="E35" s="2777"/>
      <c r="F35" s="2777"/>
      <c r="G35" s="2778"/>
      <c r="I35" s="2794">
        <v>10</v>
      </c>
      <c r="J35" s="2794">
        <v>67</v>
      </c>
      <c r="K35" s="2794">
        <f>J35-J34</f>
        <v>11.899999999999999</v>
      </c>
    </row>
    <row r="36" spans="1:14">
      <c r="A36" s="2776" t="s">
        <v>2539</v>
      </c>
      <c r="B36" s="2777"/>
      <c r="C36" s="2777"/>
      <c r="D36" s="2777"/>
      <c r="E36" s="2777"/>
      <c r="F36" s="2777"/>
      <c r="G36" s="2778"/>
      <c r="I36" s="2794">
        <v>15</v>
      </c>
      <c r="J36" s="2794">
        <v>76.3</v>
      </c>
      <c r="K36" s="2794">
        <f t="shared" ref="K36:K41" si="3">J36-J35</f>
        <v>9.2999999999999972</v>
      </c>
      <c r="L36" s="2794" t="s">
        <v>2567</v>
      </c>
      <c r="N36" s="3147" t="s">
        <v>2568</v>
      </c>
    </row>
    <row r="37" spans="1:14">
      <c r="A37" s="2776" t="s">
        <v>2540</v>
      </c>
      <c r="B37" s="2777"/>
      <c r="C37" s="2777"/>
      <c r="D37" s="2777"/>
      <c r="E37" s="2777"/>
      <c r="F37" s="2777"/>
      <c r="G37" s="2778"/>
      <c r="I37" s="2794">
        <v>20</v>
      </c>
      <c r="J37" s="2794">
        <v>83.6</v>
      </c>
      <c r="K37" s="2794">
        <f t="shared" si="3"/>
        <v>7.2999999999999972</v>
      </c>
      <c r="L37" s="2794" t="s">
        <v>2566</v>
      </c>
      <c r="N37" s="3147">
        <v>10</v>
      </c>
    </row>
    <row r="38" spans="1:14">
      <c r="A38" s="2776" t="s">
        <v>2541</v>
      </c>
      <c r="B38" s="2777"/>
      <c r="C38" s="2777"/>
      <c r="D38" s="2777"/>
      <c r="E38" s="2777"/>
      <c r="F38" s="2777"/>
      <c r="G38" s="2778"/>
      <c r="I38" s="2794">
        <v>25</v>
      </c>
      <c r="J38" s="2794">
        <v>89.3</v>
      </c>
      <c r="K38" s="2794">
        <f t="shared" si="3"/>
        <v>5.7000000000000028</v>
      </c>
      <c r="L38" s="2794" t="s">
        <v>2570</v>
      </c>
      <c r="N38" s="3147">
        <v>8</v>
      </c>
    </row>
    <row r="39" spans="1:14">
      <c r="A39" s="2776"/>
      <c r="B39" s="2777"/>
      <c r="C39" s="2777"/>
      <c r="D39" s="2777"/>
      <c r="E39" s="2777"/>
      <c r="F39" s="2777"/>
      <c r="G39" s="2778"/>
      <c r="I39" s="2794">
        <v>30</v>
      </c>
      <c r="J39" s="2794">
        <v>93.8</v>
      </c>
      <c r="K39" s="2794">
        <f t="shared" si="3"/>
        <v>4.5</v>
      </c>
      <c r="L39" s="2794" t="s">
        <v>2571</v>
      </c>
      <c r="N39" s="3147">
        <v>6</v>
      </c>
    </row>
    <row r="40" spans="1:14">
      <c r="A40" s="2779" t="s">
        <v>2542</v>
      </c>
      <c r="B40" s="2780"/>
      <c r="C40" s="2780"/>
      <c r="D40" s="2780"/>
      <c r="E40" s="2780"/>
      <c r="F40" s="2780"/>
      <c r="G40" s="2781"/>
      <c r="I40" s="2794">
        <v>35</v>
      </c>
      <c r="J40" s="2794">
        <v>97.2</v>
      </c>
      <c r="K40" s="2794">
        <f t="shared" si="3"/>
        <v>3.4000000000000057</v>
      </c>
      <c r="L40" s="2794" t="s">
        <v>2572</v>
      </c>
      <c r="N40" s="3147">
        <v>3</v>
      </c>
    </row>
    <row r="41" spans="1:14">
      <c r="A41" s="2782" t="s">
        <v>2543</v>
      </c>
      <c r="B41" s="2783" t="s">
        <v>2544</v>
      </c>
      <c r="C41" s="2784" t="s">
        <v>2545</v>
      </c>
      <c r="D41" s="2784" t="s">
        <v>2546</v>
      </c>
      <c r="E41" s="2785"/>
      <c r="F41" s="2786"/>
      <c r="G41" s="2787"/>
      <c r="I41" s="2794">
        <v>40</v>
      </c>
      <c r="J41" s="2794">
        <v>100</v>
      </c>
      <c r="K41" s="2794">
        <f t="shared" si="3"/>
        <v>2.7999999999999972</v>
      </c>
    </row>
    <row r="42" spans="1:14">
      <c r="A42" s="2782" t="s">
        <v>2547</v>
      </c>
      <c r="B42" s="2783" t="s">
        <v>2548</v>
      </c>
      <c r="C42" s="2784" t="s">
        <v>2549</v>
      </c>
      <c r="D42" s="2788" t="s">
        <v>2550</v>
      </c>
      <c r="E42" s="2780" t="s">
        <v>2551</v>
      </c>
      <c r="F42" s="2780"/>
      <c r="G42" s="2781"/>
    </row>
    <row r="43" spans="1:14">
      <c r="A43" s="2782" t="s">
        <v>2552</v>
      </c>
      <c r="B43" s="2783" t="s">
        <v>2553</v>
      </c>
      <c r="C43" s="2784" t="s">
        <v>2554</v>
      </c>
      <c r="D43" s="2784" t="s">
        <v>2555</v>
      </c>
      <c r="E43" s="2785" t="s">
        <v>2556</v>
      </c>
      <c r="F43" s="2786"/>
      <c r="G43" s="2787"/>
      <c r="I43" s="2794" t="s">
        <v>2564</v>
      </c>
      <c r="J43" s="2794" t="s">
        <v>2575</v>
      </c>
    </row>
    <row r="44" spans="1:14">
      <c r="A44" s="2782" t="s">
        <v>2557</v>
      </c>
      <c r="B44" s="2783" t="s">
        <v>2558</v>
      </c>
      <c r="C44" s="2784" t="s">
        <v>2559</v>
      </c>
      <c r="D44" s="2788">
        <v>0.5</v>
      </c>
      <c r="E44" s="2785" t="s">
        <v>2560</v>
      </c>
      <c r="F44" s="2786"/>
      <c r="G44" s="2787"/>
      <c r="I44" s="2794">
        <v>30</v>
      </c>
      <c r="J44" s="2794">
        <v>81.7</v>
      </c>
    </row>
    <row r="45" spans="1:14" ht="14.5" thickBot="1">
      <c r="A45" s="2789" t="s">
        <v>2561</v>
      </c>
      <c r="B45" s="2790" t="s">
        <v>2548</v>
      </c>
      <c r="C45" s="2791" t="s">
        <v>2548</v>
      </c>
      <c r="D45" s="2791" t="s">
        <v>2562</v>
      </c>
      <c r="E45" s="2792" t="s">
        <v>2563</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5" thickBot="1"/>
    <row r="49" spans="1:4">
      <c r="A49" s="2750" t="s">
        <v>3385</v>
      </c>
    </row>
    <row r="50" spans="1:4">
      <c r="A50" s="3139" t="s">
        <v>3386</v>
      </c>
      <c r="B50" s="3139" t="s">
        <v>3387</v>
      </c>
      <c r="C50" s="3139" t="s">
        <v>3388</v>
      </c>
      <c r="D50" s="3139" t="s">
        <v>3389</v>
      </c>
    </row>
    <row r="51" spans="1:4">
      <c r="A51" s="3139" t="s">
        <v>3390</v>
      </c>
      <c r="B51" s="2759">
        <f>B52+B53</f>
        <v>15000</v>
      </c>
      <c r="C51" s="3140">
        <f>D51/B51</f>
        <v>2666.6666666666665</v>
      </c>
      <c r="D51" s="2759">
        <f>D52+D53</f>
        <v>40000000</v>
      </c>
    </row>
    <row r="52" spans="1:4">
      <c r="A52" s="3141" t="s">
        <v>3391</v>
      </c>
      <c r="B52" s="3142">
        <v>10000</v>
      </c>
      <c r="C52" s="3142">
        <v>1500</v>
      </c>
      <c r="D52" s="3143">
        <f>C52*B52</f>
        <v>15000000</v>
      </c>
    </row>
    <row r="53" spans="1:4">
      <c r="A53" s="3141" t="s">
        <v>3392</v>
      </c>
      <c r="B53" s="3142">
        <v>5000</v>
      </c>
      <c r="C53" s="3142">
        <v>5000</v>
      </c>
      <c r="D53" s="3143">
        <f>C53*B53</f>
        <v>25000000</v>
      </c>
    </row>
    <row r="54" spans="1:4">
      <c r="A54" s="3139" t="s">
        <v>3393</v>
      </c>
      <c r="B54" s="2759">
        <f>B51</f>
        <v>15000</v>
      </c>
      <c r="C54" s="2765">
        <v>700</v>
      </c>
      <c r="D54" s="2759">
        <f t="shared" ref="D54:D55" si="5">C54*B54</f>
        <v>10500000</v>
      </c>
    </row>
    <row r="55" spans="1:4">
      <c r="A55" s="3139" t="s">
        <v>3394</v>
      </c>
      <c r="B55" s="2759">
        <f>B51</f>
        <v>15000</v>
      </c>
      <c r="C55" s="2765">
        <v>1500</v>
      </c>
      <c r="D55" s="2759">
        <f t="shared" si="5"/>
        <v>22500000</v>
      </c>
    </row>
    <row r="56" spans="1:4">
      <c r="A56" s="3139" t="s">
        <v>3395</v>
      </c>
      <c r="B56" s="2759">
        <f>B51</f>
        <v>15000</v>
      </c>
      <c r="C56" s="3144">
        <f>C51+C54+C55</f>
        <v>4866.6666666666661</v>
      </c>
      <c r="D56" s="2759">
        <f>D51+D54+D55</f>
        <v>73000000</v>
      </c>
    </row>
    <row r="58" spans="1:4">
      <c r="A58" s="3139" t="s">
        <v>3396</v>
      </c>
      <c r="B58" s="3145">
        <v>0.05</v>
      </c>
      <c r="C58" s="2759">
        <f>C56*(1+B58)</f>
        <v>5110</v>
      </c>
      <c r="D58" s="2759">
        <f>D56*B58</f>
        <v>3650000</v>
      </c>
    </row>
    <row r="60" spans="1:4">
      <c r="A60" s="3139" t="s">
        <v>3397</v>
      </c>
      <c r="B60" s="2765">
        <v>3500</v>
      </c>
      <c r="C60" s="2765">
        <f>C53</f>
        <v>5000</v>
      </c>
      <c r="D60" s="2759">
        <f>C60*B60</f>
        <v>17500000</v>
      </c>
    </row>
    <row r="62" spans="1:4">
      <c r="A62" s="3139" t="s">
        <v>3398</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B6" sqref="B6"/>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08" customWidth="1"/>
    <col min="12" max="13" width="10" style="2409"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3" t="str">
        <f>IF(B10="北京市","北京市",C10)&amp;F10&amp;IF(结果表!G1="在建","出让国有建设用地使用权及在建建筑物",IF(结果表!G1="土地","出让国有建设用地使用权",))&amp;B9&amp;"预评估"</f>
        <v>北京市海淀区蓝靛厂晨月园甲3号楼1层01层等[2]套房地产抵押价值预评估</v>
      </c>
      <c r="C1" s="3214"/>
      <c r="D1" s="3214"/>
      <c r="E1" s="3214"/>
      <c r="F1" s="3214"/>
      <c r="G1" s="3214"/>
      <c r="H1" s="3214"/>
      <c r="I1" s="3215"/>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北京市海淀区蓝靛厂晨月园甲3号楼1层01层等[2]套房地产抵押价值</v>
      </c>
      <c r="T1" s="1618"/>
      <c r="U1" s="1618"/>
      <c r="V1" s="1618"/>
      <c r="W1" s="1618"/>
      <c r="X1" s="1618"/>
      <c r="Y1" s="1618"/>
      <c r="Z1" s="1618"/>
      <c r="AA1" s="1618"/>
      <c r="AB1" s="1618"/>
    </row>
    <row r="2" spans="1:30" ht="13">
      <c r="A2" s="2182" t="s">
        <v>2169</v>
      </c>
      <c r="B2" s="122"/>
      <c r="D2" s="2442"/>
      <c r="E2" s="2436"/>
      <c r="F2" s="2436"/>
      <c r="G2" s="2437"/>
      <c r="H2" s="2437"/>
      <c r="I2" s="2437"/>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北京市海淀区蓝靛厂晨月园甲3号楼1层01层等[2]套房地产</v>
      </c>
      <c r="T2" s="1618"/>
      <c r="U2" s="1618"/>
      <c r="V2" s="1618"/>
      <c r="W2" s="1618"/>
      <c r="X2" s="1618"/>
      <c r="Y2" s="1618"/>
      <c r="Z2" s="1618"/>
      <c r="AA2" s="1618"/>
      <c r="AB2" s="1618"/>
    </row>
    <row r="3" spans="1:30" ht="13">
      <c r="A3" s="294" t="s">
        <v>2170</v>
      </c>
      <c r="B3" s="2185">
        <v>45909</v>
      </c>
      <c r="C3" s="2186" t="s">
        <v>2171</v>
      </c>
      <c r="D3" s="2185">
        <f>B3</f>
        <v>45909</v>
      </c>
      <c r="E3" s="2437"/>
      <c r="F3" s="2437"/>
      <c r="G3" s="2437"/>
      <c r="H3" s="2437"/>
      <c r="I3" s="2437"/>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3465</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7"/>
      <c r="F5" s="2437"/>
      <c r="G5" s="2437"/>
      <c r="H5" s="2437"/>
      <c r="I5" s="2437"/>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3532" t="s">
        <v>3547</v>
      </c>
      <c r="C6" s="2195"/>
      <c r="D6" s="2196"/>
      <c r="E6" s="2436"/>
      <c r="F6" s="2437"/>
      <c r="G6" s="2437"/>
      <c r="H6" s="2437"/>
      <c r="I6" s="2437"/>
      <c r="J6" s="2243"/>
      <c r="K6" s="2396" t="str">
        <f>IF(COUNTIF(B6,"*上海银行*"),"上海银行","")</f>
        <v/>
      </c>
      <c r="L6" s="2394"/>
      <c r="M6" s="2394"/>
      <c r="N6" s="2243"/>
      <c r="O6" s="1670"/>
      <c r="P6" s="2243"/>
      <c r="Q6" s="2243"/>
      <c r="R6" s="2243"/>
    </row>
    <row r="7" spans="1:30" ht="13">
      <c r="A7" s="2194" t="s">
        <v>2175</v>
      </c>
      <c r="B7" s="2197"/>
      <c r="C7" s="2195"/>
      <c r="D7" s="2196"/>
      <c r="E7" s="2436"/>
      <c r="F7" s="2437"/>
      <c r="G7" s="2437"/>
      <c r="H7" s="2437"/>
      <c r="I7" s="2437"/>
      <c r="J7" s="2243"/>
      <c r="K7" s="2397"/>
      <c r="L7" s="2394"/>
      <c r="M7" s="2394"/>
      <c r="N7" s="2243"/>
      <c r="O7" s="1670"/>
      <c r="P7" s="2243"/>
      <c r="Q7" s="2243"/>
      <c r="R7" s="2243"/>
    </row>
    <row r="8" spans="1:30" ht="13">
      <c r="A8" s="2198" t="s">
        <v>2176</v>
      </c>
      <c r="B8" s="2199" t="s">
        <v>3443</v>
      </c>
      <c r="C8" s="2200"/>
      <c r="D8" s="3216" t="s">
        <v>2177</v>
      </c>
      <c r="E8" s="2201" t="s">
        <v>3444</v>
      </c>
      <c r="F8" s="2202"/>
      <c r="G8" s="2437"/>
      <c r="H8" s="2437"/>
      <c r="I8" s="2437"/>
      <c r="J8" s="2243"/>
      <c r="K8" s="2395"/>
      <c r="L8" s="2394"/>
      <c r="M8" s="2394"/>
      <c r="N8" s="2243"/>
      <c r="O8" s="1670"/>
      <c r="P8" s="2243"/>
      <c r="Q8" s="2243"/>
      <c r="R8" s="2243"/>
    </row>
    <row r="9" spans="1:30" ht="13.5" thickBot="1">
      <c r="A9" s="2203" t="s">
        <v>2178</v>
      </c>
      <c r="B9" s="2204" t="s">
        <v>3444</v>
      </c>
      <c r="C9" s="2205"/>
      <c r="D9" s="3217"/>
      <c r="E9" s="2204" t="s">
        <v>587</v>
      </c>
      <c r="F9" s="2206"/>
      <c r="G9" s="2438"/>
      <c r="H9" s="2438"/>
      <c r="I9" s="2438"/>
      <c r="J9" s="2243"/>
      <c r="K9" s="2397"/>
      <c r="L9" s="2394"/>
      <c r="M9" s="2394"/>
      <c r="N9" s="2243"/>
      <c r="O9" s="1670"/>
      <c r="P9" s="2243"/>
      <c r="Q9" s="2243"/>
      <c r="R9" s="2243"/>
    </row>
    <row r="10" spans="1:30" ht="13.5" thickTop="1">
      <c r="A10" s="2207" t="s">
        <v>2179</v>
      </c>
      <c r="B10" s="2208" t="s">
        <v>3445</v>
      </c>
      <c r="C10" s="2209"/>
      <c r="D10" s="2193"/>
      <c r="E10" s="2210" t="s">
        <v>2180</v>
      </c>
      <c r="F10" s="3506" t="s">
        <v>3447</v>
      </c>
      <c r="G10" s="2439"/>
      <c r="H10" s="2440"/>
      <c r="I10" s="2441"/>
      <c r="J10" s="2243"/>
      <c r="K10" s="2397"/>
      <c r="L10" s="2394"/>
      <c r="M10" s="2394"/>
      <c r="N10" s="2243"/>
      <c r="O10" s="1670"/>
      <c r="P10" s="2243"/>
      <c r="Q10" s="2243"/>
      <c r="R10" s="2243"/>
    </row>
    <row r="11" spans="1:30" ht="39">
      <c r="A11" s="2211" t="s">
        <v>2181</v>
      </c>
      <c r="B11" s="2212" t="s">
        <v>3446</v>
      </c>
      <c r="C11" s="3507" t="s">
        <v>3448</v>
      </c>
      <c r="D11" s="2213"/>
      <c r="E11" s="2182"/>
      <c r="F11" s="2182"/>
      <c r="G11" s="2182"/>
      <c r="H11" s="2182"/>
      <c r="I11" s="2182"/>
      <c r="J11" s="2796"/>
      <c r="K11" s="2394"/>
      <c r="L11" s="2394"/>
      <c r="M11" s="2394"/>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5" t="s">
        <v>2576</v>
      </c>
      <c r="J12" s="2797"/>
      <c r="K12" s="2394"/>
      <c r="L12" s="2394"/>
      <c r="M12" s="2243"/>
      <c r="N12" s="1670"/>
      <c r="O12" s="2243"/>
      <c r="P12" s="2243"/>
      <c r="Q12" s="2243"/>
      <c r="AD12" s="1618"/>
    </row>
    <row r="13" spans="1:30" ht="13">
      <c r="A13" s="3116" t="s">
        <v>3330</v>
      </c>
      <c r="B13" s="2216" t="s">
        <v>2190</v>
      </c>
      <c r="C13" s="803"/>
      <c r="D13" s="803">
        <v>53575</v>
      </c>
      <c r="E13" s="3511" t="s">
        <v>3464</v>
      </c>
      <c r="F13" s="803"/>
      <c r="G13" s="803"/>
      <c r="H13" s="803"/>
      <c r="I13" s="803"/>
      <c r="J13" s="2797"/>
      <c r="K13" s="2394"/>
      <c r="L13" s="2394"/>
      <c r="M13" s="2243"/>
      <c r="N13" s="1670"/>
      <c r="O13" s="2243"/>
      <c r="P13" s="2243"/>
      <c r="Q13" s="2243"/>
      <c r="AD13" s="1618"/>
    </row>
    <row r="14" spans="1:30" ht="13">
      <c r="A14" s="1018"/>
      <c r="B14" s="2216" t="s">
        <v>2191</v>
      </c>
      <c r="C14" s="2217"/>
      <c r="D14" s="2217"/>
      <c r="E14" s="2217"/>
      <c r="F14" s="2217"/>
      <c r="G14" s="2217"/>
      <c r="H14" s="2217"/>
      <c r="I14" s="2217"/>
      <c r="J14" s="2798"/>
      <c r="K14" s="2394"/>
      <c r="L14" s="2394"/>
      <c r="M14" s="2243"/>
      <c r="N14" s="1670"/>
      <c r="O14" s="2243"/>
      <c r="P14" s="2243"/>
      <c r="Q14" s="2243"/>
      <c r="AD14" s="1618"/>
    </row>
    <row r="15" spans="1:30" ht="13">
      <c r="A15" s="312"/>
      <c r="B15" s="2218" t="s">
        <v>2192</v>
      </c>
      <c r="C15" s="2219" t="str">
        <f>IF(A13="出让",IF(C13="","",ROUNDDOWN(MIN((C13-$D$3)/365,C14),2)),C14)</f>
        <v/>
      </c>
      <c r="D15" s="2219">
        <f>IF(A13="出让",IF(D13="","",ROUNDDOWN(MIN((D13-$D$3)/365,D14),2)),D14)</f>
        <v>21</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99"/>
      <c r="K15" s="1670"/>
      <c r="L15" s="1670"/>
      <c r="M15" s="2243"/>
      <c r="N15" s="1670"/>
      <c r="O15" s="2243"/>
      <c r="P15" s="2243"/>
      <c r="Q15" s="2243"/>
      <c r="AD15" s="1618"/>
    </row>
    <row r="16" spans="1:30" ht="13">
      <c r="A16" s="2210" t="s">
        <v>2193</v>
      </c>
      <c r="B16" s="3223"/>
      <c r="C16" s="3224"/>
      <c r="D16" s="3225"/>
      <c r="E16" s="2220" t="s">
        <v>2194</v>
      </c>
      <c r="F16" s="3226"/>
      <c r="G16" s="3227"/>
      <c r="H16" s="3227"/>
      <c r="I16" s="3228"/>
      <c r="J16" s="2243"/>
      <c r="K16" s="2398"/>
      <c r="L16" s="1670"/>
      <c r="M16" s="1670"/>
      <c r="N16" s="2243"/>
      <c r="O16" s="1670"/>
      <c r="P16" s="2243"/>
      <c r="Q16" s="2243"/>
      <c r="R16" s="2243"/>
    </row>
    <row r="17" spans="1:28" ht="13">
      <c r="A17" s="305" t="s">
        <v>2195</v>
      </c>
      <c r="B17" s="294" t="s">
        <v>2196</v>
      </c>
      <c r="C17" s="8">
        <f>'数据-汇总表'!E3</f>
        <v>887.22</v>
      </c>
      <c r="D17" s="1256" t="s">
        <v>2197</v>
      </c>
      <c r="E17" s="3229" t="s">
        <v>2198</v>
      </c>
      <c r="F17" s="3230"/>
      <c r="G17" s="3230"/>
      <c r="H17" s="3230"/>
      <c r="I17" s="3231"/>
      <c r="J17" s="2243"/>
      <c r="K17" s="2399"/>
      <c r="L17" s="1670"/>
      <c r="M17" s="1670"/>
      <c r="N17" s="2243"/>
      <c r="O17" s="1670"/>
      <c r="P17" s="2243"/>
      <c r="Q17" s="2243"/>
      <c r="R17" s="2243"/>
      <c r="S17" s="2243"/>
      <c r="T17" s="2243"/>
      <c r="U17" s="2243"/>
      <c r="V17" s="2243"/>
    </row>
    <row r="18" spans="1:28" ht="26.5" thickBot="1">
      <c r="A18" s="2221" t="s">
        <v>2199</v>
      </c>
      <c r="B18" s="1027" t="s">
        <v>2200</v>
      </c>
      <c r="C18" s="2222">
        <f>'数据-汇总表'!D3</f>
        <v>0</v>
      </c>
      <c r="D18" s="1029" t="s">
        <v>2201</v>
      </c>
      <c r="E18" s="3232" t="s">
        <v>2202</v>
      </c>
      <c r="F18" s="3233"/>
      <c r="G18" s="3233"/>
      <c r="H18" s="3233"/>
      <c r="I18" s="3234"/>
      <c r="J18" s="2243"/>
      <c r="K18" s="2399"/>
      <c r="L18" s="1670"/>
      <c r="M18" s="1670"/>
      <c r="N18" s="2243"/>
      <c r="O18" s="1670"/>
      <c r="P18" s="2243"/>
      <c r="Q18" s="2243"/>
      <c r="R18" s="2243"/>
      <c r="S18" s="2243"/>
      <c r="T18" s="2243"/>
      <c r="U18" s="2243"/>
      <c r="V18" s="2243"/>
    </row>
    <row r="19" spans="1:28" ht="40" thickTop="1" thickBot="1">
      <c r="A19" s="319" t="s">
        <v>1055</v>
      </c>
      <c r="B19" s="299" t="s">
        <v>2203</v>
      </c>
      <c r="C19" s="1455" t="s">
        <v>3453</v>
      </c>
      <c r="D19" s="1456" t="s">
        <v>2204</v>
      </c>
      <c r="E19" s="1457" t="s">
        <v>3454</v>
      </c>
      <c r="F19" s="1458" t="str">
        <f>IF(AND(C19="是",E19="否"),"是否提供他项权证或相关说明","")</f>
        <v>是否提供他项权证或相关说明</v>
      </c>
      <c r="G19" s="1459"/>
      <c r="H19" s="2437"/>
      <c r="I19" s="2437"/>
      <c r="J19" s="2243"/>
      <c r="K19" s="2397"/>
      <c r="L19" s="2394"/>
      <c r="M19" s="2394"/>
      <c r="N19" s="2243"/>
      <c r="O19" s="1670"/>
      <c r="P19" s="2243"/>
      <c r="Q19" s="2243"/>
      <c r="R19" s="2243"/>
      <c r="S19" s="2243"/>
      <c r="T19" s="2243"/>
      <c r="U19" s="2243"/>
      <c r="V19" s="2243"/>
    </row>
    <row r="20" spans="1:28" ht="13">
      <c r="A20" s="2412" t="s">
        <v>2205</v>
      </c>
      <c r="B20" s="3219" t="s">
        <v>2206</v>
      </c>
      <c r="C20" s="3220"/>
      <c r="D20" s="3221" t="s">
        <v>2207</v>
      </c>
      <c r="E20" s="3222"/>
      <c r="F20" s="2425" t="s">
        <v>1056</v>
      </c>
      <c r="G20" s="2437"/>
      <c r="H20" s="2437"/>
      <c r="I20" s="2437"/>
      <c r="J20" s="2243"/>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2"/>
      <c r="B21" s="2413" t="s">
        <v>2209</v>
      </c>
      <c r="C21" s="2294" t="s">
        <v>1057</v>
      </c>
      <c r="D21" s="1460" t="s">
        <v>2210</v>
      </c>
      <c r="E21" s="2414" t="s">
        <v>1057</v>
      </c>
      <c r="F21" s="2426"/>
      <c r="G21" s="2437"/>
      <c r="H21" s="2437"/>
      <c r="I21" s="2437"/>
      <c r="J21" s="2243"/>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2"/>
      <c r="B22" s="2415" t="s">
        <v>2211</v>
      </c>
      <c r="C22" s="2294" t="s">
        <v>1058</v>
      </c>
      <c r="D22" s="2437"/>
      <c r="E22" s="2437"/>
      <c r="F22" s="2437"/>
      <c r="G22" s="2437"/>
      <c r="H22" s="2437"/>
      <c r="I22" s="2437"/>
      <c r="J22" s="2243"/>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6" t="s">
        <v>2212</v>
      </c>
      <c r="B23" s="2291" t="s">
        <v>2213</v>
      </c>
      <c r="C23" s="2417"/>
      <c r="D23" s="2418" t="s">
        <v>2213</v>
      </c>
      <c r="E23" s="2419"/>
      <c r="F23" s="2437"/>
      <c r="G23" s="2437"/>
      <c r="H23" s="2437"/>
      <c r="I23" s="2437"/>
      <c r="J23" s="2243"/>
      <c r="K23" s="2396"/>
      <c r="L23" s="121"/>
      <c r="M23" s="2394"/>
      <c r="N23" s="2243"/>
      <c r="O23" s="1670"/>
      <c r="P23" s="2243"/>
      <c r="Q23" s="2243"/>
      <c r="R23" s="2243"/>
      <c r="S23" s="2243"/>
      <c r="T23" s="2243"/>
      <c r="U23" s="2243"/>
      <c r="V23" s="2243"/>
    </row>
    <row r="24" spans="1:28" ht="13">
      <c r="A24" s="2416"/>
      <c r="B24" s="2291" t="s">
        <v>1059</v>
      </c>
      <c r="C24" s="2269"/>
      <c r="D24" s="2416" t="s">
        <v>1059</v>
      </c>
      <c r="E24" s="2420"/>
      <c r="F24" s="2437"/>
      <c r="G24" s="2437"/>
      <c r="H24" s="2437"/>
      <c r="I24" s="2437"/>
      <c r="J24" s="2243"/>
      <c r="K24" s="2396"/>
      <c r="L24" s="121"/>
      <c r="M24" s="2394"/>
      <c r="N24" s="2243"/>
      <c r="O24" s="1670"/>
      <c r="P24" s="2243"/>
      <c r="Q24" s="2243"/>
      <c r="R24" s="2243"/>
      <c r="S24" s="2243"/>
      <c r="T24" s="2243"/>
      <c r="U24" s="2243"/>
      <c r="V24" s="2243"/>
    </row>
    <row r="25" spans="1:28" ht="13">
      <c r="A25" s="2416"/>
      <c r="B25" s="2291" t="s">
        <v>1060</v>
      </c>
      <c r="C25" s="2269"/>
      <c r="D25" s="2416" t="s">
        <v>1060</v>
      </c>
      <c r="E25" s="2420"/>
      <c r="F25" s="2437"/>
      <c r="G25" s="2437"/>
      <c r="H25" s="2437"/>
      <c r="I25" s="2437"/>
      <c r="J25" s="2243"/>
      <c r="K25" s="2397"/>
      <c r="L25" s="2394"/>
      <c r="M25" s="2394"/>
      <c r="N25" s="2243"/>
      <c r="O25" s="1670"/>
      <c r="P25" s="2243"/>
      <c r="Q25" s="2243"/>
      <c r="R25" s="2243"/>
      <c r="S25" s="2243"/>
      <c r="T25" s="2243"/>
      <c r="U25" s="2243"/>
      <c r="V25" s="2243"/>
    </row>
    <row r="26" spans="1:28" ht="13.5" thickBot="1">
      <c r="A26" s="2421"/>
      <c r="B26" s="2422" t="s">
        <v>1061</v>
      </c>
      <c r="C26" s="2423"/>
      <c r="D26" s="2421" t="s">
        <v>1061</v>
      </c>
      <c r="E26" s="2424"/>
      <c r="F26" s="2438"/>
      <c r="G26" s="2438"/>
      <c r="H26" s="2438"/>
      <c r="I26" s="2438"/>
      <c r="J26" s="2243"/>
      <c r="K26" s="2397"/>
      <c r="L26" s="2394"/>
      <c r="M26" s="2394"/>
      <c r="N26" s="2243"/>
      <c r="O26" s="1670"/>
      <c r="P26" s="2243"/>
      <c r="Q26" s="2243"/>
      <c r="R26" s="2243"/>
      <c r="S26" s="2243"/>
      <c r="T26" s="2243"/>
      <c r="U26" s="2243"/>
      <c r="V26" s="2243"/>
    </row>
    <row r="27" spans="1:28" ht="13.5" thickTop="1">
      <c r="A27" s="3207" t="s">
        <v>2214</v>
      </c>
      <c r="B27" s="312" t="s">
        <v>2215</v>
      </c>
      <c r="C27" s="2223" t="s">
        <v>3455</v>
      </c>
      <c r="D27" s="2224"/>
      <c r="E27" s="2437"/>
      <c r="F27" s="2437"/>
      <c r="G27" s="2437"/>
      <c r="H27" s="2437"/>
      <c r="I27" s="2437"/>
      <c r="J27" s="2243"/>
      <c r="K27" s="2398"/>
      <c r="L27" s="1670"/>
      <c r="M27" s="1670"/>
      <c r="N27" s="2243"/>
      <c r="O27" s="1670"/>
      <c r="P27" s="2243"/>
      <c r="Q27" s="2243"/>
      <c r="R27" s="2243"/>
      <c r="S27" s="2243"/>
      <c r="T27" s="2243"/>
      <c r="U27" s="2243"/>
      <c r="V27" s="2243"/>
    </row>
    <row r="28" spans="1:28" ht="13">
      <c r="A28" s="3207"/>
      <c r="B28" s="294" t="s">
        <v>2216</v>
      </c>
      <c r="C28" s="2225"/>
      <c r="D28" s="2226"/>
      <c r="E28" s="2437"/>
      <c r="F28" s="2437"/>
      <c r="G28" s="2437"/>
      <c r="H28" s="2437"/>
      <c r="I28" s="2437"/>
      <c r="J28" s="2243"/>
      <c r="K28" s="2397"/>
      <c r="L28" s="2394"/>
      <c r="M28" s="2394"/>
      <c r="N28" s="2243"/>
      <c r="O28" s="1670"/>
      <c r="P28" s="2243"/>
      <c r="Q28" s="2243"/>
      <c r="R28" s="2243"/>
      <c r="S28" s="2243"/>
      <c r="T28" s="2243"/>
      <c r="U28" s="2243"/>
      <c r="V28" s="2243"/>
    </row>
    <row r="29" spans="1:28" ht="13">
      <c r="A29" s="3207"/>
      <c r="B29" s="294" t="s">
        <v>2217</v>
      </c>
      <c r="C29" s="2227"/>
      <c r="D29" s="2228"/>
      <c r="E29" s="2437"/>
      <c r="F29" s="2437"/>
      <c r="G29" s="2437"/>
      <c r="H29" s="2437"/>
      <c r="I29" s="2437"/>
      <c r="J29" s="2243"/>
      <c r="K29" s="2397"/>
      <c r="L29" s="2394"/>
      <c r="M29" s="2394"/>
      <c r="N29" s="2243"/>
      <c r="O29" s="1670"/>
      <c r="P29" s="2243"/>
      <c r="Q29" s="2243"/>
      <c r="R29" s="2243"/>
      <c r="S29" s="2243"/>
      <c r="T29" s="2243"/>
      <c r="U29" s="2243"/>
      <c r="V29" s="2243"/>
    </row>
    <row r="30" spans="1:28" ht="13">
      <c r="A30" s="3208"/>
      <c r="B30" s="294" t="s">
        <v>2218</v>
      </c>
      <c r="C30" s="3209"/>
      <c r="D30" s="3210"/>
      <c r="E30" s="2437"/>
      <c r="F30" s="2437"/>
      <c r="G30" s="2437"/>
      <c r="H30" s="2437"/>
      <c r="I30" s="2437"/>
      <c r="J30" s="2243"/>
      <c r="K30" s="2397"/>
      <c r="L30" s="2394"/>
      <c r="M30" s="2394"/>
      <c r="N30" s="2243"/>
      <c r="O30" s="1670"/>
      <c r="P30" s="2243"/>
      <c r="Q30" s="2243"/>
      <c r="R30" s="2243"/>
      <c r="S30" s="2243"/>
      <c r="T30" s="2243"/>
      <c r="U30" s="2243"/>
      <c r="V30" s="2243"/>
    </row>
    <row r="31" spans="1:28">
      <c r="A31" s="3211" t="s">
        <v>2219</v>
      </c>
      <c r="B31" s="2229" t="s">
        <v>3456</v>
      </c>
      <c r="C31" s="12" t="str">
        <f>IF(B31="现房","成新及维护状况正常否",IF(B31="在建","工程状态是否正常",IF(B31="土地","是否闲置","-")))</f>
        <v>成新及维护状况正常否</v>
      </c>
      <c r="D31" s="1281"/>
      <c r="E31" s="2230"/>
      <c r="F31" s="2437"/>
      <c r="G31" s="2437"/>
      <c r="H31" s="2437"/>
      <c r="I31" s="2437"/>
      <c r="J31" s="2243"/>
      <c r="K31" s="2396"/>
      <c r="L31" s="2394"/>
      <c r="M31" s="2394"/>
      <c r="N31" s="2243"/>
      <c r="O31" s="1670"/>
      <c r="P31" s="2243"/>
      <c r="Q31" s="2243"/>
      <c r="R31" s="2243"/>
      <c r="S31" s="2243"/>
      <c r="T31" s="2243"/>
      <c r="U31" s="2243"/>
      <c r="V31" s="2243"/>
    </row>
    <row r="32" spans="1:28">
      <c r="A32" s="3212"/>
      <c r="B32" s="2229"/>
      <c r="C32" s="12" t="str">
        <f>IF(B32="现房","成新及维护状况是否正常",IF(B32="在建","工程状态是否正常",IF(B32="土地","是否闲置","-")))</f>
        <v>-</v>
      </c>
      <c r="D32" s="1281"/>
      <c r="E32" s="2230"/>
      <c r="F32" s="2437"/>
      <c r="G32" s="2437"/>
      <c r="H32" s="2437"/>
      <c r="I32" s="2437"/>
      <c r="J32" s="2243"/>
      <c r="K32" s="2397"/>
      <c r="L32" s="2394"/>
      <c r="M32" s="2394"/>
      <c r="N32" s="2243"/>
      <c r="O32" s="1670"/>
      <c r="P32" s="2243"/>
      <c r="Q32" s="2243"/>
      <c r="R32" s="2243"/>
      <c r="S32" s="2243"/>
      <c r="T32" s="2243"/>
      <c r="U32" s="2243"/>
      <c r="V32" s="2243"/>
    </row>
    <row r="33" spans="1:30">
      <c r="A33" s="3212"/>
      <c r="B33" s="2232"/>
      <c r="C33" s="1478" t="str">
        <f>IF(B33="现房","成新及维护状况是否正常",IF(B33="在建","工程状态是否正常",IF(B33="土地","是否闲置","-")))</f>
        <v>-</v>
      </c>
      <c r="D33" s="1274"/>
      <c r="E33" s="2233"/>
      <c r="F33" s="2437"/>
      <c r="G33" s="2437"/>
      <c r="H33" s="2437"/>
      <c r="I33" s="2437"/>
      <c r="J33" s="2243"/>
      <c r="K33" s="2397"/>
      <c r="L33" s="2394"/>
      <c r="M33" s="2394"/>
      <c r="N33" s="2243"/>
      <c r="O33" s="1670"/>
      <c r="P33" s="2243"/>
      <c r="Q33" s="2243"/>
      <c r="R33" s="2243"/>
      <c r="S33" s="2243"/>
      <c r="T33" s="2243"/>
      <c r="U33" s="2243"/>
      <c r="V33" s="2243"/>
    </row>
    <row r="34" spans="1:30" ht="13">
      <c r="A34" s="294" t="s">
        <v>2220</v>
      </c>
      <c r="B34" s="1870"/>
      <c r="C34" s="1870"/>
      <c r="D34" s="1870"/>
      <c r="E34" s="1870"/>
      <c r="F34" s="1870"/>
      <c r="G34" s="1870"/>
      <c r="H34" s="1870"/>
      <c r="I34" s="2437"/>
      <c r="J34" s="2243"/>
      <c r="K34" s="8">
        <f>COUNTIF(B34:H34,"——")</f>
        <v>0</v>
      </c>
      <c r="L34" s="315" t="s">
        <v>2221</v>
      </c>
      <c r="M34" s="315" t="s">
        <v>2222</v>
      </c>
      <c r="N34" s="315" t="s">
        <v>2223</v>
      </c>
      <c r="O34" s="315" t="s">
        <v>2224</v>
      </c>
      <c r="P34" s="315" t="s">
        <v>2225</v>
      </c>
      <c r="Q34" s="315" t="s">
        <v>2226</v>
      </c>
      <c r="R34" s="315" t="s">
        <v>2227</v>
      </c>
      <c r="S34" s="3206" t="s">
        <v>2228</v>
      </c>
      <c r="T34" s="315" t="str">
        <f>NUMBERSTRING(7-K34,1)&amp;"通"</f>
        <v>七通</v>
      </c>
      <c r="U34" s="2243"/>
      <c r="V34" s="2243"/>
    </row>
    <row r="35" spans="1:30">
      <c r="A35" s="2234"/>
      <c r="B35" s="3206" t="s">
        <v>2229</v>
      </c>
      <c r="C35" s="3206"/>
      <c r="D35" s="3206"/>
      <c r="E35" s="3206"/>
      <c r="F35" s="8">
        <f>C10</f>
        <v>0</v>
      </c>
      <c r="G35" s="2437"/>
      <c r="H35" s="2437"/>
      <c r="I35" s="2437"/>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3"/>
      <c r="V35" s="2243"/>
    </row>
    <row r="36" spans="1:30" ht="13">
      <c r="A36" s="2183"/>
      <c r="B36" s="8" t="s">
        <v>2185</v>
      </c>
      <c r="C36" s="8" t="s">
        <v>2186</v>
      </c>
      <c r="D36" s="8" t="s">
        <v>2184</v>
      </c>
      <c r="E36" s="8" t="s">
        <v>2189</v>
      </c>
      <c r="F36" s="2795" t="s">
        <v>2579</v>
      </c>
      <c r="G36" s="2437"/>
      <c r="H36" s="2437"/>
      <c r="I36" s="2437"/>
      <c r="J36" s="2243"/>
      <c r="K36" s="2397"/>
      <c r="L36" s="2394"/>
      <c r="M36" s="2394"/>
      <c r="N36" s="2243"/>
      <c r="O36" s="1670"/>
      <c r="P36" s="2243"/>
      <c r="Q36" s="2243"/>
      <c r="R36" s="2243"/>
      <c r="S36" s="2243"/>
      <c r="T36" s="2243"/>
      <c r="U36" s="2243"/>
      <c r="V36" s="2243"/>
    </row>
    <row r="37" spans="1:30" ht="13">
      <c r="A37" s="2410" t="s">
        <v>2230</v>
      </c>
      <c r="B37" s="2235"/>
      <c r="C37" s="2235"/>
      <c r="D37" s="2235"/>
      <c r="E37" s="2235"/>
      <c r="F37" s="2235"/>
      <c r="G37" s="2437"/>
      <c r="H37" s="2437"/>
      <c r="I37" s="2437"/>
      <c r="J37" s="2243"/>
      <c r="K37" s="2397"/>
      <c r="L37" s="2394"/>
      <c r="M37" s="2394"/>
      <c r="N37" s="2243"/>
      <c r="O37" s="1670"/>
      <c r="P37" s="2243"/>
      <c r="Q37" s="2243"/>
      <c r="R37" s="2243"/>
      <c r="S37" s="2243"/>
      <c r="T37" s="2243"/>
      <c r="U37" s="2243"/>
      <c r="V37" s="2243"/>
    </row>
    <row r="38" spans="1:30" ht="13.5" thickBot="1">
      <c r="A38" s="2411" t="s">
        <v>2231</v>
      </c>
      <c r="B38" s="2236"/>
      <c r="C38" s="2236"/>
      <c r="D38" s="2236"/>
      <c r="E38" s="2236"/>
      <c r="F38" s="2236"/>
      <c r="G38" s="2438"/>
      <c r="H38" s="2438"/>
      <c r="I38" s="2438"/>
      <c r="J38" s="2243"/>
      <c r="K38" s="2397"/>
      <c r="L38" s="2394"/>
      <c r="M38" s="2394"/>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2"/>
      <c r="B40" s="2182"/>
      <c r="C40" s="2182"/>
      <c r="D40" s="2182"/>
      <c r="E40" s="2182"/>
      <c r="F40" s="2182"/>
      <c r="G40" s="2182"/>
      <c r="H40" s="2182"/>
      <c r="I40" s="1466"/>
      <c r="J40" s="2243"/>
      <c r="K40" s="2396"/>
      <c r="L40" s="1670"/>
      <c r="M40" s="1670"/>
      <c r="N40" s="2243"/>
      <c r="O40" s="1670"/>
      <c r="P40" s="2243"/>
      <c r="Q40" s="2243"/>
      <c r="R40" s="2243"/>
      <c r="S40" s="2243"/>
      <c r="T40" s="2243"/>
      <c r="U40" s="2243"/>
      <c r="V40" s="2243"/>
    </row>
    <row r="41" spans="1:30" ht="13">
      <c r="A41" s="2240" t="s">
        <v>2233</v>
      </c>
      <c r="B41" s="1627"/>
      <c r="C41" s="1281"/>
      <c r="D41" s="2182"/>
      <c r="E41" s="2182"/>
      <c r="F41" s="2182"/>
      <c r="G41" s="2182"/>
      <c r="H41" s="2182"/>
      <c r="I41" s="1466"/>
      <c r="J41" s="2243"/>
      <c r="K41" s="2397"/>
      <c r="L41" s="2394"/>
      <c r="M41" s="2394"/>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887.22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887.22</v>
      </c>
      <c r="H5" s="13">
        <f t="shared" ref="H5:AT5" si="0">SUM(H13:H656)</f>
        <v>887.22</v>
      </c>
      <c r="I5" s="13">
        <f t="shared" si="0"/>
        <v>887.22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887.22</v>
      </c>
      <c r="BA5" s="15">
        <f t="shared" si="1"/>
        <v>887.22</v>
      </c>
      <c r="BB5" s="15">
        <f t="shared" si="1"/>
        <v>887.22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3457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3458</v>
      </c>
      <c r="D13" s="1513" t="s">
        <v>3453</v>
      </c>
      <c r="E13" s="13">
        <f>IF($C$3="是",ROUND($A$3*G13/$B$3,2),ROUND($A$3*(G13-AT13)/$B$3,2))</f>
        <v>0</v>
      </c>
      <c r="F13" s="29"/>
      <c r="G13" s="30">
        <f>H13+AC13+AT13</f>
        <v>443.61</v>
      </c>
      <c r="H13" s="17">
        <f>SUMIF(I$12:AB$12,"总值",I13:AB13)</f>
        <v>443.61</v>
      </c>
      <c r="I13" s="1514">
        <v>443.61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01层</v>
      </c>
      <c r="AY13" s="1260">
        <f>ROUND($AY$6*AZ13/$AZ$5,2)</f>
        <v>0</v>
      </c>
      <c r="AZ13" s="13">
        <f>BA13+BL13</f>
        <v>443.61</v>
      </c>
      <c r="BA13" s="13">
        <f>SUM(BB13:BK13)</f>
        <v>443.61</v>
      </c>
      <c r="BB13" s="13">
        <f>IF($D13="是",I13-J13,0)</f>
        <v>443.61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1462" t="s">
        <v>3459</v>
      </c>
      <c r="D14" s="1513" t="s">
        <v>3453</v>
      </c>
      <c r="E14" s="13">
        <f>IF($C$3="是",ROUND($A$3*G14/$B$3,2),ROUND($A$3*(G14-AT14)/$B$3,2))</f>
        <v>0</v>
      </c>
      <c r="F14" s="29"/>
      <c r="G14" s="30">
        <f>H14+AC14+AT14</f>
        <v>443.61</v>
      </c>
      <c r="H14" s="17">
        <f>SUMIF(I$12:AB$12,"总值",I14:AB14)</f>
        <v>443.61</v>
      </c>
      <c r="I14" s="1514">
        <v>443.61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02层</v>
      </c>
      <c r="AY14" s="1260">
        <f>ROUND($AY$6*AZ14/$AZ$5,2)</f>
        <v>0</v>
      </c>
      <c r="AZ14" s="13">
        <f>BA14+BL14</f>
        <v>443.61</v>
      </c>
      <c r="BA14" s="13">
        <f>SUM(BB14:BK14)</f>
        <v>443.61</v>
      </c>
      <c r="BB14" s="13">
        <f>IF($D14="是",I14-J14,0)</f>
        <v>443.61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4" t="s">
        <v>1131</v>
      </c>
      <c r="B2" s="3244"/>
      <c r="C2" s="3244"/>
      <c r="D2" s="748" t="s">
        <v>1107</v>
      </c>
      <c r="E2" s="1523" t="s">
        <v>1108</v>
      </c>
      <c r="F2" s="2434"/>
      <c r="G2" s="2427"/>
      <c r="H2" s="2428"/>
      <c r="I2" s="2146" t="s">
        <v>1132</v>
      </c>
      <c r="J2" s="2434"/>
      <c r="K2" s="2434"/>
      <c r="L2" s="2434"/>
      <c r="M2" s="2434"/>
      <c r="N2" s="2435"/>
      <c r="O2" s="2434"/>
      <c r="P2" s="2434"/>
    </row>
    <row r="3" spans="1:16" ht="14.5" thickBot="1">
      <c r="A3" s="3245" t="s">
        <v>1105</v>
      </c>
      <c r="B3" s="3245"/>
      <c r="C3" s="3245"/>
      <c r="D3" s="41">
        <f>'数据-基础表'!AY6</f>
        <v>0</v>
      </c>
      <c r="E3" s="41">
        <f>'数据-基础表'!AZ5</f>
        <v>887.22</v>
      </c>
      <c r="F3" s="2434"/>
      <c r="G3" s="42"/>
      <c r="H3" s="43" t="s">
        <v>1106</v>
      </c>
      <c r="I3" s="802" t="e">
        <f>ROUND('数据-基础表'!B3/'数据-基础表'!A3,2)</f>
        <v>#DIV/0!</v>
      </c>
      <c r="J3" s="2434"/>
      <c r="K3" s="2434"/>
      <c r="L3" s="2434"/>
      <c r="M3" s="2434"/>
      <c r="N3" s="2435"/>
      <c r="O3" s="2434"/>
      <c r="P3" s="2434"/>
    </row>
    <row r="4" spans="1:16">
      <c r="A4" s="3246"/>
      <c r="B4" s="3247"/>
      <c r="C4" s="3248"/>
      <c r="D4" s="1524" t="s">
        <v>1107</v>
      </c>
      <c r="E4" s="1525"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249" t="s">
        <v>1110</v>
      </c>
      <c r="C5" s="3249"/>
      <c r="D5" s="43">
        <f>ROUND($D$3*E5/$E$3,2)</f>
        <v>0</v>
      </c>
      <c r="E5" s="44">
        <f>SUMIF('数据-基础表'!$11:$11,"住宅",'数据-基础表'!$5:$5)</f>
        <v>0</v>
      </c>
      <c r="F5" s="2434"/>
      <c r="G5" s="42"/>
      <c r="H5" s="43" t="s">
        <v>1106</v>
      </c>
      <c r="I5" s="802" t="e">
        <f>ROUND(E31/D31,2)</f>
        <v>#DIV/0!</v>
      </c>
      <c r="J5" s="2434"/>
      <c r="K5" s="2434"/>
      <c r="L5" s="2434"/>
      <c r="M5" s="2434"/>
      <c r="N5" s="2434"/>
      <c r="O5" s="2434"/>
      <c r="P5" s="2434"/>
    </row>
    <row r="6" spans="1:16" ht="14.5" thickBot="1">
      <c r="A6" s="1527"/>
      <c r="B6" s="3249" t="s">
        <v>1111</v>
      </c>
      <c r="C6" s="3249"/>
      <c r="D6" s="43">
        <f>ROUND($D$3*E6/$E$3,2)</f>
        <v>0</v>
      </c>
      <c r="E6" s="44">
        <f>E3-E5</f>
        <v>887.22</v>
      </c>
      <c r="F6" s="2434"/>
      <c r="G6" s="1529" t="s">
        <v>1112</v>
      </c>
      <c r="H6" s="45" t="s">
        <v>1113</v>
      </c>
      <c r="I6" s="2430" t="e">
        <f>ROUND(F31/D31,2)</f>
        <v>#DIV/0!</v>
      </c>
      <c r="J6" s="2434"/>
      <c r="K6" s="2434"/>
      <c r="L6" s="2434"/>
      <c r="M6" s="2434"/>
      <c r="N6" s="2434"/>
      <c r="O6" s="2434"/>
      <c r="P6" s="2434"/>
    </row>
    <row r="7" spans="1:16" ht="14.5" thickBot="1">
      <c r="A7" s="3241"/>
      <c r="B7" s="3242"/>
      <c r="C7" s="3243"/>
      <c r="D7" s="1524" t="s">
        <v>1107</v>
      </c>
      <c r="E7" s="1528" t="s">
        <v>1114</v>
      </c>
      <c r="F7" s="2434"/>
      <c r="G7" s="2431" t="s">
        <v>1115</v>
      </c>
      <c r="H7" s="95"/>
      <c r="I7" s="2432"/>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887.22</v>
      </c>
      <c r="F8" s="2434"/>
      <c r="G8" s="2434"/>
      <c r="H8" s="2434"/>
      <c r="I8" s="2434"/>
      <c r="J8" s="2434"/>
      <c r="K8" s="2434"/>
      <c r="L8" s="2434"/>
      <c r="M8" s="2434"/>
      <c r="N8" s="2434"/>
      <c r="O8" s="2434"/>
      <c r="P8" s="2434"/>
    </row>
    <row r="9" spans="1:16">
      <c r="A9" s="1529"/>
      <c r="B9" s="1530"/>
      <c r="C9" s="43" t="s">
        <v>1119</v>
      </c>
      <c r="D9" s="43">
        <f t="shared" si="0"/>
        <v>0</v>
      </c>
      <c r="E9" s="47">
        <v>0</v>
      </c>
      <c r="F9" s="2434"/>
      <c r="G9" s="2434"/>
      <c r="H9" s="2434"/>
      <c r="I9" s="2434"/>
      <c r="J9" s="2434"/>
      <c r="K9" s="2434"/>
      <c r="L9" s="2434"/>
      <c r="M9" s="2434"/>
      <c r="N9" s="2434"/>
      <c r="O9" s="2434"/>
      <c r="P9" s="2434"/>
    </row>
    <row r="10" spans="1:16">
      <c r="A10" s="1529"/>
      <c r="B10" s="1530"/>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9"/>
      <c r="B11" s="1530"/>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9"/>
      <c r="B12" s="1530"/>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9"/>
      <c r="B13" s="1530"/>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9"/>
      <c r="B14" s="1530"/>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4.5" thickBot="1">
      <c r="A15" s="1529"/>
      <c r="B15" s="1530"/>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4.5" thickBot="1">
      <c r="A16" s="1527"/>
      <c r="B16" s="1530"/>
      <c r="C16" s="45" t="s">
        <v>1123</v>
      </c>
      <c r="D16" s="45">
        <f>SUM(D8:D15)</f>
        <v>0</v>
      </c>
      <c r="E16" s="48">
        <f>SUM(E8:E15)</f>
        <v>887.22</v>
      </c>
      <c r="F16" s="2434"/>
      <c r="G16" s="2434"/>
      <c r="H16" s="1531" t="s">
        <v>1135</v>
      </c>
      <c r="I16" s="1532"/>
      <c r="J16" s="1071"/>
      <c r="K16" s="3238" t="s">
        <v>1135</v>
      </c>
      <c r="L16" s="3239"/>
      <c r="M16" s="3239"/>
      <c r="N16" s="3239"/>
      <c r="O16" s="3239"/>
      <c r="P16" s="3240"/>
    </row>
    <row r="17" spans="1:19">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0" t="s">
        <v>3460</v>
      </c>
      <c r="D19" s="43">
        <f>ROUND($D$3*E19/$E$3,2)</f>
        <v>0</v>
      </c>
      <c r="E19" s="51">
        <f t="shared" ref="E19:E26" si="1">SUM(F19:G19)</f>
        <v>887.22</v>
      </c>
      <c r="F19" s="2552">
        <f>'数据-基础表'!B3</f>
        <v>887.22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887.22</v>
      </c>
    </row>
    <row r="20" spans="1:19">
      <c r="A20" s="1549"/>
      <c r="B20" s="45" t="s">
        <v>1153</v>
      </c>
      <c r="C20" s="3110"/>
      <c r="D20" s="43">
        <f t="shared" ref="D20:D26" si="6">ROUND($D$3*E20/$E$3,2)</f>
        <v>0</v>
      </c>
      <c r="E20" s="51">
        <f t="shared" si="1"/>
        <v>0</v>
      </c>
      <c r="F20" s="2552"/>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0"/>
      <c r="D21" s="43">
        <f t="shared" si="6"/>
        <v>0</v>
      </c>
      <c r="E21" s="51">
        <f t="shared" si="1"/>
        <v>0</v>
      </c>
      <c r="F21" s="2552"/>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887.22</v>
      </c>
      <c r="F27" s="1072">
        <f>IF(SUM(F19:F26)=E8,SUM(F19:F26),"地上面积有误")</f>
        <v>887.22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887.22</v>
      </c>
    </row>
    <row r="28" spans="1:19">
      <c r="A28" s="1549"/>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9"/>
      <c r="B29" s="45" t="s">
        <v>1155</v>
      </c>
      <c r="C29" s="1555"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c r="A30" s="1549"/>
      <c r="B30" s="45"/>
      <c r="C30" s="1556" t="s">
        <v>1154</v>
      </c>
      <c r="D30" s="1072">
        <f>SUM(D28:D29)</f>
        <v>0</v>
      </c>
      <c r="E30" s="1072">
        <f>SUM(E28:E29)</f>
        <v>0</v>
      </c>
      <c r="F30" s="1072">
        <f>SUM(F28:F29)</f>
        <v>0</v>
      </c>
      <c r="G30" s="1074">
        <f>SUM(G28:G29)</f>
        <v>0</v>
      </c>
      <c r="H30" s="2434"/>
      <c r="I30" s="2434"/>
      <c r="J30" s="2434"/>
      <c r="K30" s="2434"/>
      <c r="L30" s="2434"/>
      <c r="M30" s="2434"/>
      <c r="N30" s="2434"/>
      <c r="O30" s="2434"/>
      <c r="P30" s="2434"/>
    </row>
    <row r="31" spans="1:19" ht="14.5" thickBot="1">
      <c r="A31" s="1557"/>
      <c r="B31" s="96"/>
      <c r="C31" s="785" t="s">
        <v>1158</v>
      </c>
      <c r="D31" s="643">
        <f>D27+D30</f>
        <v>0</v>
      </c>
      <c r="E31" s="643">
        <f>E27+E30</f>
        <v>887.22</v>
      </c>
      <c r="F31" s="644">
        <f>F27+F30</f>
        <v>887.22</v>
      </c>
      <c r="G31" s="645">
        <f>G27+G30</f>
        <v>0</v>
      </c>
      <c r="H31" s="2434"/>
      <c r="I31" s="2434"/>
      <c r="J31" s="2434"/>
      <c r="K31" s="2434"/>
      <c r="L31" s="2434"/>
      <c r="M31" s="2434"/>
      <c r="N31" s="2434"/>
      <c r="O31" s="2434"/>
      <c r="P31" s="2434"/>
    </row>
    <row r="32" spans="1:19">
      <c r="A32" s="1526"/>
      <c r="B32" s="1526" t="s">
        <v>1159</v>
      </c>
      <c r="C32" s="1526"/>
      <c r="D32" s="1526"/>
      <c r="E32" s="990">
        <f>SUMIF(C19:C26,"*住宅*",E19:E26)</f>
        <v>0</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1" customFormat="1" ht="15" thickBot="1">
      <c r="A2" s="1562" t="s">
        <v>1161</v>
      </c>
      <c r="B2" s="984">
        <f>项目基本情况!D3</f>
        <v>45909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3"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0</v>
      </c>
      <c r="E6" s="804">
        <f>IF(B6="","",SUMIF(项目基本情况!C$12:I$12,C6,项目基本情况!C$13:I$13))</f>
        <v>53575</v>
      </c>
      <c r="F6" s="61">
        <f>SUMIF(项目基本情况!C$12:I$12,C6,项目基本情况!C$15:I$15)</f>
        <v>21</v>
      </c>
      <c r="G6" s="62">
        <f>IF(ISERROR(ROUND(POWER(1+H6,D6-F6)*(POWER(1+H6,F6)-1)/(POWER(1+H6,D6)-1),3)),0,ROUND(POWER(1+H6,D6-F6)*(POWER(1+H6,F6)-1)/(POWER(1+H6,D6)-1),3))</f>
        <v>0</v>
      </c>
      <c r="H6" s="691">
        <v>0.05</v>
      </c>
      <c r="I6" s="691">
        <v>5.5E-2</v>
      </c>
      <c r="J6" s="63">
        <v>7.0000000000000007E-2</v>
      </c>
      <c r="K6" s="970">
        <f>SUMIF('数据-汇总表'!C$19:C$33,A6,'数据-汇总表'!E$19:E$33)</f>
        <v>887.22</v>
      </c>
      <c r="L6" s="692">
        <v>2500</v>
      </c>
      <c r="M6" s="64">
        <f t="shared" ref="M6:M14" si="0">ROUND(K6*L6/10000,0)</f>
        <v>222</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1">
        <f>'信息+租赁合同'!Q16</f>
        <v>11.7</v>
      </c>
      <c r="V6" s="67">
        <v>0.02</v>
      </c>
      <c r="W6" s="67">
        <v>0.1</v>
      </c>
      <c r="X6" s="979"/>
      <c r="Y6" s="68">
        <f>N6</f>
        <v>0.7</v>
      </c>
      <c r="Z6" s="69"/>
      <c r="AA6" s="63"/>
      <c r="AB6" s="63"/>
      <c r="AC6" s="979"/>
      <c r="AD6" s="70"/>
      <c r="AE6" s="980">
        <f ca="1">IF(AN6="",0,SUMIF(INDIRECT("'"&amp;AN6&amp;"'"&amp;"!E:E"),$AE$5,INDIRECT("'"&amp;AN6&amp;"'"&amp;"!F:F")))</f>
        <v>21</v>
      </c>
      <c r="AF6" s="74"/>
      <c r="AG6" s="130">
        <f>IF(AF6="",0,AE6-AF6)</f>
        <v>0</v>
      </c>
      <c r="AH6" s="71"/>
      <c r="AI6" s="73">
        <v>365</v>
      </c>
      <c r="AJ6" s="74"/>
      <c r="AK6" s="75">
        <v>5.0000000000000001E-3</v>
      </c>
      <c r="AL6" s="76">
        <v>1E-3</v>
      </c>
      <c r="AM6" s="77">
        <v>5.0000000000000001E-3</v>
      </c>
      <c r="AN6" s="1589" t="s">
        <v>3452</v>
      </c>
      <c r="AO6" s="50">
        <f ca="1">SUMIF(INDIRECT("'"&amp;AN6&amp;"'"&amp;"!A:A"),"总价",INDIRECT("'"&amp;AN6&amp;"'"&amp;"!B:B"))</f>
        <v>4099.6175000000003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3"/>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3"/>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887.22</v>
      </c>
      <c r="L16" s="87">
        <f>ROUND(M16*10000/SUM(K6:K14),0)</f>
        <v>2502</v>
      </c>
      <c r="M16" s="87">
        <f>SUM(M6:M14)</f>
        <v>222</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4.5" thickBot="1">
      <c r="A18" s="57" t="s">
        <v>1210</v>
      </c>
      <c r="B18" s="2455"/>
      <c r="C18" s="2434"/>
      <c r="D18" s="2446"/>
      <c r="E18" s="2434"/>
      <c r="F18" s="2434"/>
      <c r="G18" s="2434"/>
      <c r="H18" s="2434"/>
      <c r="I18" s="2434"/>
      <c r="J18" s="2434"/>
      <c r="K18" s="2444"/>
      <c r="L18" s="2444"/>
      <c r="M18" s="2443"/>
      <c r="N18" s="2443">
        <v>2007</v>
      </c>
      <c r="O18" s="3508" t="s">
        <v>3449</v>
      </c>
      <c r="P18" s="3510">
        <f>N18-B20</f>
        <v>2006</v>
      </c>
      <c r="Q18" s="3510">
        <f>P18+40</f>
        <v>2046</v>
      </c>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
      <c r="A19" s="1596" t="s">
        <v>1211</v>
      </c>
      <c r="B19" s="97">
        <v>0</v>
      </c>
      <c r="C19" s="2555" t="s">
        <v>2302</v>
      </c>
      <c r="D19" s="2446"/>
      <c r="E19" s="2434"/>
      <c r="F19" s="2434"/>
      <c r="G19" s="2434"/>
      <c r="H19" s="2434"/>
      <c r="I19" s="2434"/>
      <c r="J19" s="2434"/>
      <c r="K19" s="2444"/>
      <c r="L19" s="2444"/>
      <c r="M19" s="2443"/>
      <c r="N19" s="2443">
        <f>ROUND(1-(1-0)*(2025-N18)/60,2)</f>
        <v>0.7</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
      <c r="A20" s="1597" t="s">
        <v>1212</v>
      </c>
      <c r="B20" s="98">
        <v>1</v>
      </c>
      <c r="C20" s="2556" t="s">
        <v>2300</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
      <c r="A21" s="1598" t="s">
        <v>1213</v>
      </c>
      <c r="B21" s="98">
        <f>B20</f>
        <v>1</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
      <c r="A22" s="1597" t="s">
        <v>1214</v>
      </c>
      <c r="B22" s="99">
        <f>B19+B20</f>
        <v>1</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
      <c r="A23" s="1598" t="s">
        <v>1215</v>
      </c>
      <c r="B23" s="99">
        <f>B19+B21</f>
        <v>1</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4.5" thickBot="1">
      <c r="A24" s="1599"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5" thickBot="1">
      <c r="A25" s="1449"/>
      <c r="B25" s="1542"/>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4.5" thickBot="1">
      <c r="A26" s="1562" t="s">
        <v>1217</v>
      </c>
      <c r="B26" s="1600"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5">
      <c r="A27" s="1601" t="s">
        <v>1220</v>
      </c>
      <c r="B27" s="101">
        <v>160</v>
      </c>
      <c r="C27" s="2557" t="s">
        <v>2304</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5">
      <c r="A28" s="1602"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 thickBot="1">
      <c r="A29" s="1603" t="s">
        <v>1222</v>
      </c>
      <c r="B29" s="105"/>
      <c r="C29" s="2558" t="s">
        <v>2294</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
      <c r="A30" s="1604" t="s">
        <v>1223</v>
      </c>
      <c r="B30" s="638">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
      <c r="A31" s="1602"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8.5" thickBot="1">
      <c r="A32" s="1605" t="s">
        <v>1225</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
      <c r="A33" s="1601" t="s">
        <v>1226</v>
      </c>
      <c r="B33" s="640">
        <v>0.05</v>
      </c>
      <c r="C33" s="2559" t="s">
        <v>3381</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
      <c r="A34" s="1602" t="s">
        <v>1227</v>
      </c>
      <c r="B34" s="106">
        <v>0</v>
      </c>
      <c r="C34" s="2559" t="s">
        <v>2295</v>
      </c>
      <c r="D34" s="2454" t="s">
        <v>2301</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
      <c r="A35" s="1602" t="s">
        <v>1228</v>
      </c>
      <c r="B35" s="103">
        <v>200</v>
      </c>
      <c r="C35" s="2559" t="s">
        <v>2296</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4.5" thickBot="1">
      <c r="A36" s="1603" t="s">
        <v>1229</v>
      </c>
      <c r="B36" s="107">
        <v>0.02</v>
      </c>
      <c r="C36" s="2559" t="s">
        <v>3399</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
      <c r="A37" s="1604" t="s">
        <v>1230</v>
      </c>
      <c r="B37" s="108">
        <v>0.02</v>
      </c>
      <c r="C37" s="2559" t="s">
        <v>3382</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
      <c r="A38" s="1602" t="s">
        <v>1231</v>
      </c>
      <c r="B38" s="106">
        <v>0.02</v>
      </c>
      <c r="C38" s="2559" t="s">
        <v>3383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
      <c r="A39" s="1605"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5" thickBot="1">
      <c r="A40" s="2568" t="s">
        <v>2310</v>
      </c>
      <c r="B40" s="1015">
        <f ca="1">IF(A40="利息：取LPR",存贷款利率!G1,存贷款利率!G1+C40)</f>
        <v>0.03</v>
      </c>
      <c r="C40" s="2567"/>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5">
      <c r="A41" s="1601"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
      <c r="A42" s="1606"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
      <c r="A43" s="1606" t="s">
        <v>1235</v>
      </c>
      <c r="B43" s="111">
        <f>B42*(B44+B45+B46)+B47</f>
        <v>6.000000000000001E-3</v>
      </c>
      <c r="C43" s="2448"/>
      <c r="D43" s="3509" t="s">
        <v>3451</v>
      </c>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
      <c r="A44" s="1607" t="s">
        <v>1236</v>
      </c>
      <c r="B44" s="112">
        <v>7.0000000000000007E-2</v>
      </c>
      <c r="C44" s="2559" t="s">
        <v>3384</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
      <c r="A45" s="1607" t="s">
        <v>1237</v>
      </c>
      <c r="B45" s="110">
        <v>0.03</v>
      </c>
      <c r="C45" s="2558" t="s">
        <v>2297</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
      <c r="A46" s="1607" t="s">
        <v>1238</v>
      </c>
      <c r="B46" s="110">
        <v>0.02</v>
      </c>
      <c r="C46" s="2558" t="s">
        <v>2298</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4.5" thickBot="1">
      <c r="A47" s="1608" t="s">
        <v>1239</v>
      </c>
      <c r="B47" s="113"/>
      <c r="C47" s="2561" t="s">
        <v>2305</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
      <c r="A48" s="1609" t="s">
        <v>1240</v>
      </c>
      <c r="B48" s="114">
        <v>0.03</v>
      </c>
      <c r="C48" s="2558" t="s">
        <v>2297</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4.5" thickBot="1">
      <c r="A49" s="1605" t="s">
        <v>1241</v>
      </c>
      <c r="B49" s="110">
        <v>5.0000000000000001E-4</v>
      </c>
      <c r="C49" s="2558" t="s">
        <v>2299</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5">
      <c r="A50" s="1610"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3"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
      <c r="A52" s="1610"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
      <c r="A53" s="1602" t="s">
        <v>1245</v>
      </c>
      <c r="B53" s="1611" t="s">
        <v>303</v>
      </c>
      <c r="C53" s="2435" t="s">
        <v>1246</v>
      </c>
      <c r="D53" s="2560" t="s">
        <v>2303</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
      <c r="A54" s="1612" t="s">
        <v>1247</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
      <c r="A55" s="1612" t="s">
        <v>1248</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
      <c r="A56" s="1612" t="s">
        <v>1249</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
      <c r="A57" s="1612" t="s">
        <v>1250</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
      <c r="A58" s="1612" t="s">
        <v>1251</v>
      </c>
      <c r="B58" s="72">
        <f>C58</f>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
      <c r="A59" s="1612" t="s">
        <v>1252</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
      <c r="A60" s="1612"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
      <c r="A61" s="1612"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
      <c r="A62" s="1612"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4.5" thickBot="1">
      <c r="A63" s="1613"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50" t="s">
        <v>2286</v>
      </c>
      <c r="B1" s="3251"/>
      <c r="C1" s="3251"/>
      <c r="D1" s="3251"/>
      <c r="E1" s="3251"/>
      <c r="F1" s="3251"/>
      <c r="G1" s="325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887.22</v>
      </c>
      <c r="C1" s="2456"/>
      <c r="D1" s="2456"/>
      <c r="E1" s="2456"/>
      <c r="F1" s="2456"/>
      <c r="G1" s="2457"/>
      <c r="H1" s="2457"/>
      <c r="I1" s="2457"/>
      <c r="J1" s="2457"/>
      <c r="K1" s="2457"/>
    </row>
    <row r="2" spans="1:11" ht="16.5">
      <c r="A2" s="2298" t="s">
        <v>653</v>
      </c>
      <c r="B2" s="2298">
        <f>SUM(C14:C23)</f>
        <v>0</v>
      </c>
      <c r="C2" s="2456"/>
      <c r="D2" s="2456"/>
      <c r="E2" s="2456"/>
      <c r="F2" s="2456"/>
      <c r="G2" s="2457"/>
      <c r="H2" s="2457"/>
      <c r="I2" s="2457"/>
      <c r="J2" s="2457"/>
      <c r="K2" s="2457"/>
    </row>
    <row r="3" spans="1:11" ht="16.5">
      <c r="A3" s="2298" t="s">
        <v>662</v>
      </c>
      <c r="B3" s="2300">
        <f>项目基本情况!D3</f>
        <v>45909</v>
      </c>
      <c r="C3" s="2456"/>
      <c r="D3" s="2456"/>
      <c r="E3" s="2456"/>
      <c r="F3" s="2456"/>
      <c r="G3" s="2457"/>
      <c r="H3" s="2457"/>
      <c r="I3" s="2457"/>
      <c r="J3" s="2457"/>
      <c r="K3" s="2457"/>
    </row>
    <row r="4" spans="1:11" ht="33">
      <c r="A4" s="2298" t="s">
        <v>661</v>
      </c>
      <c r="B4" s="2298" t="s">
        <v>660</v>
      </c>
      <c r="C4" s="2298" t="s">
        <v>659</v>
      </c>
      <c r="D4" s="2298" t="s">
        <v>658</v>
      </c>
      <c r="E4" s="2456"/>
      <c r="F4" s="2457"/>
      <c r="G4" s="2457"/>
      <c r="H4" s="2457"/>
      <c r="I4" s="2457"/>
      <c r="J4" s="2457"/>
      <c r="K4" s="2457"/>
    </row>
    <row r="5" spans="1:11" ht="16.5">
      <c r="A5" s="2298" t="s">
        <v>657</v>
      </c>
      <c r="B5" s="2298">
        <f ca="1">SUM(D14:D23)</f>
        <v>5151.8203999999996</v>
      </c>
      <c r="C5" s="2298">
        <f ca="1">IF(B5=D14,结果表!H102,ROUND(B5*10000/$B$1,0))</f>
        <v>58067</v>
      </c>
      <c r="D5" s="2298" t="e">
        <f ca="1">ROUND(B5*10000/$B$2,0)</f>
        <v>#DIV/0!</v>
      </c>
      <c r="E5" s="2456"/>
      <c r="F5" s="2457"/>
      <c r="G5" s="2457"/>
      <c r="H5" s="2457"/>
      <c r="I5" s="2457"/>
      <c r="J5" s="2457"/>
      <c r="K5" s="2457"/>
    </row>
    <row r="6" spans="1:11" ht="16.5">
      <c r="A6" s="2298" t="s">
        <v>656</v>
      </c>
      <c r="B6" s="2298">
        <f ca="1">SUM(G14:G23)</f>
        <v>5151.8203999999996</v>
      </c>
      <c r="C6" s="2298">
        <f ca="1">IF(B6=G14,结果表!H108,ROUND(B6*10000/$B$1,0))</f>
        <v>58067</v>
      </c>
      <c r="D6" s="2298" t="e">
        <f ca="1">ROUND(B6*10000/$B$2,0)</f>
        <v>#DIV/0!</v>
      </c>
      <c r="E6" s="2456"/>
      <c r="F6" s="2457"/>
      <c r="G6" s="2457"/>
      <c r="H6" s="2457"/>
      <c r="I6" s="2457"/>
      <c r="J6" s="2457"/>
      <c r="K6" s="2457"/>
    </row>
    <row r="7" spans="1:11" ht="16.5">
      <c r="A7" s="2298" t="s">
        <v>664</v>
      </c>
      <c r="B7" s="2298">
        <f>SUM(H14:H23)</f>
        <v>0</v>
      </c>
      <c r="C7" s="2298" t="str">
        <f>IF(B7=H14,结果表!H110,ROUND(B7*10000/$B$1,0))</f>
        <v>——</v>
      </c>
      <c r="D7" s="2298" t="e">
        <f>ROUND(B7*10000/$B$2,0)</f>
        <v>#DIV/0!</v>
      </c>
      <c r="E7" s="2456"/>
      <c r="F7" s="2457"/>
      <c r="G7" s="2457"/>
      <c r="H7" s="2457"/>
      <c r="I7" s="2457"/>
      <c r="J7" s="2457"/>
      <c r="K7" s="2457"/>
    </row>
    <row r="8" spans="1:11" ht="16.5">
      <c r="A8" s="2298" t="s">
        <v>587</v>
      </c>
      <c r="B8" s="2298">
        <f ca="1">SUM(I14:I23)</f>
        <v>5149.2444999999998</v>
      </c>
      <c r="C8" s="2298">
        <f ca="1">IF(B8=I14,结果表!H112,ROUND(B8*10000/$B$1,0))</f>
        <v>58038</v>
      </c>
      <c r="D8" s="2298" t="e">
        <f ca="1">ROUND(B8*10000/$B$2,0)</f>
        <v>#DIV/0!</v>
      </c>
      <c r="E8" s="2456"/>
      <c r="F8" s="2457"/>
      <c r="G8" s="2457"/>
      <c r="H8" s="2457"/>
      <c r="I8" s="2457"/>
      <c r="J8" s="2457"/>
      <c r="K8" s="2457"/>
    </row>
    <row r="9" spans="1:11" ht="16.5">
      <c r="A9" s="2298" t="s">
        <v>655</v>
      </c>
      <c r="B9" s="1244"/>
      <c r="C9" s="2456"/>
      <c r="D9" s="2456"/>
      <c r="E9" s="2456"/>
      <c r="F9" s="2457"/>
      <c r="G9" s="2457"/>
      <c r="H9" s="2457"/>
      <c r="I9" s="2457"/>
      <c r="J9" s="2457"/>
      <c r="K9" s="2457"/>
    </row>
    <row r="10" spans="1:11" ht="16.5">
      <c r="A10" s="2298" t="s">
        <v>654</v>
      </c>
      <c r="B10" s="2298">
        <f>IF(E10="",0,ROUND(B1*(E10*365/G10)/10000,0))</f>
        <v>0</v>
      </c>
      <c r="C10" s="2298" t="s">
        <v>3354</v>
      </c>
      <c r="D10" s="2298" t="s">
        <v>3355</v>
      </c>
      <c r="E10" s="3131"/>
      <c r="F10" s="3135" t="s">
        <v>3356</v>
      </c>
      <c r="G10" s="3132"/>
      <c r="H10" s="2457"/>
      <c r="I10" s="2457"/>
      <c r="J10" s="2457"/>
      <c r="K10" s="2457"/>
    </row>
    <row r="11" spans="1:11" ht="16.5">
      <c r="A11" s="2298" t="s">
        <v>670</v>
      </c>
      <c r="B11" s="1244"/>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301" t="s">
        <v>669</v>
      </c>
      <c r="B13" s="2302" t="s">
        <v>666</v>
      </c>
      <c r="C13" s="2302" t="s">
        <v>668</v>
      </c>
      <c r="D13" s="2302" t="s">
        <v>667</v>
      </c>
      <c r="E13" s="2298" t="s">
        <v>659</v>
      </c>
      <c r="F13" s="2298" t="s">
        <v>658</v>
      </c>
      <c r="G13" s="2302" t="s">
        <v>652</v>
      </c>
      <c r="H13" s="2302" t="s">
        <v>663</v>
      </c>
      <c r="I13" s="2302" t="s">
        <v>651</v>
      </c>
      <c r="J13" s="2457"/>
      <c r="K13" s="2457"/>
    </row>
    <row r="14" spans="1:11" ht="16.5">
      <c r="A14" s="2303" t="s">
        <v>650</v>
      </c>
      <c r="B14" s="2304">
        <f>结果表!B118</f>
        <v>887.22</v>
      </c>
      <c r="C14" s="2304"/>
      <c r="D14" s="2304">
        <f ca="1">结果表!H118</f>
        <v>5151.8203999999996</v>
      </c>
      <c r="E14" s="2304">
        <f ca="1">结果表!I118</f>
        <v>58067</v>
      </c>
      <c r="F14" s="2304" t="e">
        <f ca="1">ROUND(D14*10000/C14,0)</f>
        <v>#DIV/0!</v>
      </c>
      <c r="G14" s="2304">
        <f ca="1">D14</f>
        <v>5151.8203999999996</v>
      </c>
      <c r="H14" s="2304"/>
      <c r="I14" s="2304">
        <f ca="1">结果表!N59</f>
        <v>5149.2444999999998</v>
      </c>
      <c r="J14" s="2457"/>
      <c r="K14" s="2457"/>
    </row>
    <row r="15" spans="1:11" ht="16.5">
      <c r="A15" s="2303" t="s">
        <v>649</v>
      </c>
      <c r="B15" s="2305"/>
      <c r="C15" s="2305"/>
      <c r="D15" s="2305"/>
      <c r="E15" s="2304" t="e">
        <f t="shared" ref="E15:E23" si="0">ROUND(D15*10000/B15,0)</f>
        <v>#DIV/0!</v>
      </c>
      <c r="F15" s="2304" t="e">
        <f t="shared" ref="F15:F23" si="1">ROUND(D15*10000/C15,0)</f>
        <v>#DIV/0!</v>
      </c>
      <c r="G15" s="1244"/>
      <c r="H15" s="1244"/>
      <c r="I15" s="2305"/>
      <c r="J15" s="2457"/>
      <c r="K15" s="2457"/>
    </row>
    <row r="16" spans="1:11" ht="16.5">
      <c r="A16" s="2303" t="s">
        <v>648</v>
      </c>
      <c r="B16" s="2305"/>
      <c r="C16" s="2305"/>
      <c r="D16" s="2305"/>
      <c r="E16" s="2304" t="e">
        <f t="shared" si="0"/>
        <v>#DIV/0!</v>
      </c>
      <c r="F16" s="2304" t="e">
        <f t="shared" si="1"/>
        <v>#DIV/0!</v>
      </c>
      <c r="G16" s="1244"/>
      <c r="H16" s="1244"/>
      <c r="I16" s="2305"/>
      <c r="J16" s="2457"/>
      <c r="K16" s="2457"/>
    </row>
    <row r="17" spans="1:11" ht="16.5">
      <c r="A17" s="2303" t="s">
        <v>647</v>
      </c>
      <c r="B17" s="2305"/>
      <c r="C17" s="2305"/>
      <c r="D17" s="2305"/>
      <c r="E17" s="2304" t="e">
        <f t="shared" si="0"/>
        <v>#DIV/0!</v>
      </c>
      <c r="F17" s="2304" t="e">
        <f t="shared" si="1"/>
        <v>#DIV/0!</v>
      </c>
      <c r="G17" s="1244"/>
      <c r="H17" s="1244"/>
      <c r="I17" s="2305"/>
      <c r="J17" s="2457"/>
      <c r="K17" s="2457"/>
    </row>
    <row r="18" spans="1:11" ht="16.5">
      <c r="A18" s="2303" t="s">
        <v>646</v>
      </c>
      <c r="B18" s="2305"/>
      <c r="C18" s="2305"/>
      <c r="D18" s="2305"/>
      <c r="E18" s="2304" t="e">
        <f t="shared" si="0"/>
        <v>#DIV/0!</v>
      </c>
      <c r="F18" s="2304" t="e">
        <f t="shared" si="1"/>
        <v>#DIV/0!</v>
      </c>
      <c r="G18" s="2305"/>
      <c r="H18" s="2305"/>
      <c r="I18" s="2305"/>
      <c r="J18" s="2457"/>
      <c r="K18" s="2457"/>
    </row>
    <row r="19" spans="1:11" ht="16.5">
      <c r="A19" s="2303" t="s">
        <v>645</v>
      </c>
      <c r="B19" s="2305"/>
      <c r="C19" s="2305"/>
      <c r="D19" s="2305"/>
      <c r="E19" s="2304" t="e">
        <f t="shared" si="0"/>
        <v>#DIV/0!</v>
      </c>
      <c r="F19" s="2304" t="e">
        <f t="shared" si="1"/>
        <v>#DIV/0!</v>
      </c>
      <c r="G19" s="2305"/>
      <c r="H19" s="2305"/>
      <c r="I19" s="2305"/>
      <c r="J19" s="2457"/>
      <c r="K19" s="2457"/>
    </row>
    <row r="20" spans="1:11" ht="16.5">
      <c r="A20" s="2303" t="s">
        <v>644</v>
      </c>
      <c r="B20" s="2305"/>
      <c r="C20" s="2305"/>
      <c r="D20" s="2305"/>
      <c r="E20" s="2304" t="e">
        <f t="shared" si="0"/>
        <v>#DIV/0!</v>
      </c>
      <c r="F20" s="2304" t="e">
        <f t="shared" si="1"/>
        <v>#DIV/0!</v>
      </c>
      <c r="G20" s="2305"/>
      <c r="H20" s="2305"/>
      <c r="I20" s="2305"/>
      <c r="J20" s="2457"/>
      <c r="K20" s="2457"/>
    </row>
    <row r="21" spans="1:11" ht="16.5">
      <c r="A21" s="2303" t="s">
        <v>643</v>
      </c>
      <c r="B21" s="2305"/>
      <c r="C21" s="2305"/>
      <c r="D21" s="2305"/>
      <c r="E21" s="2304" t="e">
        <f t="shared" si="0"/>
        <v>#DIV/0!</v>
      </c>
      <c r="F21" s="2304" t="e">
        <f t="shared" si="1"/>
        <v>#DIV/0!</v>
      </c>
      <c r="G21" s="2305"/>
      <c r="H21" s="2305"/>
      <c r="I21" s="2305"/>
      <c r="J21" s="2457"/>
      <c r="K21" s="2457"/>
    </row>
    <row r="22" spans="1:11" ht="16.5">
      <c r="A22" s="2303" t="s">
        <v>642</v>
      </c>
      <c r="B22" s="2305"/>
      <c r="C22" s="2305"/>
      <c r="D22" s="2305"/>
      <c r="E22" s="2304" t="e">
        <f t="shared" si="0"/>
        <v>#DIV/0!</v>
      </c>
      <c r="F22" s="2304" t="e">
        <f t="shared" si="1"/>
        <v>#DIV/0!</v>
      </c>
      <c r="G22" s="2305"/>
      <c r="H22" s="2305"/>
      <c r="I22" s="2305"/>
      <c r="J22" s="2457"/>
      <c r="K22" s="2457"/>
    </row>
    <row r="23" spans="1:11" ht="16.5">
      <c r="A23" s="2303" t="s">
        <v>641</v>
      </c>
      <c r="B23" s="2305"/>
      <c r="C23" s="2305"/>
      <c r="D23" s="2305"/>
      <c r="E23" s="1244" t="e">
        <f t="shared" si="0"/>
        <v>#DIV/0!</v>
      </c>
      <c r="F23" s="1244" t="e">
        <f t="shared" si="1"/>
        <v>#DIV/0!</v>
      </c>
      <c r="G23" s="2305"/>
      <c r="H23" s="2305"/>
      <c r="I23" s="2305"/>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76" sqref="C7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286" t="str">
        <f>项目基本情况!S2</f>
        <v>北京市海淀区蓝靛厂晨月园甲3号楼1层01层等[2]套房地产</v>
      </c>
      <c r="B2" s="3287"/>
      <c r="C2" s="3287"/>
      <c r="D2" s="3287"/>
      <c r="E2" s="3287"/>
      <c r="F2" s="3287"/>
      <c r="G2" s="3287"/>
      <c r="H2" s="3287"/>
      <c r="I2" s="3288"/>
    </row>
    <row r="3" spans="1:12" ht="13">
      <c r="A3" s="3290" t="s">
        <v>1264</v>
      </c>
      <c r="B3" s="3291"/>
      <c r="C3" s="3291"/>
      <c r="D3" s="3291"/>
      <c r="E3" s="3291"/>
      <c r="F3" s="3291"/>
      <c r="G3" s="3291"/>
      <c r="H3" s="3291"/>
      <c r="I3" s="3291"/>
    </row>
    <row r="4" spans="1:12" ht="14">
      <c r="A4" s="1624" t="s">
        <v>1265</v>
      </c>
      <c r="B4" s="1625" t="s">
        <v>1266</v>
      </c>
      <c r="C4" s="1626" t="s">
        <v>3528</v>
      </c>
      <c r="D4" s="1626" t="s">
        <v>3452</v>
      </c>
      <c r="E4" s="3292" t="s">
        <v>1267</v>
      </c>
      <c r="F4" s="3293"/>
      <c r="G4" s="3293"/>
      <c r="H4" s="3293"/>
      <c r="I4" s="329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66" t="s">
        <v>1268</v>
      </c>
      <c r="B5" s="3253">
        <v>25</v>
      </c>
      <c r="C5" s="3269"/>
      <c r="D5" s="3289"/>
      <c r="E5" s="123" t="s">
        <v>1269</v>
      </c>
      <c r="F5" s="1627"/>
      <c r="G5" s="1627"/>
      <c r="H5" s="1627"/>
      <c r="I5" s="1281"/>
    </row>
    <row r="6" spans="1:12" ht="13">
      <c r="A6" s="3266"/>
      <c r="B6" s="3253"/>
      <c r="C6" s="3270"/>
      <c r="D6" s="3289"/>
      <c r="E6" s="123" t="s">
        <v>1270</v>
      </c>
      <c r="F6" s="1627"/>
      <c r="G6" s="1627"/>
      <c r="H6" s="1627"/>
      <c r="I6" s="1281"/>
    </row>
    <row r="7" spans="1:12" ht="13">
      <c r="A7" s="3266"/>
      <c r="B7" s="3253"/>
      <c r="C7" s="3271"/>
      <c r="D7" s="3289"/>
      <c r="E7" s="123" t="s">
        <v>1271</v>
      </c>
      <c r="F7" s="1627"/>
      <c r="G7" s="1627"/>
      <c r="H7" s="1627"/>
      <c r="I7" s="1281"/>
    </row>
    <row r="8" spans="1:12" ht="13">
      <c r="A8" s="3266" t="s">
        <v>1272</v>
      </c>
      <c r="B8" s="3253">
        <v>15</v>
      </c>
      <c r="C8" s="3269"/>
      <c r="D8" s="3289"/>
      <c r="E8" s="123" t="s">
        <v>1273</v>
      </c>
      <c r="F8" s="1627"/>
      <c r="G8" s="1627"/>
      <c r="H8" s="1627"/>
      <c r="I8" s="1281"/>
    </row>
    <row r="9" spans="1:12" ht="13">
      <c r="A9" s="3266"/>
      <c r="B9" s="3253"/>
      <c r="C9" s="3271"/>
      <c r="D9" s="3289"/>
      <c r="E9" s="123" t="s">
        <v>1274</v>
      </c>
      <c r="F9" s="1627"/>
      <c r="G9" s="1627"/>
      <c r="H9" s="1627"/>
      <c r="I9" s="1281"/>
    </row>
    <row r="10" spans="1:12" ht="13">
      <c r="A10" s="3266" t="s">
        <v>1275</v>
      </c>
      <c r="B10" s="3253">
        <v>15</v>
      </c>
      <c r="C10" s="3269"/>
      <c r="D10" s="3289"/>
      <c r="E10" s="123" t="s">
        <v>1276</v>
      </c>
      <c r="F10" s="1627"/>
      <c r="G10" s="1627"/>
      <c r="H10" s="1627"/>
      <c r="I10" s="1281"/>
    </row>
    <row r="11" spans="1:12" ht="13">
      <c r="A11" s="3266"/>
      <c r="B11" s="3253"/>
      <c r="C11" s="3271"/>
      <c r="D11" s="3289"/>
      <c r="E11" s="123" t="s">
        <v>1277</v>
      </c>
      <c r="F11" s="1627"/>
      <c r="G11" s="1627"/>
      <c r="H11" s="1627"/>
      <c r="I11" s="1281"/>
    </row>
    <row r="12" spans="1:12" ht="13">
      <c r="A12" s="3266" t="s">
        <v>1278</v>
      </c>
      <c r="B12" s="3253">
        <v>15</v>
      </c>
      <c r="C12" s="3269"/>
      <c r="D12" s="3289"/>
      <c r="E12" s="123" t="s">
        <v>1279</v>
      </c>
      <c r="F12" s="1627"/>
      <c r="G12" s="1627"/>
      <c r="H12" s="1627"/>
      <c r="I12" s="1281"/>
    </row>
    <row r="13" spans="1:12" ht="13">
      <c r="A13" s="3266"/>
      <c r="B13" s="3253"/>
      <c r="C13" s="3271"/>
      <c r="D13" s="3289"/>
      <c r="E13" s="123" t="s">
        <v>1280</v>
      </c>
      <c r="F13" s="1627"/>
      <c r="G13" s="1627"/>
      <c r="H13" s="1627"/>
      <c r="I13" s="1281"/>
    </row>
    <row r="14" spans="1:12" ht="13">
      <c r="A14" s="3266" t="s">
        <v>1281</v>
      </c>
      <c r="B14" s="3253">
        <v>30</v>
      </c>
      <c r="C14" s="3269">
        <v>6</v>
      </c>
      <c r="D14" s="3289">
        <v>4</v>
      </c>
      <c r="E14" s="123" t="s">
        <v>1282</v>
      </c>
      <c r="F14" s="1627"/>
      <c r="G14" s="1627"/>
      <c r="H14" s="1627"/>
      <c r="I14" s="1281"/>
    </row>
    <row r="15" spans="1:12" ht="13">
      <c r="A15" s="3266"/>
      <c r="B15" s="3253"/>
      <c r="C15" s="3270"/>
      <c r="D15" s="3289"/>
      <c r="E15" s="123" t="s">
        <v>1283</v>
      </c>
      <c r="F15" s="1627"/>
      <c r="G15" s="1627"/>
      <c r="H15" s="1627"/>
      <c r="I15" s="1281"/>
    </row>
    <row r="16" spans="1:12" ht="13">
      <c r="A16" s="3266"/>
      <c r="B16" s="3253"/>
      <c r="C16" s="3271"/>
      <c r="D16" s="3289"/>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76" t="s">
        <v>2131</v>
      </c>
      <c r="F18" s="3277"/>
      <c r="G18" s="3277"/>
      <c r="H18" s="3277"/>
      <c r="I18" s="3277"/>
      <c r="K18" s="294" t="s">
        <v>1289</v>
      </c>
      <c r="L18" s="294">
        <f>IF(C1="",'数据-汇总表'!E3,SUMIF(项目类型,C1,'数据-汇总表'!E17:E26)+SUMIF(项目类型,C1,'数据-汇总表'!I17:I26))</f>
        <v>887.22</v>
      </c>
      <c r="M18" s="294">
        <f>IF(C1="",'数据-汇总表'!E3,SUMIF(项目类型,C1,'数据-汇总表'!E17:E26))</f>
        <v>887.22</v>
      </c>
    </row>
    <row r="19" spans="1:36" ht="14">
      <c r="A19" s="1630" t="s">
        <v>1290</v>
      </c>
      <c r="B19" s="1631" t="s">
        <v>1291</v>
      </c>
      <c r="C19" s="126">
        <f ca="1">SUMIF(INDIRECT("'"&amp;C4&amp;"'"&amp;"!A:A"),结果表!B19,INDIRECT("'"&amp;C4&amp;"'"&amp;"!B:B"))</f>
        <v>5853.2565000000004</v>
      </c>
      <c r="D19" s="127">
        <f ca="1">SUMIF(INDIRECT("'"&amp;D4&amp;"'"&amp;"!A:A"),结果表!B19,INDIRECT("'"&amp;D4&amp;"'"&amp;"!B:B"))</f>
        <v>4099.6175000000003</v>
      </c>
      <c r="E19" s="1630" t="s">
        <v>1292</v>
      </c>
      <c r="F19" s="1631" t="s">
        <v>1291</v>
      </c>
      <c r="G19" s="128">
        <f ca="1">ROUND(C19*$C$18+D19*$D$18,0)</f>
        <v>5152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65973</v>
      </c>
      <c r="D20" s="130">
        <f ca="1">SUMIF(INDIRECT("'"&amp;D4&amp;"'"&amp;"!A:A"),结果表!B20,INDIRECT("'"&amp;D4&amp;"'"&amp;"!B:B"))</f>
        <v>46207</v>
      </c>
      <c r="E20" s="1633"/>
      <c r="F20" s="43" t="s">
        <v>1295</v>
      </c>
      <c r="G20" s="131">
        <f ca="1">ROUND(C20*$C$18+D20*$D$18,0)</f>
        <v>58067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0.42775673584181928</v>
      </c>
      <c r="E22" s="121"/>
      <c r="F22" s="121"/>
      <c r="G22" s="121"/>
      <c r="H22" s="121"/>
      <c r="I22" s="121"/>
    </row>
    <row r="23" spans="1:36" ht="13" thickBot="1">
      <c r="A23" s="646"/>
      <c r="B23" s="646"/>
      <c r="C23" s="646"/>
      <c r="D23" s="646"/>
      <c r="E23" s="121"/>
      <c r="F23" s="121"/>
      <c r="G23" s="121"/>
      <c r="H23" s="121"/>
      <c r="I23" s="121"/>
    </row>
    <row r="24" spans="1:36" ht="14">
      <c r="A24" s="3260" t="s">
        <v>1299</v>
      </c>
      <c r="B24" s="1631" t="s">
        <v>1291</v>
      </c>
      <c r="C24" s="128">
        <f>IF(B30=0,0,D30)</f>
        <v>0</v>
      </c>
      <c r="D24" s="1637"/>
      <c r="E24" s="121"/>
      <c r="F24" s="121"/>
      <c r="G24" s="121"/>
      <c r="H24" s="121"/>
      <c r="I24" s="121"/>
    </row>
    <row r="25" spans="1:36" ht="14">
      <c r="A25" s="32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58"/>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58067</v>
      </c>
      <c r="D32" s="1641" t="s">
        <v>3532</v>
      </c>
      <c r="E32" s="121"/>
      <c r="F32" s="121"/>
      <c r="G32" s="121"/>
      <c r="H32" s="121"/>
      <c r="I32" s="121"/>
    </row>
    <row r="33" spans="1:15" ht="14">
      <c r="A33" s="740" t="s">
        <v>1306</v>
      </c>
      <c r="B33" s="123"/>
      <c r="C33" s="1642" t="s">
        <v>3533</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0" t="s">
        <v>1312</v>
      </c>
      <c r="B36" s="1652" t="s">
        <v>1313</v>
      </c>
      <c r="C36" s="137"/>
      <c r="D36" s="1653"/>
      <c r="E36" s="1567"/>
      <c r="F36" s="1654"/>
      <c r="G36" s="121"/>
      <c r="H36" s="121"/>
      <c r="I36" s="121"/>
    </row>
    <row r="37" spans="1:15" ht="14.5" thickBot="1">
      <c r="A37" s="3281"/>
      <c r="B37" s="1555" t="s">
        <v>1314</v>
      </c>
      <c r="C37" s="139"/>
      <c r="D37" s="1071"/>
      <c r="E37" s="1071"/>
      <c r="F37" s="1654"/>
      <c r="G37" s="121"/>
      <c r="H37" s="121"/>
      <c r="I37" s="121"/>
    </row>
    <row r="38" spans="1:15" ht="14.5" thickBot="1">
      <c r="A38" s="3282"/>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57" t="s">
        <v>1326</v>
      </c>
      <c r="B45" s="3258"/>
      <c r="C45" s="3259"/>
      <c r="D45" s="3521">
        <f ca="1">ROUND(H101*F45,4)</f>
        <v>5151.8203999999996</v>
      </c>
      <c r="E45" s="148" t="s">
        <v>1327</v>
      </c>
      <c r="F45" s="149">
        <v>1</v>
      </c>
      <c r="G45" s="150" t="s">
        <v>1328</v>
      </c>
      <c r="H45" s="121"/>
      <c r="I45" s="121"/>
      <c r="J45" s="3335" t="s">
        <v>1329</v>
      </c>
      <c r="K45" s="3335"/>
      <c r="L45" s="3335"/>
      <c r="M45" s="3335"/>
      <c r="N45" s="3335"/>
      <c r="O45" s="3335"/>
    </row>
    <row r="46" spans="1:15" ht="14.25" customHeight="1">
      <c r="A46" s="3254" t="s">
        <v>1330</v>
      </c>
      <c r="B46" s="3255"/>
      <c r="C46" s="3255"/>
      <c r="D46" s="3255"/>
      <c r="E46" s="3255"/>
      <c r="F46" s="3255"/>
      <c r="G46" s="3256"/>
      <c r="H46" s="1668"/>
      <c r="I46" s="151"/>
      <c r="J46" s="2308">
        <v>1</v>
      </c>
      <c r="K46" s="3316" t="s">
        <v>1331</v>
      </c>
      <c r="L46" s="3316"/>
      <c r="M46" s="3336"/>
      <c r="N46" s="3336"/>
      <c r="O46" s="3336"/>
    </row>
    <row r="47" spans="1:15" ht="12" customHeight="1">
      <c r="A47" s="152" t="s">
        <v>1332</v>
      </c>
      <c r="B47" s="153"/>
      <c r="C47" s="154"/>
      <c r="D47" s="1024" t="s">
        <v>1333</v>
      </c>
      <c r="E47" s="294" t="s">
        <v>1334</v>
      </c>
      <c r="F47" s="155" t="s">
        <v>1335</v>
      </c>
      <c r="G47" s="2331" t="s">
        <v>1336</v>
      </c>
      <c r="H47" s="2332"/>
      <c r="I47" s="151"/>
      <c r="J47" s="2308">
        <v>2</v>
      </c>
      <c r="K47" s="3316" t="s">
        <v>1337</v>
      </c>
      <c r="L47" s="3316"/>
      <c r="M47" s="3337">
        <f>'数据-取费表'!B2</f>
        <v>45909</v>
      </c>
      <c r="N47" s="3337"/>
      <c r="O47" s="3337"/>
    </row>
    <row r="48" spans="1:15" ht="26">
      <c r="A48" s="3285" t="s">
        <v>1338</v>
      </c>
      <c r="B48" s="3268"/>
      <c r="C48" s="3268"/>
      <c r="D48" s="12">
        <f ca="1">IF(H48="情况1",0,IF(H48="情况2",D52,IF(H48="情况3",D53,IF(H48="情况4",D54))))</f>
        <v>0</v>
      </c>
      <c r="E48" s="1256" t="str">
        <f>IF(H48="情况4","(销售额-原购置价)×税（费）率","销售额×税（费）率")</f>
        <v>(销售额-原购置价)×税（费）率</v>
      </c>
      <c r="F48" s="2333">
        <f>IF(H48="情况1","免征",'数据-取费表'!B41)</f>
        <v>5.6000000000000001E-2</v>
      </c>
      <c r="G48" s="2334" t="s">
        <v>1339</v>
      </c>
      <c r="H48" s="2335" t="s">
        <v>3534</v>
      </c>
      <c r="I48" s="1668"/>
      <c r="J48" s="2308">
        <v>3</v>
      </c>
      <c r="K48" s="3316" t="s">
        <v>1340</v>
      </c>
      <c r="L48" s="3316"/>
      <c r="M48" s="3338">
        <f ca="1">H101</f>
        <v>5151.8203999999996</v>
      </c>
      <c r="N48" s="3338"/>
      <c r="O48" s="3338"/>
    </row>
    <row r="49" spans="1:35" ht="25.5" customHeight="1">
      <c r="A49" s="2152" t="s">
        <v>1341</v>
      </c>
      <c r="B49" s="3252" t="s">
        <v>1342</v>
      </c>
      <c r="C49" s="3252"/>
      <c r="D49" s="1478">
        <v>0</v>
      </c>
      <c r="E49" s="316" t="s">
        <v>1343</v>
      </c>
      <c r="F49" s="2231" t="s">
        <v>28</v>
      </c>
      <c r="G49" s="3322"/>
      <c r="H49" s="2134" t="s">
        <v>2134</v>
      </c>
      <c r="I49" s="2135"/>
      <c r="J49" s="2308">
        <v>4</v>
      </c>
      <c r="K49" s="3316" t="str">
        <f>IF(项目基本情况!E8="房地产抵押价值","房地产抵押价值","抵押担保权已注销时的房地产抵押价值")</f>
        <v>房地产抵押价值</v>
      </c>
      <c r="L49" s="3316"/>
      <c r="M49" s="3338">
        <f ca="1">IF(项目基本情况!E8="房地产抵押价值",H107,H109)</f>
        <v>5151.8203999999996</v>
      </c>
      <c r="N49" s="3338"/>
      <c r="O49" s="3338"/>
    </row>
    <row r="50" spans="1:35" ht="25.5" customHeight="1">
      <c r="A50" s="2336"/>
      <c r="B50" s="3252" t="s">
        <v>1344</v>
      </c>
      <c r="C50" s="3252"/>
      <c r="D50" s="2189"/>
      <c r="E50" s="323"/>
      <c r="F50" s="2231"/>
      <c r="G50" s="3323"/>
      <c r="H50" s="2136" t="s">
        <v>2135</v>
      </c>
      <c r="I50" s="2135"/>
      <c r="J50" s="3335" t="s">
        <v>1345</v>
      </c>
      <c r="K50" s="3335"/>
      <c r="L50" s="3335"/>
      <c r="M50" s="3335"/>
      <c r="N50" s="3335"/>
      <c r="O50" s="3335"/>
    </row>
    <row r="51" spans="1:35" ht="20.5" customHeight="1">
      <c r="A51" s="2337"/>
      <c r="B51" s="3252" t="s">
        <v>1346</v>
      </c>
      <c r="C51" s="3252"/>
      <c r="D51" s="1024"/>
      <c r="E51" s="319"/>
      <c r="F51" s="2231"/>
      <c r="G51" s="3324"/>
      <c r="H51" s="2136" t="s">
        <v>2136</v>
      </c>
      <c r="I51" s="2135"/>
      <c r="J51" s="2309" t="s">
        <v>1347</v>
      </c>
      <c r="K51" s="3316" t="s">
        <v>1348</v>
      </c>
      <c r="L51" s="3316"/>
      <c r="M51" s="2309" t="s">
        <v>1349</v>
      </c>
      <c r="N51" s="2309" t="s">
        <v>1350</v>
      </c>
      <c r="O51" s="2309" t="s">
        <v>1351</v>
      </c>
    </row>
    <row r="52" spans="1:35" ht="24" customHeight="1">
      <c r="A52" s="2153" t="s">
        <v>1352</v>
      </c>
      <c r="B52" s="3252" t="s">
        <v>1353</v>
      </c>
      <c r="C52" s="3252"/>
      <c r="D52" s="1024">
        <f ca="1">ROUND(D45*'数据-取费表'!B41/(1+'数据-取费表'!C42),0)</f>
        <v>275</v>
      </c>
      <c r="E52" s="1256" t="s">
        <v>1354</v>
      </c>
      <c r="F52" s="2338">
        <f>'数据-取费表'!B41</f>
        <v>5.6000000000000001E-2</v>
      </c>
      <c r="G52" s="2339"/>
      <c r="H52" s="2329"/>
      <c r="I52" s="1669"/>
      <c r="J52" s="2308">
        <v>1</v>
      </c>
      <c r="K52" s="3317" t="s">
        <v>1355</v>
      </c>
      <c r="L52" s="3317"/>
      <c r="M52" s="2310">
        <f ca="1">D48</f>
        <v>0</v>
      </c>
      <c r="N52" s="2308" t="str">
        <f>E48</f>
        <v>(销售额-原购置价)×税（费）率</v>
      </c>
      <c r="O52" s="2311">
        <f>F48</f>
        <v>5.6000000000000001E-2</v>
      </c>
    </row>
    <row r="53" spans="1:35" ht="12" customHeight="1">
      <c r="A53" s="2153" t="s">
        <v>1356</v>
      </c>
      <c r="B53" s="3278" t="s">
        <v>2291</v>
      </c>
      <c r="C53" s="3279"/>
      <c r="D53" s="1024">
        <f ca="1">ROUND(D45*'数据-取费表'!B41/(1+'数据-取费表'!C42),0)</f>
        <v>275</v>
      </c>
      <c r="E53" s="1256" t="s">
        <v>1354</v>
      </c>
      <c r="F53" s="2338">
        <f>'数据-取费表'!B41</f>
        <v>5.6000000000000001E-2</v>
      </c>
      <c r="G53" s="2339"/>
      <c r="H53" s="2329"/>
      <c r="I53" s="1669"/>
      <c r="J53" s="2308">
        <v>2</v>
      </c>
      <c r="K53" s="3317" t="s">
        <v>1357</v>
      </c>
      <c r="L53" s="3317"/>
      <c r="M53" s="2310">
        <f t="shared" ref="M53:O54" ca="1" si="0">D55</f>
        <v>2.5758999999999999</v>
      </c>
      <c r="N53" s="2308" t="str">
        <f t="shared" si="0"/>
        <v>销售额×税（费）率</v>
      </c>
      <c r="O53" s="2311">
        <f t="shared" si="0"/>
        <v>5.0000000000000001E-4</v>
      </c>
    </row>
    <row r="54" spans="1:35" ht="12" customHeight="1">
      <c r="A54" s="2153" t="s">
        <v>1358</v>
      </c>
      <c r="B54" s="3278" t="s">
        <v>2292</v>
      </c>
      <c r="C54" s="3279"/>
      <c r="D54" s="3524">
        <f ca="1">C68</f>
        <v>0</v>
      </c>
      <c r="E54" s="319" t="s">
        <v>1359</v>
      </c>
      <c r="F54" s="2338">
        <f>'数据-取费表'!B41</f>
        <v>5.6000000000000001E-2</v>
      </c>
      <c r="G54" s="2339"/>
      <c r="H54" s="2340"/>
      <c r="I54" s="1669"/>
      <c r="J54" s="2308">
        <v>3</v>
      </c>
      <c r="K54" s="3317" t="s">
        <v>1360</v>
      </c>
      <c r="L54" s="3317"/>
      <c r="M54" s="2310">
        <f t="shared" ca="1" si="0"/>
        <v>0</v>
      </c>
      <c r="N54" s="2308" t="str">
        <f t="shared" si="0"/>
        <v>增值额×税（费）率</v>
      </c>
      <c r="O54" s="2312" t="str">
        <f t="shared" si="0"/>
        <v>——</v>
      </c>
    </row>
    <row r="55" spans="1:35" ht="24" customHeight="1">
      <c r="A55" s="3267" t="s">
        <v>1361</v>
      </c>
      <c r="B55" s="3268"/>
      <c r="C55" s="3268"/>
      <c r="D55" s="1504">
        <f ca="1">IF(H55="个人住宅",0,ROUND(D45*I55,4))</f>
        <v>2.5758999999999999</v>
      </c>
      <c r="E55" s="1256" t="s">
        <v>1362</v>
      </c>
      <c r="F55" s="2338">
        <f>IF(H55="正常",I55,"免征")</f>
        <v>5.0000000000000001E-4</v>
      </c>
      <c r="G55" s="2339"/>
      <c r="H55" s="2335" t="s">
        <v>3471</v>
      </c>
      <c r="I55" s="157">
        <f>'数据-取费表'!B49</f>
        <v>5.0000000000000001E-4</v>
      </c>
      <c r="J55" s="2308" t="str">
        <f>IF(H59="非个人房产","",4)</f>
        <v/>
      </c>
      <c r="K55" s="3317" t="str">
        <f>IF(H59="非个人房产","——","个人所得税")</f>
        <v>——</v>
      </c>
      <c r="L55" s="3317"/>
      <c r="M55" s="2313" t="str">
        <f>D59</f>
        <v>——</v>
      </c>
      <c r="N55" s="1883" t="str">
        <f>E59</f>
        <v>——</v>
      </c>
      <c r="O55" s="2314" t="str">
        <f>F59</f>
        <v>——</v>
      </c>
    </row>
    <row r="56" spans="1:35" ht="26">
      <c r="A56" s="3267" t="s">
        <v>1363</v>
      </c>
      <c r="B56" s="3268"/>
      <c r="C56" s="3268"/>
      <c r="D56" s="12">
        <f ca="1">IF(H56="个人住宅",D57,D58)</f>
        <v>0</v>
      </c>
      <c r="E56" s="1256" t="s">
        <v>1364</v>
      </c>
      <c r="F56" s="2338" t="str">
        <f>IF(H56="正常",F58,"免征")</f>
        <v>——</v>
      </c>
      <c r="G56" s="2341" t="s">
        <v>1365</v>
      </c>
      <c r="H56" s="2342" t="s">
        <v>3471</v>
      </c>
      <c r="I56" s="1670"/>
      <c r="J56" s="2308" t="str">
        <f>IF(项目基本情况!K6="上海银行",IF(J55="",4,J55+1),"")</f>
        <v/>
      </c>
      <c r="K56" s="3340" t="str">
        <f>IF(项目基本情况!K6="上海银行","其他处置费用","")</f>
        <v/>
      </c>
      <c r="L56" s="3341"/>
      <c r="M56" s="2310" t="str">
        <f>IF(项目基本情况!K6="上海银行",M69,"")</f>
        <v/>
      </c>
      <c r="N56" s="3340" t="str">
        <f>IF(项目基本情况!K6="上海银行","包含处置中涉及的律师、诉讼、拍卖、评估等费用","")</f>
        <v/>
      </c>
      <c r="O56" s="3343"/>
    </row>
    <row r="57" spans="1:35" ht="13">
      <c r="A57" s="2153" t="s">
        <v>1341</v>
      </c>
      <c r="B57" s="3278" t="s">
        <v>1366</v>
      </c>
      <c r="C57" s="3279"/>
      <c r="D57" s="1478">
        <v>0</v>
      </c>
      <c r="E57" s="316" t="s">
        <v>1343</v>
      </c>
      <c r="F57" s="294"/>
      <c r="G57" s="2339"/>
      <c r="H57" s="2343"/>
      <c r="I57" s="1670"/>
      <c r="J57" s="3317">
        <f>IF(AND(J55="",J56=""),4,IF(项目基本情况!K6="上海银行",结果表!J56+1,结果表!J55+1))</f>
        <v>4</v>
      </c>
      <c r="K57" s="3317" t="s">
        <v>1367</v>
      </c>
      <c r="L57" s="2315" t="s">
        <v>1368</v>
      </c>
      <c r="M57" s="2316"/>
      <c r="N57" s="2317">
        <f ca="1">SUMIF(M52:M56,"&lt;9e307")</f>
        <v>2.5758999999999999</v>
      </c>
      <c r="O57" s="2318"/>
      <c r="P57" s="2459">
        <f ca="1">N57/M49</f>
        <v>4.9999802011731621E-4</v>
      </c>
    </row>
    <row r="58" spans="1:35" ht="26">
      <c r="A58" s="2153" t="s">
        <v>1352</v>
      </c>
      <c r="B58" s="3278" t="s">
        <v>1369</v>
      </c>
      <c r="C58" s="3252"/>
      <c r="D58" s="12">
        <f ca="1">IF(H58="转让取得",C81,C97)</f>
        <v>0</v>
      </c>
      <c r="E58" s="1256" t="s">
        <v>1364</v>
      </c>
      <c r="F58" s="294" t="s">
        <v>28</v>
      </c>
      <c r="G58" s="2339"/>
      <c r="H58" s="2342" t="s">
        <v>3535</v>
      </c>
      <c r="I58" s="1670"/>
      <c r="J58" s="3317"/>
      <c r="K58" s="3317"/>
      <c r="L58" s="2315" t="s">
        <v>1370</v>
      </c>
      <c r="M58" s="2319"/>
      <c r="N58" s="2320" t="str">
        <f ca="1">NUMBERSTRING(INT(N57*10000),2)&amp;"元整"</f>
        <v>贰万伍仟柒佰伍拾玖元整</v>
      </c>
      <c r="O58" s="2321"/>
    </row>
    <row r="59" spans="1:35" ht="26.5" thickBot="1">
      <c r="A59" s="3320" t="s">
        <v>1371</v>
      </c>
      <c r="B59" s="3321"/>
      <c r="C59" s="3321"/>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3536</v>
      </c>
      <c r="I59" s="2137" t="s">
        <v>2137</v>
      </c>
      <c r="J59" s="3318">
        <f>J57+1</f>
        <v>5</v>
      </c>
      <c r="K59" s="3317" t="s">
        <v>1372</v>
      </c>
      <c r="L59" s="2308" t="s">
        <v>1368</v>
      </c>
      <c r="M59" s="2322"/>
      <c r="N59" s="2323">
        <f ca="1">M49-N57</f>
        <v>5149.2444999999998</v>
      </c>
      <c r="O59" s="2324"/>
    </row>
    <row r="60" spans="1:35" ht="12" customHeight="1">
      <c r="A60" s="1671"/>
      <c r="B60" s="646"/>
      <c r="C60" s="646"/>
      <c r="D60" s="646"/>
      <c r="E60" s="1466"/>
      <c r="F60" s="1670"/>
      <c r="G60" s="1670"/>
      <c r="H60" s="151"/>
      <c r="I60" s="121"/>
      <c r="J60" s="3319"/>
      <c r="K60" s="3317"/>
      <c r="L60" s="2315" t="s">
        <v>1370</v>
      </c>
      <c r="M60" s="2319"/>
      <c r="N60" s="2320" t="str">
        <f ca="1">NUMBERSTRING(INT(N59*10000),2)&amp;"元整"</f>
        <v>伍仟壹佰肆拾玖万贰仟肆佰肆拾伍元整</v>
      </c>
      <c r="O60" s="2321"/>
    </row>
    <row r="61" spans="1:35" ht="13.5" thickBot="1">
      <c r="A61" s="3265" t="s">
        <v>1373</v>
      </c>
      <c r="B61" s="3265"/>
      <c r="C61" s="3265"/>
      <c r="D61" s="3265"/>
      <c r="E61" s="3265"/>
      <c r="F61" s="1670"/>
      <c r="G61" s="1670"/>
      <c r="H61" s="151"/>
      <c r="I61" s="121"/>
      <c r="J61" s="2308">
        <f>J59+1</f>
        <v>6</v>
      </c>
      <c r="K61" s="3317" t="s">
        <v>1374</v>
      </c>
      <c r="L61" s="3317"/>
      <c r="M61" s="2325"/>
      <c r="N61" s="2326">
        <f ca="1">ROUND(N59*10000/'数据-汇总表'!E3,0)</f>
        <v>58038</v>
      </c>
      <c r="O61" s="2327"/>
    </row>
    <row r="62" spans="1:35" ht="13">
      <c r="A62" s="3283" t="s">
        <v>1375</v>
      </c>
      <c r="B62" s="3284"/>
      <c r="C62" s="1865"/>
      <c r="D62" s="1865" t="s">
        <v>1376</v>
      </c>
      <c r="E62" s="158" t="s">
        <v>1377</v>
      </c>
      <c r="F62" s="1670"/>
      <c r="G62" s="1670"/>
      <c r="H62" s="151"/>
      <c r="I62" s="121"/>
    </row>
    <row r="63" spans="1:35" ht="13">
      <c r="A63" s="165" t="s">
        <v>330</v>
      </c>
      <c r="B63" s="159" t="s">
        <v>1378</v>
      </c>
      <c r="C63" s="3525">
        <f ca="1">ROUND((C64+C65)/(1+'数据-取费表'!C42),4)</f>
        <v>4906.4956000000002</v>
      </c>
      <c r="D63" s="159"/>
      <c r="E63" s="160"/>
      <c r="F63" s="1670"/>
      <c r="G63" s="1670"/>
      <c r="H63" s="151"/>
      <c r="I63" s="121"/>
      <c r="J63" s="3342" t="s">
        <v>1379</v>
      </c>
      <c r="K63" s="1245" t="s">
        <v>1380</v>
      </c>
      <c r="L63" s="1245">
        <f ca="1">IF(M49&gt;10000,M49*0.5%,IF(AND(M49&gt;1000,M49&lt;=10000),M49*1%,IF(AND(M49&gt;100,M49&lt;=1000),M49*3%,IF(AND(M49&gt;10,M49&lt;=100),M49*5%,M49*8%))))</f>
        <v>51.518203999999997</v>
      </c>
      <c r="M63" s="294">
        <f ca="1">ROUND(L63,1)</f>
        <v>51.5</v>
      </c>
      <c r="N63" s="2328"/>
      <c r="Z63" s="1623"/>
      <c r="AI63" s="1561"/>
    </row>
    <row r="64" spans="1:35" ht="14.25" customHeight="1">
      <c r="A64" s="161" t="s">
        <v>325</v>
      </c>
      <c r="B64" s="162" t="s">
        <v>1381</v>
      </c>
      <c r="C64" s="3526">
        <f ca="1">D45</f>
        <v>5151.8203999999996</v>
      </c>
      <c r="D64" s="162" t="s">
        <v>26</v>
      </c>
      <c r="E64" s="164"/>
      <c r="F64" s="1670"/>
      <c r="G64" s="1670"/>
      <c r="H64" s="151"/>
      <c r="I64" s="121"/>
      <c r="J64" s="3342"/>
      <c r="K64" s="1245" t="s">
        <v>1382</v>
      </c>
      <c r="L64" s="1245">
        <f ca="1">IF(M49&gt;2000,M49*0.5%,IF(AND(M49&gt;1000,M49&lt;=2000),M49*0.6%,IF(AND(M49&gt;500,M49&lt;=1000),M49*0.7%,IF(AND(M49&gt;200,M49&lt;=500),M49*0.8%,IF(AND(M49&gt;100,M49&lt;=200),M49*0.9%,IF(AND(M49&gt;50,M49&lt;=100),M49*1%,IF(AND(M49&gt;20,M49&lt;=50),M49*1.5%,IF(AND(M49&gt;10,M49&lt;=20),M49*2%,IF(AND(M49&gt;1,M49&lt;=10),M49*2.5%)))))))))</f>
        <v>25.759101999999999</v>
      </c>
      <c r="M64" s="294">
        <f t="shared" ref="M64:M65" ca="1" si="1">ROUND(L64,1)</f>
        <v>25.8</v>
      </c>
      <c r="N64" s="2329" t="s">
        <v>1383</v>
      </c>
      <c r="Z64" s="1623"/>
      <c r="AI64" s="1561"/>
    </row>
    <row r="65" spans="1:35" ht="14.25" customHeight="1">
      <c r="A65" s="161" t="s">
        <v>326</v>
      </c>
      <c r="B65" s="162" t="s">
        <v>1384</v>
      </c>
      <c r="C65" s="2348"/>
      <c r="D65" s="162"/>
      <c r="E65" s="164"/>
      <c r="F65" s="1670"/>
      <c r="G65" s="1670"/>
      <c r="H65" s="151"/>
      <c r="I65" s="121"/>
      <c r="J65" s="3342"/>
      <c r="K65" s="1245" t="s">
        <v>1385</v>
      </c>
      <c r="L65" s="1245">
        <f ca="1">IF(M49&gt;1000,M49*0.1%,IF(AND(M49&gt;500,M49&lt;=1000),M49*0.5%,IF(AND(M49&gt;50,M49&lt;=500),M49*1%,IF(AND(M49&gt;1,M49&lt;=50),M49*1.5%))))</f>
        <v>5.1518204000000001</v>
      </c>
      <c r="M65" s="294">
        <f t="shared" ca="1" si="1"/>
        <v>5.2</v>
      </c>
      <c r="N65" s="2329" t="s">
        <v>1383</v>
      </c>
      <c r="Z65" s="1623"/>
      <c r="AI65" s="1561"/>
    </row>
    <row r="66" spans="1:35" ht="14.25" customHeight="1">
      <c r="A66" s="165" t="s">
        <v>327</v>
      </c>
      <c r="B66" s="166" t="s">
        <v>1386</v>
      </c>
      <c r="C66" s="2349">
        <f>ROUND(C75/1.05,4)</f>
        <v>5268.5713999999998</v>
      </c>
      <c r="D66" s="166" t="s">
        <v>26</v>
      </c>
      <c r="E66" s="1251" t="s">
        <v>671</v>
      </c>
      <c r="F66" s="1670"/>
      <c r="G66" s="1670"/>
      <c r="H66" s="151"/>
      <c r="I66" s="121"/>
      <c r="J66" s="3342"/>
      <c r="K66" s="1245" t="s">
        <v>1387</v>
      </c>
      <c r="L66" s="1245">
        <f ca="1">M49*0.5%</f>
        <v>25.759101999999999</v>
      </c>
      <c r="M66" s="294">
        <f ca="1">IF(L66&gt;0.5,0.5,ROUND(L66,0))</f>
        <v>0.5</v>
      </c>
      <c r="N66" s="2329" t="s">
        <v>1388</v>
      </c>
      <c r="Z66" s="1623"/>
      <c r="AI66" s="1561"/>
    </row>
    <row r="67" spans="1:35" ht="14.25" customHeight="1">
      <c r="A67" s="165" t="s">
        <v>328</v>
      </c>
      <c r="B67" s="166" t="s">
        <v>1389</v>
      </c>
      <c r="C67" s="3522">
        <f ca="1">C63-C66</f>
        <v>-362.07579999999962</v>
      </c>
      <c r="D67" s="162" t="s">
        <v>26</v>
      </c>
      <c r="E67" s="164"/>
      <c r="F67" s="1670"/>
      <c r="G67" s="1670"/>
      <c r="H67" s="151"/>
      <c r="I67" s="121"/>
      <c r="J67" s="3342"/>
      <c r="K67" s="1245" t="s">
        <v>1390</v>
      </c>
      <c r="L67" s="1245">
        <f ca="1">IF(M49&gt;=10000,(8.25+(M49-10000)*0.01%),IF(AND(M49&gt;=8000,M49&lt;10000),(7.85+(M49-8000)*0.02%),IF(AND(M49&gt;=5000,M49&lt;8000),(6.65+(M49-5000)*0.04%),IF(AND(M49&gt;=2000,M49&lt;5000),(4.25+(PM49-2000)*0.08%),IF(AND(M49&gt;=1000,M49&lt;2000),(2.75+(M49-1000)*0.15%),IF(AND(M49&gt;=100,M49&lt;1000),(0.5+(M49-100)*0.25%),IF(AND(M49&gt;0,M49&lt;100),M49*0.5%)))))))</f>
        <v>6.7107281600000004</v>
      </c>
      <c r="M67" s="294">
        <f ca="1">ROUND(L67*0.9,1)</f>
        <v>6</v>
      </c>
      <c r="N67" s="2328"/>
      <c r="Z67" s="1623"/>
      <c r="AI67" s="1561"/>
    </row>
    <row r="68" spans="1:35" ht="14.25" customHeight="1" thickBot="1">
      <c r="A68" s="168" t="s">
        <v>329</v>
      </c>
      <c r="B68" s="169" t="s">
        <v>1391</v>
      </c>
      <c r="C68" s="3523">
        <f ca="1">IF(C67&lt;=0,0,ROUND(C67*D68,4))</f>
        <v>0</v>
      </c>
      <c r="D68" s="2351">
        <f>'数据-取费表'!B41</f>
        <v>5.6000000000000001E-2</v>
      </c>
      <c r="E68" s="170"/>
      <c r="F68" s="1670"/>
      <c r="G68" s="1670"/>
      <c r="H68" s="151"/>
      <c r="I68" s="121"/>
      <c r="J68" s="3342"/>
      <c r="K68" s="1245" t="s">
        <v>1392</v>
      </c>
      <c r="L68" s="1245">
        <f ca="1">IF(M49&gt;10000,M49*0.5%,IF(AND(M49&gt;5000,M49&lt;=10000),M49*1%,IF(AND(M49&gt;1000,M49&lt;=5000),M49*2%,IF(AND(M49&gt;200,M49&lt;=1000),M49*3%,M49*5%))))</f>
        <v>51.518203999999997</v>
      </c>
      <c r="M68" s="294">
        <f ca="1">ROUND(L68,1)</f>
        <v>51.5</v>
      </c>
      <c r="N68" s="2328"/>
      <c r="Z68" s="1623"/>
      <c r="AI68" s="1561"/>
    </row>
    <row r="69" spans="1:35" ht="16.5" customHeight="1">
      <c r="A69" s="1672"/>
      <c r="B69" s="1673"/>
      <c r="C69" s="1674"/>
      <c r="D69" s="1675"/>
      <c r="E69" s="1676"/>
      <c r="F69" s="1466"/>
      <c r="G69" s="1466"/>
      <c r="H69" s="1467"/>
      <c r="I69" s="646"/>
      <c r="J69" s="3342"/>
      <c r="K69" s="1245" t="s">
        <v>1393</v>
      </c>
      <c r="L69" s="1245"/>
      <c r="M69" s="294">
        <f ca="1">ROUND(SUM(M63:M68),0)</f>
        <v>141</v>
      </c>
      <c r="N69" s="2330">
        <f ca="1">M69/M49</f>
        <v>2.7368966511332578E-2</v>
      </c>
      <c r="Z69" s="1623"/>
      <c r="AI69" s="1561"/>
    </row>
    <row r="70" spans="1:35" s="642" customFormat="1" ht="14.5"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3527">
        <f ca="1">ROUND(D45/(1+'数据-取费表'!C42),4)</f>
        <v>4906.4956000000002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3527">
        <f ca="1">C74+C78</f>
        <v>5458.7018000000007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3084">
        <f>ROUND(IF(G77="2016年5月1日后购买",C75/(1+'数据-取费表'!C42)+C76+C77,C75+C76+C77),4)</f>
        <v>5429.2628000000004</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3528">
        <f>'信息+租赁合同'!B2</f>
        <v>5532</v>
      </c>
      <c r="D75" s="162" t="s">
        <v>26</v>
      </c>
      <c r="E75" s="176" t="s">
        <v>1399</v>
      </c>
      <c r="F75" s="2353" t="s">
        <v>3537</v>
      </c>
      <c r="G75" s="176" t="s">
        <v>1400</v>
      </c>
      <c r="H75" s="2354"/>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4">
        <f>IF(F75="购房发票",ROUND(C75*H75*D76,0),0)</f>
        <v>0</v>
      </c>
      <c r="D76" s="2355">
        <v>0.05</v>
      </c>
      <c r="E76" s="3278" t="s">
        <v>1402</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4">
        <f>ROUND(IF(G77="个人住宅",0,IF(G77="2016年5月1日前购买",C75*D77,C75*D77/(1+'数据-取费表'!C42))),4)</f>
        <v>160.69139999999999</v>
      </c>
      <c r="D77" s="2356">
        <f>'数据-取费表'!B48+'数据-取费表'!B49</f>
        <v>3.0499999999999999E-2</v>
      </c>
      <c r="E77" s="12" t="s">
        <v>1404</v>
      </c>
      <c r="F77" s="178"/>
      <c r="G77" s="1682" t="s">
        <v>3538</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9">
        <f ca="1">ROUND(D45*D78/(1+'数据-取费表'!C42),4)</f>
        <v>29.439</v>
      </c>
      <c r="D78" s="2358">
        <f>'数据-取费表'!B43</f>
        <v>6.000000000000001E-3</v>
      </c>
      <c r="E78" s="3262" t="s">
        <v>1406</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3527">
        <f ca="1">C72-C73</f>
        <v>-552.20620000000054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353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3531">
        <f ca="1">ROUND(IF(C79&lt;=0,0,IF(C80&gt;=200%,C79*60%-C73*35%,IF(C80&gt;=100%,C79*50%-C73*15%,IF(C80&gt;=50%,C79*40%-C73*5%,IF(C80&lt;50%,C79*30%,0))))),4)</f>
        <v>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3" t="s">
        <v>1375</v>
      </c>
      <c r="B84" s="328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0">
        <f ca="1">ROUND(D45/(1+'数据-取费表'!C42),0)</f>
        <v>4906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0">
        <f ca="1">IF(H88="仅含出让金",C87+C90+C91+C92+C93+C94,C87+C91+C92+C93+C94)</f>
        <v>29</v>
      </c>
      <c r="D86" s="2362"/>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57">
        <f>C88+C89</f>
        <v>0</v>
      </c>
      <c r="D87" s="2358"/>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3"/>
      <c r="D88" s="2358"/>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57">
        <f>ROUND(C88*D89,0)</f>
        <v>0</v>
      </c>
      <c r="D89" s="2358">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3"/>
      <c r="D90" s="2358"/>
      <c r="E90" s="185" t="str">
        <f>IF(H88="-","土地取得成本中已包含该笔费用"," ")</f>
        <v xml:space="preserve"> </v>
      </c>
      <c r="F90" s="2148"/>
      <c r="G90" s="3344" t="s">
        <v>2129</v>
      </c>
      <c r="H90" s="3345"/>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7">
        <f>IF(H91="——",成本法!C33,I91)</f>
        <v>0</v>
      </c>
      <c r="D91" s="2358"/>
      <c r="E91" s="3262" t="s">
        <v>1419</v>
      </c>
      <c r="F91" s="3263"/>
      <c r="G91" s="326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7">
        <f>ROUND((C87+C90+C91)*D92,0)</f>
        <v>0</v>
      </c>
      <c r="D92" s="2364"/>
      <c r="E92" s="3262" t="s">
        <v>1422</v>
      </c>
      <c r="F92" s="3263"/>
      <c r="G92" s="3263"/>
      <c r="H92" s="3272"/>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7">
        <f ca="1">ROUND(D45*D93/(1+'数据-取费表'!C42),0)</f>
        <v>29</v>
      </c>
      <c r="D93" s="2358">
        <f>'数据-取费表'!B43</f>
        <v>6.000000000000001E-3</v>
      </c>
      <c r="E93" s="3262" t="s">
        <v>1406</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3">
        <f>ROUND((C87+C90+C91)*D94,0)</f>
        <v>0</v>
      </c>
      <c r="D94" s="2358">
        <v>0.2</v>
      </c>
      <c r="E94" s="3273" t="s">
        <v>1426</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0">
        <f ca="1">ROUND(C85-C86,0)</f>
        <v>4877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59">
        <f ca="1">IF(C95&lt;=0,0,C95/C86)</f>
        <v>168.17241379310346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0">
        <f ca="1">ROUND(IF(C95&lt;=0,0,IF(C96&gt;=200%,C95*60%-C86*35%,IF(C96&gt;=100%,C95*50%-C86*15%,IF(C96&gt;=50%,C95*40%-C86*5%,IF(C96&lt;50%,C95*30%,0))))),0)</f>
        <v>2916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64"/>
      <c r="E100" s="3247" t="s">
        <v>1429</v>
      </c>
      <c r="F100" s="3247"/>
      <c r="G100" s="3247"/>
      <c r="H100" s="3264"/>
      <c r="I100" s="121"/>
    </row>
    <row r="101" spans="1:35" ht="18.75" customHeight="1">
      <c r="A101" s="3325" t="s">
        <v>1430</v>
      </c>
      <c r="B101" s="3326"/>
      <c r="C101" s="2366" t="str">
        <f>C4</f>
        <v>比较法-商业</v>
      </c>
      <c r="D101" s="2367" t="str">
        <f>D4</f>
        <v>收益法 (元)</v>
      </c>
      <c r="E101" s="3339" t="s">
        <v>1431</v>
      </c>
      <c r="F101" s="3296"/>
      <c r="G101" s="1687" t="s">
        <v>1432</v>
      </c>
      <c r="H101" s="2376">
        <f ca="1">H118</f>
        <v>5151.8203999999996</v>
      </c>
      <c r="I101" s="121"/>
    </row>
    <row r="102" spans="1:35" ht="18.75" customHeight="1">
      <c r="A102" s="3298" t="s">
        <v>1433</v>
      </c>
      <c r="B102" s="2365" t="s">
        <v>1432</v>
      </c>
      <c r="C102" s="2366">
        <f ca="1">IF(D32="楼面单价",ROUND(C19,0),C19)</f>
        <v>5853</v>
      </c>
      <c r="D102" s="2367">
        <f ca="1">IF(D32="楼面单价",ROUND(D19,0),D19)</f>
        <v>4100</v>
      </c>
      <c r="E102" s="3339"/>
      <c r="F102" s="3296"/>
      <c r="G102" s="1687" t="s">
        <v>1434</v>
      </c>
      <c r="H102" s="2339">
        <f ca="1">I118</f>
        <v>58067</v>
      </c>
      <c r="I102" s="121"/>
    </row>
    <row r="103" spans="1:35" ht="42.75" customHeight="1">
      <c r="A103" s="3298"/>
      <c r="B103" s="2365" t="s">
        <v>1434</v>
      </c>
      <c r="C103" s="2368">
        <f ca="1">C20</f>
        <v>65973</v>
      </c>
      <c r="D103" s="2369">
        <f ca="1">D20</f>
        <v>46207</v>
      </c>
      <c r="E103" s="3333" t="s">
        <v>1435</v>
      </c>
      <c r="F103" s="3334"/>
      <c r="G103" s="1688" t="s">
        <v>1436</v>
      </c>
      <c r="H103" s="2376">
        <f>IF(D36="正常操作",H104+H105+H106,H105+H106)</f>
        <v>0</v>
      </c>
      <c r="I103" s="121"/>
    </row>
    <row r="104" spans="1:35" ht="18.75" customHeight="1">
      <c r="A104" s="3298" t="s">
        <v>1437</v>
      </c>
      <c r="B104" s="2370" t="s">
        <v>1432</v>
      </c>
      <c r="C104" s="2371">
        <f ca="1">H118</f>
        <v>5151.8203999999996</v>
      </c>
      <c r="D104" s="2372"/>
      <c r="E104" s="1555" t="s">
        <v>1438</v>
      </c>
      <c r="F104" s="1548"/>
      <c r="G104" s="1688" t="s">
        <v>1436</v>
      </c>
      <c r="H104" s="2377">
        <f>IF(D36="同一抵押权人同一抵押物续贷",C36&amp;"（续贷，未扣减，详见特别提示）",C36)</f>
        <v>0</v>
      </c>
      <c r="I104" s="121"/>
    </row>
    <row r="105" spans="1:35" ht="18.75" customHeight="1" thickBot="1">
      <c r="A105" s="3299"/>
      <c r="B105" s="2373" t="s">
        <v>1434</v>
      </c>
      <c r="C105" s="2374">
        <f ca="1">I118</f>
        <v>58067</v>
      </c>
      <c r="D105" s="2375"/>
      <c r="E105" s="1555" t="s">
        <v>1439</v>
      </c>
      <c r="F105" s="1548"/>
      <c r="G105" s="1688" t="s">
        <v>1436</v>
      </c>
      <c r="H105" s="2378">
        <f>C37</f>
        <v>0</v>
      </c>
      <c r="I105" s="121"/>
    </row>
    <row r="106" spans="1:35" ht="18.75" customHeight="1">
      <c r="A106" s="646" t="s">
        <v>1440</v>
      </c>
      <c r="B106" s="646"/>
      <c r="C106" s="646"/>
      <c r="D106" s="646"/>
      <c r="E106" s="1689" t="s">
        <v>1441</v>
      </c>
      <c r="F106" s="1548"/>
      <c r="G106" s="1688" t="s">
        <v>1436</v>
      </c>
      <c r="H106" s="2378">
        <f>C38</f>
        <v>0</v>
      </c>
      <c r="I106" s="121"/>
    </row>
    <row r="107" spans="1:35" ht="18.75" customHeight="1">
      <c r="A107" s="121"/>
      <c r="B107" s="121"/>
      <c r="C107" s="121"/>
      <c r="D107" s="121"/>
      <c r="E107" s="3295" t="str">
        <f>IF(项目基本情况!E8="已注销","——","3.房地产抵押价值")</f>
        <v>3.房地产抵押价值</v>
      </c>
      <c r="F107" s="3296"/>
      <c r="G107" s="1687" t="s">
        <v>1432</v>
      </c>
      <c r="H107" s="2376">
        <f ca="1">IF(E107="——","——",H101-H103)</f>
        <v>5151.8203999999996</v>
      </c>
      <c r="I107" s="121"/>
    </row>
    <row r="108" spans="1:35" ht="18.75" customHeight="1">
      <c r="A108" s="121"/>
      <c r="B108" s="121"/>
      <c r="C108" s="121"/>
      <c r="D108" s="121"/>
      <c r="E108" s="3295"/>
      <c r="F108" s="3296"/>
      <c r="G108" s="1687" t="s">
        <v>1434</v>
      </c>
      <c r="H108" s="2339">
        <f ca="1">IF(H107=H101,H102,ROUND(H107*10000/'数据-汇总表'!E3,0))</f>
        <v>58067</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1432</v>
      </c>
      <c r="H109" s="2379" t="str">
        <f>IF(E109="——","——",H101-H105-H106)</f>
        <v>——</v>
      </c>
      <c r="I109" s="121"/>
    </row>
    <row r="110" spans="1:35" ht="18.75" customHeight="1">
      <c r="A110" s="121"/>
      <c r="B110" s="121"/>
      <c r="C110" s="121"/>
      <c r="D110" s="121"/>
      <c r="E110" s="3295"/>
      <c r="F110" s="3296"/>
      <c r="G110" s="1687" t="s">
        <v>1434</v>
      </c>
      <c r="H110" s="2339"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4.抵押净值</v>
      </c>
      <c r="F111" s="3297"/>
      <c r="G111" s="1687" t="s">
        <v>1432</v>
      </c>
      <c r="H111" s="2376">
        <f ca="1">IF(E111="——","——",N59)</f>
        <v>5149.2444999999998</v>
      </c>
      <c r="I111" s="121"/>
    </row>
    <row r="112" spans="1:35" ht="18.75" customHeight="1" thickBot="1">
      <c r="A112" s="121"/>
      <c r="B112" s="121"/>
      <c r="C112" s="121"/>
      <c r="D112" s="121"/>
      <c r="E112" s="3328"/>
      <c r="F112" s="3329"/>
      <c r="G112" s="1690" t="s">
        <v>1434</v>
      </c>
      <c r="H112" s="2380">
        <f ca="1">IF(E111="——","——",N61)</f>
        <v>58038</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6" t="s">
        <v>1443</v>
      </c>
      <c r="B116" s="3301" t="s">
        <v>1444</v>
      </c>
      <c r="C116" s="3301" t="s">
        <v>1445</v>
      </c>
      <c r="D116" s="3314" t="s">
        <v>1446</v>
      </c>
      <c r="E116" s="3315"/>
      <c r="F116" s="3309" t="s">
        <v>1447</v>
      </c>
      <c r="G116" s="3309"/>
      <c r="H116" s="3266" t="s">
        <v>1448</v>
      </c>
      <c r="I116" s="3266"/>
    </row>
    <row r="117" spans="1:27" ht="18.75" customHeight="1">
      <c r="A117" s="3266"/>
      <c r="B117" s="3302"/>
      <c r="C117" s="3302"/>
      <c r="D117" s="2150" t="s">
        <v>1449</v>
      </c>
      <c r="E117" s="2150" t="s">
        <v>1450</v>
      </c>
      <c r="F117" s="2150" t="s">
        <v>1449</v>
      </c>
      <c r="G117" s="2150" t="s">
        <v>1451</v>
      </c>
      <c r="H117" s="2150" t="s">
        <v>1449</v>
      </c>
      <c r="I117" s="2150" t="s">
        <v>1451</v>
      </c>
    </row>
    <row r="118" spans="1:27" ht="24.75" customHeight="1">
      <c r="A118" s="2381" t="str">
        <f>项目基本情况!S2</f>
        <v>北京市海淀区蓝靛厂晨月园甲3号楼1层01层等[2]套房地产</v>
      </c>
      <c r="B118" s="2150">
        <f>M18</f>
        <v>887.22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20">
        <f ca="1">ROUND(IF(D32="总价",C32,I118*B118/10000),4)</f>
        <v>5151.8203999999996</v>
      </c>
      <c r="I118" s="2150">
        <f ca="1">ROUND(IF(D32="楼面单价",C32,H118*10000/B118),0)</f>
        <v>58067</v>
      </c>
    </row>
    <row r="119" spans="1:27" ht="18.75" customHeight="1">
      <c r="A119" s="3266" t="s">
        <v>1452</v>
      </c>
      <c r="B119" s="3266"/>
      <c r="C119" s="3266"/>
      <c r="D119" s="3306" t="str">
        <f>NUMBERSTRING(INT(D118*10000),2)&amp;"元整"</f>
        <v>零元整</v>
      </c>
      <c r="E119" s="3308"/>
      <c r="F119" s="3306" t="str">
        <f>NUMBERSTRING(INT(F118*10000),2)&amp;"元整"</f>
        <v>零元整</v>
      </c>
      <c r="G119" s="3308"/>
      <c r="H119" s="3306" t="str">
        <f ca="1">NUMBERSTRING(INT(H118*10000),2)&amp;"元整"</f>
        <v>伍仟壹佰伍拾壹万捌仟贰佰零肆元整</v>
      </c>
      <c r="I119" s="3308"/>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6" t="s">
        <v>1452</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房地产抵押价值</v>
      </c>
      <c r="B122" s="3297"/>
      <c r="C122" s="3297"/>
      <c r="D122" s="3330">
        <f ca="1">H107</f>
        <v>5151.8203999999996</v>
      </c>
      <c r="E122" s="3331"/>
      <c r="F122" s="3331"/>
      <c r="G122" s="3331"/>
      <c r="H122" s="3331"/>
      <c r="I122" s="3332"/>
      <c r="AA122" s="684"/>
    </row>
    <row r="123" spans="1:27" ht="18.75" customHeight="1">
      <c r="A123" s="3266" t="s">
        <v>1452</v>
      </c>
      <c r="B123" s="3266"/>
      <c r="C123" s="3266"/>
      <c r="D123" s="3306" t="str">
        <f ca="1">NUMBERSTRING(INT(D122*10000),2)&amp;"元整"</f>
        <v>伍仟壹佰伍拾壹万捌仟贰佰零肆元整</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1452</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抵押净值</v>
      </c>
      <c r="B126" s="3297"/>
      <c r="C126" s="3297"/>
      <c r="D126" s="3330">
        <f ca="1">H111</f>
        <v>5149.2444999999998</v>
      </c>
      <c r="E126" s="3331"/>
      <c r="F126" s="3331"/>
      <c r="G126" s="3331"/>
      <c r="H126" s="3331"/>
      <c r="I126" s="3332"/>
      <c r="AA126" s="684"/>
    </row>
    <row r="127" spans="1:27" ht="18.75" customHeight="1">
      <c r="A127" s="3266" t="s">
        <v>1452</v>
      </c>
      <c r="B127" s="3266"/>
      <c r="C127" s="3266"/>
      <c r="D127" s="3306" t="str">
        <f ca="1">NUMBERSTRING(INT(D126*10000),2)&amp;"元整"</f>
        <v>伍仟壹佰肆拾玖万贰仟肆佰肆拾伍元整</v>
      </c>
      <c r="E127" s="3307"/>
      <c r="F127" s="3307"/>
      <c r="G127" s="3307"/>
      <c r="H127" s="3307"/>
      <c r="I127" s="3308"/>
      <c r="AA127" s="684"/>
    </row>
    <row r="128" spans="1:27" ht="21.75" customHeight="1">
      <c r="A128" s="3313" t="s">
        <v>1453</v>
      </c>
      <c r="B128" s="3313"/>
      <c r="C128" s="3313"/>
      <c r="D128" s="3313"/>
      <c r="E128" s="3313"/>
      <c r="F128" s="3313"/>
      <c r="G128" s="3313"/>
      <c r="H128" s="3313"/>
      <c r="I128" s="331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2739</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18</v>
      </c>
      <c r="D10" s="795">
        <f ca="1">IF(B1="",'数据-汇总表'!E6,IF(INDIRECT("'数据-取费表'!c"&amp;$G$1)="住宅",INDIRECT("'数据-取费表'!s"&amp;$G$1),INDIRECT("'数据-取费表'!k"&amp;$G$1)+INDIRECT("'数据-取费表'!s"&amp;$G$1)))</f>
        <v>887.22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18</v>
      </c>
      <c r="D19" s="204">
        <f ca="1">D9+D10</f>
        <v>887.22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255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222</v>
      </c>
      <c r="D34" s="209"/>
      <c r="E34" s="212"/>
      <c r="F34" s="249">
        <f ca="1">IF('数据-取费表'!B24=0,1,IF(B1="",'数据-取费表'!N16,INDIRECT("'数据-取费表'!n"&amp;$G$1)))</f>
        <v>1</v>
      </c>
      <c r="G34" s="211" t="s">
        <v>1526</v>
      </c>
    </row>
    <row r="35" spans="1:7" ht="13.5" customHeight="1">
      <c r="A35" s="734" t="s">
        <v>351</v>
      </c>
      <c r="B35" s="207" t="s">
        <v>1527</v>
      </c>
      <c r="C35" s="212">
        <f ca="1">ROUND(C34*F35,0)</f>
        <v>11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v>
      </c>
      <c r="D37" s="209">
        <f ca="1">D19</f>
        <v>887.22</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4</v>
      </c>
      <c r="D42" s="230"/>
      <c r="E42" s="230"/>
      <c r="F42" s="231"/>
      <c r="G42" s="3346" t="s">
        <v>1544</v>
      </c>
    </row>
    <row r="43" spans="1:7" ht="13.5" customHeight="1">
      <c r="A43" s="734" t="s">
        <v>347</v>
      </c>
      <c r="B43" s="207" t="s">
        <v>1545</v>
      </c>
      <c r="C43" s="230">
        <f ca="1">ROUND(IF('数据-取费表'!B22&lt;=1,C39*F22*'数据-取费表'!B21/2,C39*(POWER((1+F22),'数据-取费表'!B21/2)-1)),0)</f>
        <v>0</v>
      </c>
      <c r="D43" s="230"/>
      <c r="E43" s="230"/>
      <c r="F43" s="231"/>
      <c r="G43" s="3347"/>
    </row>
    <row r="44" spans="1:7" ht="13.5" customHeight="1">
      <c r="A44" s="734" t="s">
        <v>348</v>
      </c>
      <c r="B44" s="207" t="s">
        <v>1546</v>
      </c>
      <c r="C44" s="230">
        <f ca="1">ROUND(IF('数据-取费表'!B22&lt;=1,C40*F22*'数据-取费表'!B21/2,C40*(POWER((1+F22),'数据-取费表'!B21/2)-1)),4)</f>
        <v>2.9999999999999997E-4</v>
      </c>
      <c r="D44" s="230"/>
      <c r="E44" s="230"/>
      <c r="F44" s="231"/>
      <c r="G44" s="3348"/>
    </row>
    <row r="45" spans="1:7" s="206" customFormat="1" ht="13.5" customHeight="1">
      <c r="A45" s="247" t="s">
        <v>1547</v>
      </c>
      <c r="B45" s="236" t="s">
        <v>1513</v>
      </c>
      <c r="C45" s="237">
        <f ca="1">C46</f>
        <v>26</v>
      </c>
      <c r="D45" s="227">
        <f ca="1">C47</f>
        <v>2E-3</v>
      </c>
      <c r="E45" s="228" t="s">
        <v>1539</v>
      </c>
      <c r="F45" s="238">
        <f ca="1">F27</f>
        <v>0.1</v>
      </c>
      <c r="G45" s="239" t="s">
        <v>1548</v>
      </c>
    </row>
    <row r="46" spans="1:7" s="206" customFormat="1" ht="13.5" customHeight="1">
      <c r="A46" s="734" t="s">
        <v>346</v>
      </c>
      <c r="B46" s="240" t="s">
        <v>1549</v>
      </c>
      <c r="C46" s="241">
        <f ca="1">ROUND((C33+C39)*F27,0)</f>
        <v>26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314</v>
      </c>
      <c r="D49" s="224"/>
      <c r="E49" s="224"/>
      <c r="F49" s="256"/>
      <c r="G49" s="226" t="s">
        <v>1554</v>
      </c>
    </row>
    <row r="50" spans="1:7" s="250" customFormat="1" ht="26">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220</v>
      </c>
      <c r="D51" s="224"/>
      <c r="E51" s="224"/>
      <c r="F51" s="256"/>
      <c r="G51" s="226" t="s">
        <v>1560</v>
      </c>
    </row>
    <row r="52" spans="1:7" s="200" customFormat="1" ht="16.5" thickBot="1">
      <c r="A52" s="257" t="s">
        <v>1561</v>
      </c>
      <c r="B52" s="258"/>
      <c r="C52" s="259">
        <f ca="1">C31+C51</f>
        <v>243</v>
      </c>
      <c r="D52" s="258"/>
      <c r="E52" s="258"/>
      <c r="F52" s="258"/>
      <c r="G52" s="260"/>
    </row>
    <row r="55" spans="1:7" ht="15.5">
      <c r="B55" s="262" t="s">
        <v>1562</v>
      </c>
      <c r="C55" s="263"/>
    </row>
    <row r="56" spans="1:7" ht="13">
      <c r="B56" s="265" t="s">
        <v>802</v>
      </c>
      <c r="C56" s="267">
        <f ca="1">1-C57</f>
        <v>9.4999999999999973E-2</v>
      </c>
    </row>
    <row r="57" spans="1:7" ht="13">
      <c r="B57" s="265" t="s">
        <v>803</v>
      </c>
      <c r="C57" s="266">
        <f ca="1">ROUND(C51/C52,3)</f>
        <v>0.90500000000000003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北京市海淀区蓝靛厂晨月园甲3号楼1层01层等[2]套房地产抵押价值预评估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0713D-8DE8-4831-AEA7-9A8D26B3D27C}">
  <sheetPr>
    <tabColor rgb="FF92D050"/>
    <pageSetUpPr fitToPage="1"/>
  </sheetPr>
  <dimension ref="A1:AC131"/>
  <sheetViews>
    <sheetView view="pageBreakPreview" topLeftCell="A25" zoomScale="60" zoomScaleNormal="70" workbookViewId="0">
      <selection activeCell="K43" sqref="K43"/>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19" t="s">
        <v>3466</v>
      </c>
      <c r="F1" s="1735" t="s">
        <v>3467</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5853.2565000000004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65973</v>
      </c>
      <c r="C3" s="344" t="s">
        <v>1665</v>
      </c>
      <c r="D3" s="343">
        <f>IF(D1="",'数据-汇总表'!E3,SUMIF('数据-汇总表'!$C19:$C33,D1,'数据-汇总表'!$E19:$E33))</f>
        <v>887.22</v>
      </c>
      <c r="E3" s="1805"/>
      <c r="F3" s="856"/>
      <c r="G3" s="855"/>
      <c r="H3" s="855"/>
      <c r="I3" s="855"/>
      <c r="J3" s="855"/>
      <c r="K3" s="857"/>
      <c r="L3" s="2498"/>
      <c r="M3" s="2499"/>
      <c r="N3" s="2499"/>
      <c r="O3" s="2499"/>
      <c r="P3" s="1804"/>
      <c r="Q3" s="859"/>
      <c r="R3" s="859"/>
      <c r="S3" s="859"/>
      <c r="T3" s="859"/>
      <c r="U3" s="859"/>
      <c r="V3" s="859"/>
      <c r="W3" s="859"/>
      <c r="X3" s="859"/>
      <c r="Y3" s="859"/>
      <c r="Z3" s="859"/>
      <c r="AA3" s="859"/>
      <c r="AB3" s="859"/>
      <c r="AC3" s="1805"/>
    </row>
    <row r="4" spans="1:29">
      <c r="A4" s="345" t="s">
        <v>1666</v>
      </c>
      <c r="B4" s="346"/>
      <c r="C4" s="3393" t="s">
        <v>1667</v>
      </c>
      <c r="D4" s="3394"/>
      <c r="E4" s="3395" t="s">
        <v>1668</v>
      </c>
      <c r="F4" s="3396"/>
      <c r="G4" s="3393" t="s">
        <v>1669</v>
      </c>
      <c r="H4" s="3394"/>
      <c r="I4" s="3393" t="s">
        <v>1670</v>
      </c>
      <c r="J4" s="3394"/>
      <c r="K4" s="537" t="s">
        <v>1671</v>
      </c>
      <c r="L4" s="2481"/>
      <c r="M4" s="2482"/>
      <c r="N4" s="2482"/>
      <c r="O4" s="2482"/>
      <c r="P4" s="3397" t="s">
        <v>1672</v>
      </c>
      <c r="Q4" s="3398"/>
      <c r="R4" s="3403" t="s">
        <v>1668</v>
      </c>
      <c r="S4" s="3404"/>
      <c r="T4" s="3403" t="s">
        <v>1669</v>
      </c>
      <c r="U4" s="3404"/>
      <c r="V4" s="3379" t="s">
        <v>1670</v>
      </c>
      <c r="W4" s="3379"/>
      <c r="X4" s="1265"/>
      <c r="Y4" s="3403" t="s">
        <v>1672</v>
      </c>
      <c r="Z4" s="3404"/>
      <c r="AA4" s="3390" t="s">
        <v>1668</v>
      </c>
      <c r="AB4" s="3379" t="s">
        <v>1669</v>
      </c>
      <c r="AC4" s="3390" t="s">
        <v>1670</v>
      </c>
    </row>
    <row r="5" spans="1:29" ht="14" customHeight="1">
      <c r="A5" s="348"/>
      <c r="B5" s="349"/>
      <c r="C5" s="3513" t="s">
        <v>3470</v>
      </c>
      <c r="D5" s="3412"/>
      <c r="E5" s="3512" t="s">
        <v>3529</v>
      </c>
      <c r="F5" s="3419"/>
      <c r="G5" s="3512" t="s">
        <v>3530</v>
      </c>
      <c r="H5" s="3419"/>
      <c r="I5" s="3513" t="s">
        <v>3531</v>
      </c>
      <c r="J5" s="3412"/>
      <c r="K5" s="537"/>
      <c r="L5" s="2481"/>
      <c r="M5" s="2482"/>
      <c r="N5" s="2482"/>
      <c r="O5" s="2482"/>
      <c r="P5" s="3399"/>
      <c r="Q5" s="3400"/>
      <c r="R5" s="3405"/>
      <c r="S5" s="3406"/>
      <c r="T5" s="3405"/>
      <c r="U5" s="3406"/>
      <c r="V5" s="3379"/>
      <c r="W5" s="3379"/>
      <c r="X5" s="1265"/>
      <c r="Y5" s="3405"/>
      <c r="Z5" s="3406"/>
      <c r="AA5" s="3391"/>
      <c r="AB5" s="3379"/>
      <c r="AC5" s="3391"/>
    </row>
    <row r="6" spans="1:29" ht="15" thickBot="1">
      <c r="A6" s="350"/>
      <c r="B6" s="351"/>
      <c r="C6" s="3409" t="s">
        <v>1677</v>
      </c>
      <c r="D6" s="3410"/>
      <c r="E6" s="3416" t="s">
        <v>1677</v>
      </c>
      <c r="F6" s="3417"/>
      <c r="G6" s="3409" t="s">
        <v>1677</v>
      </c>
      <c r="H6" s="3410"/>
      <c r="I6" s="3409" t="s">
        <v>1677</v>
      </c>
      <c r="J6" s="3410"/>
      <c r="K6" s="537" t="s">
        <v>1678</v>
      </c>
      <c r="L6" s="2481"/>
      <c r="M6" s="2482"/>
      <c r="N6" s="2482"/>
      <c r="O6" s="2482"/>
      <c r="P6" s="3401"/>
      <c r="Q6" s="3402"/>
      <c r="R6" s="3405"/>
      <c r="S6" s="3406"/>
      <c r="T6" s="3407"/>
      <c r="U6" s="3408"/>
      <c r="V6" s="3379"/>
      <c r="W6" s="3379"/>
      <c r="X6" s="1265"/>
      <c r="Y6" s="3407"/>
      <c r="Z6" s="3408"/>
      <c r="AA6" s="3392"/>
      <c r="AB6" s="3379"/>
      <c r="AC6" s="3392"/>
    </row>
    <row r="7" spans="1:29" s="102" customFormat="1" ht="14.5" thickBot="1">
      <c r="A7" s="352" t="s">
        <v>1679</v>
      </c>
      <c r="B7" s="353"/>
      <c r="C7" s="354">
        <f>'数据-取费表'!B2</f>
        <v>45909</v>
      </c>
      <c r="D7" s="355">
        <v>100</v>
      </c>
      <c r="E7" s="356">
        <f>C7</f>
        <v>45909</v>
      </c>
      <c r="F7" s="357">
        <f>SUMIF(58:58,YEAR(E7)&amp;"-"&amp;MONTH(E7),59:59)</f>
        <v>100</v>
      </c>
      <c r="G7" s="356">
        <f>C7</f>
        <v>45909</v>
      </c>
      <c r="H7" s="355">
        <f>SUMIF(58:58,YEAR(G7)&amp;"-"&amp;MONTH(G7),59:59)</f>
        <v>100</v>
      </c>
      <c r="I7" s="356">
        <f>C7</f>
        <v>45909</v>
      </c>
      <c r="J7" s="355">
        <f>SUMIF(58:58,YEAR(I7)&amp;"-"&amp;MONTH(I7),59:59)</f>
        <v>100</v>
      </c>
      <c r="K7" s="38"/>
      <c r="L7" s="2483"/>
      <c r="M7" s="2435"/>
      <c r="N7" s="2435"/>
      <c r="O7" s="2435"/>
      <c r="P7" s="3413" t="s">
        <v>1680</v>
      </c>
      <c r="Q7" s="3415"/>
      <c r="R7" s="664" t="s">
        <v>14</v>
      </c>
      <c r="S7" s="665">
        <f t="shared" ref="S7:S15" si="0">F7</f>
        <v>100</v>
      </c>
      <c r="T7" s="664" t="s">
        <v>14</v>
      </c>
      <c r="U7" s="665">
        <f t="shared" ref="U7:U15" si="1">H7</f>
        <v>100</v>
      </c>
      <c r="V7" s="664" t="s">
        <v>14</v>
      </c>
      <c r="W7" s="665">
        <f t="shared" ref="W7:W15" si="2">J7</f>
        <v>100</v>
      </c>
      <c r="X7" s="666"/>
      <c r="Y7" s="3413" t="s">
        <v>1680</v>
      </c>
      <c r="Z7" s="3414"/>
      <c r="AA7" s="50">
        <f>D7/F7</f>
        <v>1</v>
      </c>
      <c r="AB7" s="50">
        <f>D7/H7</f>
        <v>1</v>
      </c>
      <c r="AC7" s="50">
        <f>D7/J7</f>
        <v>1</v>
      </c>
    </row>
    <row r="8" spans="1:29" s="102" customFormat="1" ht="14.5" thickBot="1">
      <c r="A8" s="352" t="s">
        <v>1681</v>
      </c>
      <c r="B8" s="353"/>
      <c r="C8" s="358" t="s">
        <v>3471</v>
      </c>
      <c r="D8" s="355">
        <v>100</v>
      </c>
      <c r="E8" s="358" t="s">
        <v>3472</v>
      </c>
      <c r="F8" s="357">
        <f>SUMIF(61:61,E8,62:62)-SUMIF(61:61,C8,62:62)+100</f>
        <v>105</v>
      </c>
      <c r="G8" s="358" t="s">
        <v>3472</v>
      </c>
      <c r="H8" s="355">
        <f>SUMIF(61:61,G8,62:62)-SUMIF(61:61,C8,62:62)+100</f>
        <v>105</v>
      </c>
      <c r="I8" s="358" t="s">
        <v>3472</v>
      </c>
      <c r="J8" s="355">
        <f>SUMIF(61:61,I8,62:62)-SUMIF(61:61,C8,62:62)+100</f>
        <v>105</v>
      </c>
      <c r="K8" s="38"/>
      <c r="L8" s="2483"/>
      <c r="M8" s="2435"/>
      <c r="N8" s="2435"/>
      <c r="O8" s="2435"/>
      <c r="P8" s="3413" t="s">
        <v>1683</v>
      </c>
      <c r="Q8" s="3414"/>
      <c r="R8" s="664" t="s">
        <v>14</v>
      </c>
      <c r="S8" s="665">
        <f t="shared" si="0"/>
        <v>105</v>
      </c>
      <c r="T8" s="664" t="s">
        <v>14</v>
      </c>
      <c r="U8" s="665">
        <f t="shared" si="1"/>
        <v>105</v>
      </c>
      <c r="V8" s="664" t="s">
        <v>14</v>
      </c>
      <c r="W8" s="665">
        <f t="shared" si="2"/>
        <v>105</v>
      </c>
      <c r="X8" s="666"/>
      <c r="Y8" s="3413" t="s">
        <v>1683</v>
      </c>
      <c r="Z8" s="3414"/>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518" t="s">
        <v>3515</v>
      </c>
      <c r="D9" s="59">
        <v>100</v>
      </c>
      <c r="E9" s="361" t="s">
        <v>673</v>
      </c>
      <c r="F9" s="60">
        <f>SUMIF(63:63,E9,64:64)-SUMIF(63:63,C9,64:64)+100</f>
        <v>100</v>
      </c>
      <c r="G9" s="361" t="s">
        <v>673</v>
      </c>
      <c r="H9" s="59">
        <f>SUMIF(63:63,G9,64:64)-SUMIF(63:63,C9,64:64)+100</f>
        <v>100</v>
      </c>
      <c r="I9" s="361" t="s">
        <v>673</v>
      </c>
      <c r="J9" s="59">
        <f>SUMIF(63:63,I9,64:64)-SUMIF(63:63,C9,64:64)+100</f>
        <v>100</v>
      </c>
      <c r="K9" s="38"/>
      <c r="L9" s="2483"/>
      <c r="M9" s="2435"/>
      <c r="N9" s="2435"/>
      <c r="O9" s="2435"/>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
      <c r="A10" s="363"/>
      <c r="B10" s="364" t="s">
        <v>1688</v>
      </c>
      <c r="C10" s="3127" t="s">
        <v>3516</v>
      </c>
      <c r="D10" s="119">
        <v>100</v>
      </c>
      <c r="E10" s="3128" t="s">
        <v>3517</v>
      </c>
      <c r="F10" s="364">
        <f>SUMIF(65:65,E10,66:66)-SUMIF(65:65,C10,66:66)+100</f>
        <v>96</v>
      </c>
      <c r="G10" s="3128" t="s">
        <v>3517</v>
      </c>
      <c r="H10" s="119">
        <f>SUMIF(65:65,G10,66:66)-SUMIF(65:65,C10,66:66)+100</f>
        <v>96</v>
      </c>
      <c r="I10" s="3127" t="s">
        <v>3516</v>
      </c>
      <c r="J10" s="119">
        <f>SUMIF(65:65,I10,66:66)-SUMIF(65:65,C10,66:66)+100</f>
        <v>100</v>
      </c>
      <c r="K10" s="38"/>
      <c r="L10" s="2484"/>
      <c r="M10" s="2485"/>
      <c r="N10" s="2485"/>
      <c r="O10" s="2485"/>
      <c r="P10" s="3389"/>
      <c r="Q10" s="530" t="str">
        <f t="shared" si="6"/>
        <v>土地使用年限（年）</v>
      </c>
      <c r="R10" s="664" t="s">
        <v>14</v>
      </c>
      <c r="S10" s="665">
        <f t="shared" si="0"/>
        <v>96</v>
      </c>
      <c r="T10" s="664" t="s">
        <v>14</v>
      </c>
      <c r="U10" s="665">
        <f t="shared" si="1"/>
        <v>96</v>
      </c>
      <c r="V10" s="664" t="s">
        <v>14</v>
      </c>
      <c r="W10" s="665">
        <f t="shared" si="2"/>
        <v>100</v>
      </c>
      <c r="X10" s="666"/>
      <c r="Y10" s="3253"/>
      <c r="Z10" s="50" t="str">
        <f t="shared" si="7"/>
        <v>土地使用年限（年）</v>
      </c>
      <c r="AA10" s="50">
        <f t="shared" si="3"/>
        <v>1.0416666666666667</v>
      </c>
      <c r="AB10" s="50">
        <f t="shared" si="4"/>
        <v>1.0416666666666667</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6"/>
      <c r="M11" s="2482"/>
      <c r="N11" s="2482"/>
      <c r="O11" s="2482"/>
      <c r="P11" s="3389"/>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5">
      <c r="A12" s="370"/>
      <c r="B12" s="447">
        <v>111</v>
      </c>
      <c r="C12" s="371"/>
      <c r="D12" s="372">
        <v>100</v>
      </c>
      <c r="E12" s="3519" t="s">
        <v>3518</v>
      </c>
      <c r="F12" s="364">
        <f>SUMIF(70:70,E12,71:71)-SUMIF(70:70,C12,71:71)+100</f>
        <v>100</v>
      </c>
      <c r="G12" s="373"/>
      <c r="H12" s="119">
        <f>SUMIF(70:70,G12,71:71)-SUMIF(70:70,C12,71:71)+100</f>
        <v>100</v>
      </c>
      <c r="I12" s="3519" t="s">
        <v>3518</v>
      </c>
      <c r="J12" s="119">
        <f>SUMIF(70:70,I12,71:71)-SUMIF(70:70,C12,71:71)+100</f>
        <v>100</v>
      </c>
      <c r="K12" s="539"/>
      <c r="L12" s="2483"/>
      <c r="M12" s="2435"/>
      <c r="N12" s="2435"/>
      <c r="O12" s="2435"/>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5">
      <c r="A13" s="367"/>
      <c r="B13" s="447">
        <v>111</v>
      </c>
      <c r="C13" s="373"/>
      <c r="D13" s="374">
        <v>100</v>
      </c>
      <c r="E13" s="373">
        <v>2007</v>
      </c>
      <c r="F13" s="364">
        <f>SUMIF(72:72,E13,73:73)-SUMIF(72:72,C13,73:73)+100</f>
        <v>100</v>
      </c>
      <c r="G13" s="373">
        <v>2003</v>
      </c>
      <c r="H13" s="374">
        <f>SUMIF(72:72,G13,73:73)-SUMIF(72:72,C13,73:73)+100</f>
        <v>100</v>
      </c>
      <c r="I13" s="373">
        <v>2010</v>
      </c>
      <c r="J13" s="374">
        <f>SUMIF(72:72,I13,73:73)-SUMIF(72:72,C13,73:73)+100</f>
        <v>100</v>
      </c>
      <c r="K13" s="539"/>
      <c r="L13" s="2487"/>
      <c r="M13" s="2482"/>
      <c r="N13" s="2482"/>
      <c r="O13" s="2482"/>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6" thickBot="1">
      <c r="A14" s="375"/>
      <c r="B14" s="1749">
        <v>111</v>
      </c>
      <c r="C14" s="376"/>
      <c r="D14" s="377">
        <v>100</v>
      </c>
      <c r="E14" s="373">
        <f>E13-2+40-2025</f>
        <v>20</v>
      </c>
      <c r="F14" s="378">
        <f>SUMIF(74:74,E14,75:75)-SUMIF(74:74,C14,75:75)+100</f>
        <v>100</v>
      </c>
      <c r="G14" s="373">
        <f>G13-2+40-2025</f>
        <v>16</v>
      </c>
      <c r="H14" s="377">
        <f>SUMIF(74:74,G14,75:75)-SUMIF(74:74,C14,75:75)+100</f>
        <v>100</v>
      </c>
      <c r="I14" s="373">
        <f>I13-2+40-2025</f>
        <v>23</v>
      </c>
      <c r="J14" s="377">
        <f>SUMIF(74:74,I14,75:75)-SUMIF(74:74,C14,75:75)+100</f>
        <v>100</v>
      </c>
      <c r="K14" s="539"/>
      <c r="L14" s="2487"/>
      <c r="M14" s="2482"/>
      <c r="N14" s="2482"/>
      <c r="O14" s="2482"/>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f>'比较法-商业租金'!K15</f>
        <v>3</v>
      </c>
      <c r="L15" s="2487"/>
      <c r="M15" s="2482"/>
      <c r="N15" s="2482"/>
      <c r="O15" s="2482"/>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5">
      <c r="A16" s="367"/>
      <c r="B16" s="385"/>
      <c r="C16" s="386" t="s">
        <v>3481</v>
      </c>
      <c r="D16" s="387"/>
      <c r="E16" s="386" t="s">
        <v>3481</v>
      </c>
      <c r="F16" s="388"/>
      <c r="G16" s="386" t="s">
        <v>3481</v>
      </c>
      <c r="H16" s="389"/>
      <c r="I16" s="386" t="s">
        <v>3481</v>
      </c>
      <c r="J16" s="387"/>
      <c r="K16" s="541"/>
      <c r="L16" s="2487"/>
      <c r="M16" s="2482"/>
      <c r="N16" s="2482"/>
      <c r="O16" s="2482"/>
      <c r="P16" s="3388"/>
      <c r="Q16" s="1263"/>
      <c r="R16" s="667"/>
      <c r="S16" s="668"/>
      <c r="T16" s="667"/>
      <c r="U16" s="668"/>
      <c r="V16" s="667"/>
      <c r="W16" s="668"/>
      <c r="X16" s="1265"/>
      <c r="Y16" s="338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f>'比较法-商业租金'!K17</f>
        <v>2</v>
      </c>
      <c r="L17" s="2487"/>
      <c r="M17" s="2482"/>
      <c r="N17" s="2482"/>
      <c r="O17" s="2482"/>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5">
      <c r="A18" s="367"/>
      <c r="B18" s="395"/>
      <c r="C18" s="1755" t="s">
        <v>3481</v>
      </c>
      <c r="D18" s="389"/>
      <c r="E18" s="1755" t="s">
        <v>3481</v>
      </c>
      <c r="F18" s="392"/>
      <c r="G18" s="1755" t="s">
        <v>3481</v>
      </c>
      <c r="H18" s="387"/>
      <c r="I18" s="1755" t="s">
        <v>3481</v>
      </c>
      <c r="J18" s="387"/>
      <c r="K18" s="541"/>
      <c r="L18" s="2487"/>
      <c r="M18" s="2482"/>
      <c r="N18" s="2482"/>
      <c r="O18" s="2482"/>
      <c r="P18" s="3388"/>
      <c r="Q18" s="1263"/>
      <c r="R18" s="667"/>
      <c r="S18" s="668"/>
      <c r="T18" s="667"/>
      <c r="U18" s="668"/>
      <c r="V18" s="667"/>
      <c r="W18" s="668"/>
      <c r="X18" s="1265"/>
      <c r="Y18" s="3381"/>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f>'比较法-商业租金'!K19</f>
        <v>2</v>
      </c>
      <c r="L19" s="2487"/>
      <c r="M19" s="2482"/>
      <c r="N19" s="2482"/>
      <c r="O19" s="2482"/>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5">
      <c r="A20" s="367"/>
      <c r="B20" s="395"/>
      <c r="C20" s="1755" t="s">
        <v>3481</v>
      </c>
      <c r="D20" s="387"/>
      <c r="E20" s="1755" t="s">
        <v>3481</v>
      </c>
      <c r="F20" s="388"/>
      <c r="G20" s="1755" t="s">
        <v>3481</v>
      </c>
      <c r="H20" s="387"/>
      <c r="I20" s="1755" t="s">
        <v>3481</v>
      </c>
      <c r="J20" s="387"/>
      <c r="K20" s="541"/>
      <c r="L20" s="2487"/>
      <c r="M20" s="2482"/>
      <c r="N20" s="2482"/>
      <c r="O20" s="2482"/>
      <c r="P20" s="3388"/>
      <c r="Q20" s="1263"/>
      <c r="R20" s="667"/>
      <c r="S20" s="668"/>
      <c r="T20" s="667"/>
      <c r="U20" s="668"/>
      <c r="V20" s="667"/>
      <c r="W20" s="668"/>
      <c r="X20" s="1265"/>
      <c r="Y20" s="3381"/>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f>'比较法-商业租金'!K21</f>
        <v>1</v>
      </c>
      <c r="L21" s="2487"/>
      <c r="M21" s="2482"/>
      <c r="N21" s="2482"/>
      <c r="O21" s="2482"/>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5">
      <c r="A22" s="367"/>
      <c r="B22" s="586"/>
      <c r="C22" s="1755" t="s">
        <v>3497</v>
      </c>
      <c r="D22" s="387"/>
      <c r="E22" s="1755" t="s">
        <v>3497</v>
      </c>
      <c r="F22" s="388"/>
      <c r="G22" s="1755" t="s">
        <v>3497</v>
      </c>
      <c r="H22" s="387"/>
      <c r="I22" s="1755" t="s">
        <v>3497</v>
      </c>
      <c r="J22" s="387"/>
      <c r="K22" s="1064"/>
      <c r="L22" s="2487"/>
      <c r="M22" s="2482"/>
      <c r="N22" s="2482"/>
      <c r="O22" s="2482"/>
      <c r="P22" s="3388"/>
      <c r="Q22" s="1263"/>
      <c r="R22" s="667"/>
      <c r="S22" s="668"/>
      <c r="T22" s="667"/>
      <c r="U22" s="668"/>
      <c r="V22" s="667"/>
      <c r="W22" s="668"/>
      <c r="X22" s="1265"/>
      <c r="Y22" s="3381"/>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f>'比较法-商业租金'!K23</f>
        <v>2</v>
      </c>
      <c r="L23" s="2487"/>
      <c r="M23" s="2482"/>
      <c r="N23" s="2482"/>
      <c r="O23" s="2482"/>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5">
      <c r="A24" s="367"/>
      <c r="B24" s="395"/>
      <c r="C24" s="386" t="s">
        <v>3481</v>
      </c>
      <c r="D24" s="387"/>
      <c r="E24" s="386" t="s">
        <v>3481</v>
      </c>
      <c r="F24" s="388"/>
      <c r="G24" s="386" t="s">
        <v>3481</v>
      </c>
      <c r="H24" s="387"/>
      <c r="I24" s="386" t="s">
        <v>3481</v>
      </c>
      <c r="J24" s="387"/>
      <c r="K24" s="541"/>
      <c r="L24" s="2487"/>
      <c r="M24" s="2482"/>
      <c r="N24" s="2482"/>
      <c r="O24" s="2482"/>
      <c r="P24" s="3388"/>
      <c r="Q24" s="1263"/>
      <c r="R24" s="667"/>
      <c r="S24" s="668"/>
      <c r="T24" s="667"/>
      <c r="U24" s="668"/>
      <c r="V24" s="667"/>
      <c r="W24" s="668"/>
      <c r="X24" s="1265"/>
      <c r="Y24" s="3381"/>
      <c r="Z24" s="1264"/>
      <c r="AA24" s="1264">
        <v>1</v>
      </c>
      <c r="AB24" s="1264">
        <v>1</v>
      </c>
      <c r="AC24" s="1264">
        <v>1</v>
      </c>
    </row>
    <row r="25" spans="1:29" ht="15.5">
      <c r="A25" s="367"/>
      <c r="B25" s="364" t="s">
        <v>1780</v>
      </c>
      <c r="C25" s="542" t="s">
        <v>3479</v>
      </c>
      <c r="D25" s="374">
        <v>100</v>
      </c>
      <c r="E25" s="542" t="s">
        <v>3479</v>
      </c>
      <c r="F25" s="400">
        <f>SUMIF(86:86,E25,87:87)-SUMIF(86:86,C25,87:87)+100</f>
        <v>100</v>
      </c>
      <c r="G25" s="542" t="s">
        <v>3479</v>
      </c>
      <c r="H25" s="374">
        <f>SUMIF(86:86,G25,87:87)-SUMIF(86:86,C25,87:87)+100</f>
        <v>100</v>
      </c>
      <c r="I25" s="542" t="s">
        <v>3479</v>
      </c>
      <c r="J25" s="374">
        <f>SUMIF(86:86,I25,87:87)-SUMIF(86:86,C25,87:87)+100</f>
        <v>100</v>
      </c>
      <c r="K25" s="538">
        <f>'比较法-商业租金'!K25</f>
        <v>2</v>
      </c>
      <c r="L25" s="2487"/>
      <c r="M25" s="2482"/>
      <c r="N25" s="2482"/>
      <c r="O25" s="2482"/>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5">
      <c r="A26" s="367"/>
      <c r="B26" s="1066" t="s">
        <v>1781</v>
      </c>
      <c r="C26" s="3519" t="s">
        <v>3482</v>
      </c>
      <c r="D26" s="374">
        <v>100</v>
      </c>
      <c r="E26" s="3519" t="s">
        <v>3482</v>
      </c>
      <c r="F26" s="400">
        <f>SUMIF(88:88,E26,89:89)-SUMIF(88:88,C26,89:89)+100</f>
        <v>100</v>
      </c>
      <c r="G26" s="3519" t="s">
        <v>3482</v>
      </c>
      <c r="H26" s="374">
        <f>SUMIF(88:88,G26,89:89)-SUMIF(88:88,C26,89:89)+100</f>
        <v>100</v>
      </c>
      <c r="I26" s="3519" t="s">
        <v>3482</v>
      </c>
      <c r="J26" s="374">
        <f>SUMIF(88:88,I26,89:89)-SUMIF(88:88,C26,89:89)+100</f>
        <v>100</v>
      </c>
      <c r="K26" s="539"/>
      <c r="L26" s="2487"/>
      <c r="M26" s="2482"/>
      <c r="N26" s="2482"/>
      <c r="O26" s="2482"/>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5">
      <c r="A27" s="370"/>
      <c r="B27" s="390" t="s">
        <v>1782</v>
      </c>
      <c r="C27" s="1807" t="s">
        <v>3484</v>
      </c>
      <c r="D27" s="401">
        <v>100</v>
      </c>
      <c r="E27" s="1807" t="s">
        <v>3484</v>
      </c>
      <c r="F27" s="395">
        <f>SUMIF(90:90,E27,91:91)-SUMIF(90:90,C27,91:91)+100</f>
        <v>100</v>
      </c>
      <c r="G27" s="1807" t="s">
        <v>3486</v>
      </c>
      <c r="H27" s="401">
        <f>SUMIF(90:90,G27,91:91)-SUMIF(90:90,C27,91:91)+100</f>
        <v>97</v>
      </c>
      <c r="I27" s="1807" t="s">
        <v>3486</v>
      </c>
      <c r="J27" s="401">
        <f>SUMIF(90:90,I27,91:91)-SUMIF(90:90,C27,91:91)+100</f>
        <v>97</v>
      </c>
      <c r="K27" s="538">
        <f>'比较法-商业租金'!K27</f>
        <v>3</v>
      </c>
      <c r="L27" s="2483"/>
      <c r="M27" s="2435"/>
      <c r="N27" s="2435"/>
      <c r="O27" s="2435"/>
      <c r="P27" s="3388"/>
      <c r="Q27" s="530" t="str">
        <f t="shared" si="11"/>
        <v>人流量</v>
      </c>
      <c r="R27" s="664" t="s">
        <v>14</v>
      </c>
      <c r="S27" s="665">
        <f>F27</f>
        <v>100</v>
      </c>
      <c r="T27" s="664" t="s">
        <v>14</v>
      </c>
      <c r="U27" s="665">
        <f>H27</f>
        <v>97</v>
      </c>
      <c r="V27" s="664" t="s">
        <v>14</v>
      </c>
      <c r="W27" s="665">
        <f>J27</f>
        <v>97</v>
      </c>
      <c r="X27" s="666"/>
      <c r="Y27" s="3381"/>
      <c r="Z27" s="50" t="str">
        <f>Q27</f>
        <v>人流量</v>
      </c>
      <c r="AA27" s="1264">
        <f>D27/F27</f>
        <v>1</v>
      </c>
      <c r="AB27" s="1264">
        <f>D27/H27</f>
        <v>1.0309278350515463</v>
      </c>
      <c r="AC27" s="1264">
        <f>D27/J27</f>
        <v>1.0309278350515463</v>
      </c>
    </row>
    <row r="28" spans="1:29" ht="15.5">
      <c r="A28" s="367"/>
      <c r="B28" s="364" t="s">
        <v>1783</v>
      </c>
      <c r="C28" s="542" t="s">
        <v>3519</v>
      </c>
      <c r="D28" s="374">
        <v>100</v>
      </c>
      <c r="E28" s="542" t="s">
        <v>3520</v>
      </c>
      <c r="F28" s="400">
        <f>SUMIF(92:92,E28,93:93)-SUMIF(92:92,C28,93:93)+100</f>
        <v>110</v>
      </c>
      <c r="G28" s="542" t="s">
        <v>3520</v>
      </c>
      <c r="H28" s="374">
        <f>SUMIF(92:92,G28,93:93)-SUMIF(92:92,C28,93:93)+100</f>
        <v>110</v>
      </c>
      <c r="I28" s="542" t="s">
        <v>3520</v>
      </c>
      <c r="J28" s="374">
        <f>SUMIF(92:92,I28,93:93)-SUMIF(92:92,C28,93:93)+100</f>
        <v>110</v>
      </c>
      <c r="K28" s="539"/>
      <c r="L28" s="2487"/>
      <c r="M28" s="2482"/>
      <c r="N28" s="2482"/>
      <c r="O28" s="2482"/>
      <c r="P28" s="3388"/>
      <c r="Q28" s="1263" t="str">
        <f t="shared" si="11"/>
        <v>楼层</v>
      </c>
      <c r="R28" s="667" t="s">
        <v>14</v>
      </c>
      <c r="S28" s="668">
        <f t="shared" ref="S28:S46" si="12">F28</f>
        <v>110</v>
      </c>
      <c r="T28" s="667" t="s">
        <v>14</v>
      </c>
      <c r="U28" s="668">
        <f t="shared" ref="U28:U46" si="13">H28</f>
        <v>110</v>
      </c>
      <c r="V28" s="667" t="s">
        <v>14</v>
      </c>
      <c r="W28" s="668">
        <f t="shared" ref="W28:W46" si="14">J28</f>
        <v>110</v>
      </c>
      <c r="X28" s="1265"/>
      <c r="Y28" s="3381"/>
      <c r="Z28" s="1264" t="str">
        <f t="shared" ref="Z28:Z46" si="15">Q28</f>
        <v>楼层</v>
      </c>
      <c r="AA28" s="1264">
        <f t="shared" si="3"/>
        <v>0.90909090909090906</v>
      </c>
      <c r="AB28" s="1264">
        <f t="shared" si="4"/>
        <v>0.90909090909090906</v>
      </c>
      <c r="AC28" s="1264">
        <f t="shared" si="5"/>
        <v>0.90909090909090906</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5">
      <c r="A32" s="379" t="s">
        <v>1694</v>
      </c>
      <c r="B32" s="60" t="s">
        <v>1784</v>
      </c>
      <c r="C32" s="1764" t="s">
        <v>3494</v>
      </c>
      <c r="D32" s="405">
        <v>100</v>
      </c>
      <c r="E32" s="1764" t="s">
        <v>3494</v>
      </c>
      <c r="F32" s="400">
        <f>SUMIF(100:100,E32,101:101)-SUMIF(100:100,C32,101:101)+100</f>
        <v>100</v>
      </c>
      <c r="G32" s="1764" t="s">
        <v>3494</v>
      </c>
      <c r="H32" s="374">
        <f>SUMIF(100:100,G32,101:101)-SUMIF(100:100,C32,101:101)+100</f>
        <v>100</v>
      </c>
      <c r="I32" s="1764" t="s">
        <v>3494</v>
      </c>
      <c r="J32" s="405">
        <f>SUMIF(100:100,I32,101:101)-SUMIF(100:100,C32,101:101)+100</f>
        <v>100</v>
      </c>
      <c r="K32" s="538">
        <f>'比较法-商业租金'!K32</f>
        <v>2</v>
      </c>
      <c r="L32" s="2487"/>
      <c r="M32" s="2482"/>
      <c r="N32" s="2482"/>
      <c r="O32" s="2482"/>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887.22</v>
      </c>
      <c r="D33" s="119">
        <v>100</v>
      </c>
      <c r="E33" s="369">
        <v>494.35</v>
      </c>
      <c r="F33" s="364">
        <f>LOOKUP(E33,103:103,104:104)-LOOKUP(C33,103:103,104:104)+100</f>
        <v>102</v>
      </c>
      <c r="G33" s="368">
        <v>126.57</v>
      </c>
      <c r="H33" s="119">
        <f>LOOKUP(G33,103:103,104:104)-LOOKUP(C33,103:103,104:104)+100</f>
        <v>104</v>
      </c>
      <c r="I33" s="368">
        <v>69.52</v>
      </c>
      <c r="J33" s="119">
        <f>LOOKUP(I33,103:103,104:104)-LOOKUP(C33,103:103,104:104)+100</f>
        <v>105</v>
      </c>
      <c r="K33" s="539"/>
      <c r="L33" s="2486"/>
      <c r="M33" s="2488"/>
      <c r="N33" s="2488"/>
      <c r="O33" s="2488"/>
      <c r="P33" s="3383"/>
      <c r="Q33" s="531" t="str">
        <f t="shared" si="11"/>
        <v>项目建筑规模</v>
      </c>
      <c r="R33" s="669" t="s">
        <v>14</v>
      </c>
      <c r="S33" s="670">
        <f t="shared" si="12"/>
        <v>102</v>
      </c>
      <c r="T33" s="669" t="s">
        <v>14</v>
      </c>
      <c r="U33" s="670">
        <f t="shared" si="13"/>
        <v>104</v>
      </c>
      <c r="V33" s="669" t="s">
        <v>14</v>
      </c>
      <c r="W33" s="670">
        <f t="shared" si="14"/>
        <v>105</v>
      </c>
      <c r="X33" s="671"/>
      <c r="Y33" s="3385"/>
      <c r="Z33" s="672" t="str">
        <f t="shared" si="15"/>
        <v>项目建筑规模</v>
      </c>
      <c r="AA33" s="1264">
        <f t="shared" si="3"/>
        <v>0.98039215686274506</v>
      </c>
      <c r="AB33" s="1264">
        <f t="shared" si="4"/>
        <v>0.96153846153846156</v>
      </c>
      <c r="AC33" s="1264">
        <f t="shared" si="5"/>
        <v>0.95238095238095233</v>
      </c>
    </row>
    <row r="34" spans="1:29" ht="15.5">
      <c r="A34" s="409"/>
      <c r="B34" s="364" t="s">
        <v>1698</v>
      </c>
      <c r="C34" s="399" t="s">
        <v>3461</v>
      </c>
      <c r="D34" s="374">
        <v>100</v>
      </c>
      <c r="E34" s="399" t="s">
        <v>3461</v>
      </c>
      <c r="F34" s="400">
        <f>SUMIF(105:105,E34,106:106)-SUMIF(105:105,C34,106:106)+100</f>
        <v>100</v>
      </c>
      <c r="G34" s="399" t="s">
        <v>3461</v>
      </c>
      <c r="H34" s="374">
        <f>SUMIF(105:105,G34,106:106)-SUMIF(105:105,C34,106:106)+100</f>
        <v>100</v>
      </c>
      <c r="I34" s="399" t="s">
        <v>3461</v>
      </c>
      <c r="J34" s="374">
        <f>SUMIF(105:105,I34,106:106)-SUMIF(105:105,C34,106:106)+100</f>
        <v>100</v>
      </c>
      <c r="K34" s="538">
        <f>'比较法-商业租金'!K34</f>
        <v>2</v>
      </c>
      <c r="L34" s="2487"/>
      <c r="M34" s="2482"/>
      <c r="N34" s="2482"/>
      <c r="O34" s="2482"/>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7"/>
      <c r="M35" s="2482"/>
      <c r="N35" s="2482"/>
      <c r="O35" s="2482"/>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5">
      <c r="A36" s="409"/>
      <c r="B36" s="364" t="s">
        <v>1786</v>
      </c>
      <c r="C36" s="411">
        <f>'数据-取费表'!Y6</f>
        <v>0.7</v>
      </c>
      <c r="D36" s="374">
        <v>100</v>
      </c>
      <c r="E36" s="411">
        <v>0.7</v>
      </c>
      <c r="F36" s="400">
        <f>LOOKUP(E36,110:110,111:111)-LOOKUP(C36,110:110,111:111)+100</f>
        <v>100</v>
      </c>
      <c r="G36" s="411">
        <v>0.7</v>
      </c>
      <c r="H36" s="400">
        <f>LOOKUP(G36,110:110,111:111)-LOOKUP(C36,110:110,111:111)+100</f>
        <v>100</v>
      </c>
      <c r="I36" s="411">
        <v>0.75</v>
      </c>
      <c r="J36" s="374">
        <f>LOOKUP(I36,110:110,111:111)-LOOKUP(C36,110:110,111:111)+100</f>
        <v>100</v>
      </c>
      <c r="K36" s="538">
        <f>'比较法-商业租金'!K36</f>
        <v>1</v>
      </c>
      <c r="L36" s="2487"/>
      <c r="M36" s="2482"/>
      <c r="N36" s="2482"/>
      <c r="O36" s="2482"/>
      <c r="P36" s="3383"/>
      <c r="Q36" s="1263" t="str">
        <f t="shared" si="11"/>
        <v>成新度</v>
      </c>
      <c r="R36" s="667" t="s">
        <v>14</v>
      </c>
      <c r="S36" s="668">
        <f t="shared" si="12"/>
        <v>100</v>
      </c>
      <c r="T36" s="667" t="s">
        <v>14</v>
      </c>
      <c r="U36" s="668">
        <f t="shared" si="13"/>
        <v>100</v>
      </c>
      <c r="V36" s="667" t="s">
        <v>14</v>
      </c>
      <c r="W36" s="668">
        <f t="shared" si="14"/>
        <v>100</v>
      </c>
      <c r="X36" s="1265"/>
      <c r="Y36" s="3385"/>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f>'比较法-商业租金'!K37</f>
        <v>1</v>
      </c>
      <c r="L37" s="2483"/>
      <c r="M37" s="2435"/>
      <c r="N37" s="2435"/>
      <c r="O37" s="2435"/>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5">
      <c r="A38" s="409"/>
      <c r="B38" s="364" t="s">
        <v>1788</v>
      </c>
      <c r="C38" s="1760" t="s">
        <v>3502</v>
      </c>
      <c r="D38" s="374">
        <v>100</v>
      </c>
      <c r="E38" s="1760" t="s">
        <v>3504</v>
      </c>
      <c r="F38" s="400">
        <f>SUMIF(114:114,E38,115:115)-SUMIF(114:114,C38,115:115)+100</f>
        <v>95</v>
      </c>
      <c r="G38" s="1760" t="s">
        <v>3504</v>
      </c>
      <c r="H38" s="374">
        <f>SUMIF(114:114,G38,115:115)-SUMIF(114:114,C38,115:115)+100</f>
        <v>95</v>
      </c>
      <c r="I38" s="1760" t="s">
        <v>3504</v>
      </c>
      <c r="J38" s="374">
        <f>SUMIF(114:114,I38,115:115)-SUMIF(114:114,C38,115:115)+100</f>
        <v>95</v>
      </c>
      <c r="K38" s="538">
        <f>'比较法-商业租金'!K38</f>
        <v>5</v>
      </c>
      <c r="L38" s="2487"/>
      <c r="M38" s="2482"/>
      <c r="N38" s="2482"/>
      <c r="O38" s="2482"/>
      <c r="P38" s="3383" t="s">
        <v>1696</v>
      </c>
      <c r="Q38" s="1263" t="str">
        <f t="shared" si="11"/>
        <v>业态</v>
      </c>
      <c r="R38" s="667" t="s">
        <v>14</v>
      </c>
      <c r="S38" s="668">
        <f t="shared" si="12"/>
        <v>95</v>
      </c>
      <c r="T38" s="667" t="s">
        <v>14</v>
      </c>
      <c r="U38" s="668">
        <f t="shared" si="13"/>
        <v>95</v>
      </c>
      <c r="V38" s="667" t="s">
        <v>14</v>
      </c>
      <c r="W38" s="668">
        <f t="shared" si="14"/>
        <v>95</v>
      </c>
      <c r="X38" s="1265"/>
      <c r="Y38" s="3385" t="s">
        <v>1696</v>
      </c>
      <c r="Z38" s="1264" t="str">
        <f t="shared" si="15"/>
        <v>业态</v>
      </c>
      <c r="AA38" s="1264">
        <f t="shared" si="3"/>
        <v>1.0526315789473684</v>
      </c>
      <c r="AB38" s="1264">
        <f t="shared" si="4"/>
        <v>1.0526315789473684</v>
      </c>
      <c r="AC38" s="1264">
        <f t="shared" si="5"/>
        <v>1.0526315789473684</v>
      </c>
    </row>
    <row r="39" spans="1:29" ht="15.5">
      <c r="A39" s="409"/>
      <c r="B39" s="364" t="s">
        <v>1789</v>
      </c>
      <c r="C39" s="1760" t="s">
        <v>3506</v>
      </c>
      <c r="D39" s="374">
        <v>100</v>
      </c>
      <c r="E39" s="1760" t="s">
        <v>3506</v>
      </c>
      <c r="F39" s="400">
        <f>SUMIF(116:116,E39,117:117)-SUMIF(116:116,C39,117:117)+100</f>
        <v>100</v>
      </c>
      <c r="G39" s="1760" t="s">
        <v>3506</v>
      </c>
      <c r="H39" s="374">
        <f>SUMIF(116:116,G39,117:117)-SUMIF(116:116,C39,117:117)+100</f>
        <v>100</v>
      </c>
      <c r="I39" s="1760" t="s">
        <v>3506</v>
      </c>
      <c r="J39" s="374">
        <f>SUMIF(116:116,I39,117:117)-SUMIF(116:116,C39,117:117)+100</f>
        <v>100</v>
      </c>
      <c r="K39" s="538">
        <f>'比较法-商业租金'!K39</f>
        <v>5</v>
      </c>
      <c r="L39" s="2487"/>
      <c r="M39" s="2482"/>
      <c r="N39" s="2482"/>
      <c r="O39" s="2482"/>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5">
      <c r="A42" s="409"/>
      <c r="B42" s="364" t="s">
        <v>1792</v>
      </c>
      <c r="C42" s="1760" t="s">
        <v>3510</v>
      </c>
      <c r="D42" s="374">
        <v>100</v>
      </c>
      <c r="E42" s="1760" t="s">
        <v>3508</v>
      </c>
      <c r="F42" s="400">
        <f>SUMIF(122:122,E42,123:123)-SUMIF(122:122,C42,123:123)+100</f>
        <v>101</v>
      </c>
      <c r="G42" s="1760" t="s">
        <v>3512</v>
      </c>
      <c r="H42" s="374">
        <f>SUMIF(122:122,G42,123:123)-SUMIF(122:122,C42,123:123)+100</f>
        <v>99</v>
      </c>
      <c r="I42" s="1760" t="s">
        <v>3512</v>
      </c>
      <c r="J42" s="374">
        <f>SUMIF(122:122,I42,123:123)-SUMIF(122:122,C42,123:123)+100</f>
        <v>99</v>
      </c>
      <c r="K42" s="538">
        <f>'比较法-商业租金'!K42</f>
        <v>1</v>
      </c>
      <c r="L42" s="2487"/>
      <c r="M42" s="2482"/>
      <c r="N42" s="2482"/>
      <c r="O42" s="2482"/>
      <c r="P42" s="3383"/>
      <c r="Q42" s="1263" t="str">
        <f t="shared" si="11"/>
        <v>内部装修</v>
      </c>
      <c r="R42" s="667" t="s">
        <v>14</v>
      </c>
      <c r="S42" s="668">
        <f t="shared" si="12"/>
        <v>101</v>
      </c>
      <c r="T42" s="667" t="s">
        <v>14</v>
      </c>
      <c r="U42" s="668">
        <f t="shared" si="13"/>
        <v>99</v>
      </c>
      <c r="V42" s="667" t="s">
        <v>14</v>
      </c>
      <c r="W42" s="668">
        <f t="shared" si="14"/>
        <v>99</v>
      </c>
      <c r="X42" s="1265"/>
      <c r="Y42" s="3385"/>
      <c r="Z42" s="1264" t="str">
        <f t="shared" si="15"/>
        <v>内部装修</v>
      </c>
      <c r="AA42" s="1264">
        <f t="shared" si="3"/>
        <v>0.99009900990099009</v>
      </c>
      <c r="AB42" s="1264">
        <f t="shared" si="4"/>
        <v>1.0101010101010102</v>
      </c>
      <c r="AC42" s="1264">
        <f t="shared" si="5"/>
        <v>1.0101010101010102</v>
      </c>
    </row>
    <row r="43" spans="1:29" ht="28">
      <c r="A43" s="409"/>
      <c r="B43" s="364" t="s">
        <v>1707</v>
      </c>
      <c r="C43" s="1760" t="s">
        <v>3481</v>
      </c>
      <c r="D43" s="374">
        <v>100</v>
      </c>
      <c r="E43" s="1760" t="s">
        <v>3481</v>
      </c>
      <c r="F43" s="400">
        <f>SUMIF(124:124,E43,125:125)-SUMIF(124:124,C43,125:125)+100</f>
        <v>100</v>
      </c>
      <c r="G43" s="1760" t="s">
        <v>3481</v>
      </c>
      <c r="H43" s="374">
        <f>SUMIF(124:124,G43,125:125)-SUMIF(124:124,C43,125:125)+100</f>
        <v>100</v>
      </c>
      <c r="I43" s="1760" t="s">
        <v>3481</v>
      </c>
      <c r="J43" s="374">
        <f>SUMIF(124:124,I43,125:125)-SUMIF(124:124,C43,125:125)+100</f>
        <v>100</v>
      </c>
      <c r="K43" s="538">
        <f>'比较法-商业租金'!K43</f>
        <v>2</v>
      </c>
      <c r="L43" s="2487"/>
      <c r="M43" s="2482"/>
      <c r="N43" s="2482"/>
      <c r="O43" s="2482"/>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c r="A47" s="416" t="s">
        <v>1708</v>
      </c>
      <c r="B47" s="417"/>
      <c r="C47" s="1081" t="s">
        <v>0</v>
      </c>
      <c r="D47" s="418"/>
      <c r="E47" s="419">
        <v>76869</v>
      </c>
      <c r="F47" s="420"/>
      <c r="G47" s="421">
        <v>65577</v>
      </c>
      <c r="H47" s="422"/>
      <c r="I47" s="419">
        <v>71635</v>
      </c>
      <c r="J47" s="422"/>
      <c r="K47" s="674"/>
      <c r="L47" s="2489"/>
      <c r="M47" s="2482"/>
      <c r="N47" s="2482"/>
      <c r="O47" s="2482"/>
      <c r="P47" s="3378" t="str">
        <f>A47</f>
        <v>成交单价（元/平方米）</v>
      </c>
      <c r="Q47" s="3378"/>
      <c r="R47" s="3379">
        <f>E47</f>
        <v>76869</v>
      </c>
      <c r="S47" s="3379"/>
      <c r="T47" s="3379">
        <f>G47</f>
        <v>65577</v>
      </c>
      <c r="U47" s="3379"/>
      <c r="V47" s="3379">
        <f>I47</f>
        <v>71635</v>
      </c>
      <c r="W47" s="3379"/>
      <c r="X47" s="385"/>
      <c r="Y47" s="673"/>
      <c r="Z47" s="385"/>
      <c r="AA47" s="385"/>
      <c r="AB47" s="385"/>
      <c r="AC47" s="385"/>
    </row>
    <row r="48" spans="1:29" ht="14.5" thickBot="1">
      <c r="A48" s="423" t="s">
        <v>1709</v>
      </c>
      <c r="B48" s="424"/>
      <c r="C48" s="1082">
        <f>R49</f>
        <v>65973</v>
      </c>
      <c r="D48" s="2141" t="s">
        <v>2138</v>
      </c>
      <c r="E48" s="1083">
        <f>R48</f>
        <v>70836</v>
      </c>
      <c r="F48" s="2142"/>
      <c r="G48" s="1082">
        <f>T48</f>
        <v>62335</v>
      </c>
      <c r="H48" s="2142"/>
      <c r="I48" s="1083">
        <f>V48</f>
        <v>64748</v>
      </c>
      <c r="J48" s="2142"/>
      <c r="K48" s="2144">
        <f>F48+H48+J48</f>
        <v>0</v>
      </c>
      <c r="L48" s="2489"/>
      <c r="M48" s="2482"/>
      <c r="N48" s="2482"/>
      <c r="O48" s="2482"/>
      <c r="P48" s="3378" t="str">
        <f>A48</f>
        <v>比较价值（元/平方米）</v>
      </c>
      <c r="Q48" s="3378"/>
      <c r="R48" s="3379">
        <f>IF(F1="售价",ROUND(PRODUCT(R47,AA7:AA46),0),ROUND(PRODUCT(R47,AA7:AA46),1))</f>
        <v>70836</v>
      </c>
      <c r="S48" s="3379"/>
      <c r="T48" s="3379">
        <f>IF(F1="售价",ROUND(PRODUCT(T47,AB7:AB46),0),ROUND(PRODUCT(T47,AB7:AB46),1))</f>
        <v>62335</v>
      </c>
      <c r="U48" s="3379"/>
      <c r="V48" s="3379">
        <f>IF(F1="售价",ROUND(PRODUCT(V47,AC7:AC46),0),ROUND(PRODUCT(V47,AC7:AC46),1))</f>
        <v>64748</v>
      </c>
      <c r="W48" s="3379"/>
      <c r="X48" s="385"/>
      <c r="Y48" s="385"/>
      <c r="Z48" s="385"/>
      <c r="AA48" s="385"/>
      <c r="AB48" s="385"/>
      <c r="AC48" s="385"/>
    </row>
    <row r="49" spans="1:29" ht="14.5" thickBot="1">
      <c r="A49" s="427" t="s">
        <v>1710</v>
      </c>
      <c r="B49" s="428"/>
      <c r="C49" s="351">
        <f>R49</f>
        <v>65973</v>
      </c>
      <c r="D49" s="351"/>
      <c r="E49" s="351"/>
      <c r="F49" s="351"/>
      <c r="G49" s="351"/>
      <c r="H49" s="351"/>
      <c r="I49" s="351"/>
      <c r="J49" s="351"/>
      <c r="K49" s="675"/>
      <c r="L49" s="2489"/>
      <c r="M49" s="2482"/>
      <c r="N49" s="2482"/>
      <c r="O49" s="2482"/>
      <c r="P49" s="3375" t="str">
        <f>A49</f>
        <v>估价对象XX用房的比较价值（楼面单价，元/平方米）</v>
      </c>
      <c r="Q49" s="3376"/>
      <c r="R49" s="3377">
        <f>IF(F1="售价",ROUND(IF(D48="简单平均",AVERAGE(R48:V48),R48*F48+T48*H48+V48*J48),0),ROUND(IF(D48="简单平均",AVERAGE(R48:V48),R48*F48+T48*H48+V48*J48),1))</f>
        <v>65973</v>
      </c>
      <c r="S49" s="3377"/>
      <c r="T49" s="3377"/>
      <c r="U49" s="3377"/>
      <c r="V49" s="3377"/>
      <c r="W49" s="3377"/>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1711</v>
      </c>
      <c r="D52" s="433"/>
      <c r="E52" s="434">
        <f>IF(E47&lt;E48,E48/E47-1,E47/E48-1)</f>
        <v>8.5168558360155799E-2</v>
      </c>
      <c r="F52" s="435" t="str">
        <f>IF(OR(E52&gt;=0.3,E52&lt;=-0.3),"超过30%","")</f>
        <v/>
      </c>
      <c r="G52" s="434">
        <f>IF(G47&lt;G48,G48/G47-1,G47/G48-1)</f>
        <v>5.2009304564049064E-2</v>
      </c>
      <c r="H52" s="435" t="str">
        <f>IF(OR(G52&gt;=0.3,G52&lt;=-0.3),"超过30%","")</f>
        <v/>
      </c>
      <c r="I52" s="434">
        <f>IF(I47&lt;I48,I48/I47-1,I47/I48-1)</f>
        <v>0.10636621980601713</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1712</v>
      </c>
      <c r="D53" s="436"/>
      <c r="E53" s="434">
        <f>IF(E48&lt;G48,G48/E48-1,E48/G48-1)</f>
        <v>0.13637603272639764</v>
      </c>
      <c r="F53" s="435" t="str">
        <f>IF(OR(E53&gt;=0.2,E53&lt;=-0.2),"超过20%","")</f>
        <v/>
      </c>
      <c r="G53" s="434">
        <f>IF(G48&lt;I48,I48/G48-1,G48/I48-1)</f>
        <v>3.8710194914574503E-2</v>
      </c>
      <c r="H53" s="435" t="str">
        <f>IF(OR(G53&gt;=0.2,G53&lt;=-0.2),"超过20%","")</f>
        <v/>
      </c>
      <c r="I53" s="434">
        <f>IF(I48&lt;E48,E48/I48-1,I48/E48-1)</f>
        <v>9.4026070303329767E-2</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1713</v>
      </c>
      <c r="D54" s="436"/>
      <c r="E54" s="434">
        <f>IF(E47&lt;G47,G47/E47-1,E47/G47-1)</f>
        <v>0.17219451941991859</v>
      </c>
      <c r="F54" s="435" t="str">
        <f>IF(OR(E54&gt;=0.3,E54&lt;=-0.3),"超过30%","")</f>
        <v/>
      </c>
      <c r="G54" s="434">
        <f>IF(G47&lt;I47,I47/G47-1,G47/I47-1)</f>
        <v>9.2379950287448276E-2</v>
      </c>
      <c r="H54" s="435" t="str">
        <f>IF(OR(G54&gt;=0.3,G54&lt;=-0.3),"超过30%","")</f>
        <v/>
      </c>
      <c r="I54" s="434">
        <f>IF(I47&lt;E47,E47/I47-1,I47/E47-1)</f>
        <v>7.3064842604871894E-2</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5" thickBot="1">
      <c r="A57" s="658" t="s">
        <v>1714</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4"/>
      <c r="Q58" s="2505"/>
      <c r="R58" s="2505"/>
      <c r="S58" s="2505"/>
      <c r="T58" s="2505"/>
      <c r="U58" s="2505"/>
      <c r="V58" s="2505"/>
      <c r="W58" s="2505"/>
      <c r="X58" s="2505"/>
      <c r="Y58" s="2505"/>
      <c r="Z58" s="2505"/>
      <c r="AA58" s="2505"/>
      <c r="AB58" s="2505"/>
      <c r="AC58" s="2505"/>
    </row>
    <row r="59" spans="1:29" s="102" customFormat="1">
      <c r="A59" s="443"/>
      <c r="B59" s="444"/>
      <c r="C59" s="1102">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4.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c r="A61" s="455" t="s">
        <v>1681</v>
      </c>
      <c r="B61" s="444"/>
      <c r="C61" s="456" t="s">
        <v>1718</v>
      </c>
      <c r="D61" s="3514" t="s">
        <v>3473</v>
      </c>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5" thickBot="1">
      <c r="A62" s="455"/>
      <c r="B62" s="444"/>
      <c r="C62" s="445">
        <v>100</v>
      </c>
      <c r="D62" s="446">
        <v>105</v>
      </c>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1719</v>
      </c>
      <c r="B63" s="460" t="s">
        <v>1685</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8.5" thickTop="1">
      <c r="A65" s="367"/>
      <c r="B65" s="469" t="s">
        <v>1688</v>
      </c>
      <c r="C65" s="513" t="s">
        <v>3474</v>
      </c>
      <c r="D65" s="513" t="s">
        <v>3475</v>
      </c>
      <c r="E65" s="513" t="s">
        <v>3476</v>
      </c>
      <c r="F65" s="513" t="s">
        <v>3477</v>
      </c>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5" thickBot="1">
      <c r="A66" s="367"/>
      <c r="B66" s="474"/>
      <c r="C66" s="467">
        <f>'比较法-商业租金'!C66</f>
        <v>88</v>
      </c>
      <c r="D66" s="467">
        <f>'比较法-商业租金'!D66</f>
        <v>92</v>
      </c>
      <c r="E66" s="467">
        <f>'比较法-商业租金'!E66</f>
        <v>96</v>
      </c>
      <c r="F66" s="467">
        <f>'比较法-商业租金'!F66</f>
        <v>100</v>
      </c>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v>0</v>
      </c>
      <c r="D68" s="480">
        <v>3</v>
      </c>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5" thickBot="1">
      <c r="A77" s="367"/>
      <c r="B77" s="474"/>
      <c r="C77" s="475">
        <v>100</v>
      </c>
      <c r="D77" s="475">
        <f>C77-$K15</f>
        <v>97</v>
      </c>
      <c r="E77" s="475">
        <f>D77-$K15</f>
        <v>94</v>
      </c>
      <c r="F77" s="475">
        <f>E77-$K15</f>
        <v>91</v>
      </c>
      <c r="G77" s="475">
        <f>F77-$K15</f>
        <v>88</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4.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5"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4.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5" thickBot="1">
      <c r="A81" s="367"/>
      <c r="B81" s="474"/>
      <c r="C81" s="475">
        <v>100</v>
      </c>
      <c r="D81" s="475">
        <f>C81-$K19</f>
        <v>98</v>
      </c>
      <c r="E81" s="475">
        <f>D81-$K19</f>
        <v>96</v>
      </c>
      <c r="F81" s="475">
        <f>E81-$K19</f>
        <v>94</v>
      </c>
      <c r="G81" s="475">
        <f>F81-$K19</f>
        <v>92</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4.5" thickTop="1">
      <c r="A82" s="367"/>
      <c r="B82" s="477" t="s">
        <v>1779</v>
      </c>
      <c r="C82" s="581" t="s">
        <v>1799</v>
      </c>
      <c r="D82" s="581" t="s">
        <v>1800</v>
      </c>
      <c r="E82" s="581" t="s">
        <v>1801</v>
      </c>
      <c r="F82" s="581" t="s">
        <v>1802</v>
      </c>
      <c r="G82" s="581" t="s">
        <v>1803</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4.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5" thickBot="1">
      <c r="A85" s="367"/>
      <c r="B85" s="474"/>
      <c r="C85" s="475">
        <v>100</v>
      </c>
      <c r="D85" s="475">
        <f>C85-$K23</f>
        <v>98</v>
      </c>
      <c r="E85" s="475">
        <f>D85-$K23</f>
        <v>96</v>
      </c>
      <c r="F85" s="475">
        <f>E85-$K23</f>
        <v>94</v>
      </c>
      <c r="G85" s="475">
        <f>F85-$K23</f>
        <v>92</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4.5" thickTop="1">
      <c r="A86" s="370"/>
      <c r="B86" s="469" t="s">
        <v>1804</v>
      </c>
      <c r="C86" s="3515" t="s">
        <v>3478</v>
      </c>
      <c r="D86" s="3515" t="s">
        <v>3480</v>
      </c>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7"/>
      <c r="O87" s="2517"/>
      <c r="P87" s="2508"/>
      <c r="Q87" s="2503"/>
      <c r="R87" s="2435"/>
      <c r="S87" s="2435"/>
      <c r="T87" s="2435"/>
      <c r="U87" s="2435"/>
      <c r="V87" s="2435"/>
      <c r="W87" s="2435"/>
      <c r="X87" s="2435"/>
      <c r="Y87" s="2435"/>
      <c r="Z87" s="2435"/>
      <c r="AA87" s="2435"/>
      <c r="AB87" s="2435"/>
      <c r="AC87" s="2435"/>
    </row>
    <row r="88" spans="1:29" s="102" customFormat="1" ht="14.5" thickTop="1">
      <c r="A88" s="370"/>
      <c r="B88" s="469" t="str">
        <f>B26</f>
        <v>平面位置/可视性</v>
      </c>
      <c r="C88" s="3515" t="s">
        <v>3482</v>
      </c>
      <c r="D88" s="485"/>
      <c r="E88" s="485"/>
      <c r="F88" s="1780"/>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5" thickBot="1">
      <c r="A89" s="370"/>
      <c r="B89" s="474"/>
      <c r="C89" s="491">
        <v>100</v>
      </c>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4.5" thickTop="1">
      <c r="A90" s="484"/>
      <c r="B90" s="469" t="str">
        <f>B27</f>
        <v>人流量</v>
      </c>
      <c r="C90" s="3515" t="s">
        <v>3483</v>
      </c>
      <c r="D90" s="3515" t="s">
        <v>3485</v>
      </c>
      <c r="E90" s="3515" t="s">
        <v>3487</v>
      </c>
      <c r="F90" s="3515" t="s">
        <v>3489</v>
      </c>
      <c r="G90" s="3515" t="s">
        <v>3490</v>
      </c>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8"/>
      <c r="O91" s="2518"/>
      <c r="P91" s="2509"/>
      <c r="Q91" s="2510"/>
      <c r="R91" s="2488"/>
      <c r="S91" s="2488"/>
      <c r="T91" s="2488"/>
      <c r="U91" s="2488"/>
      <c r="V91" s="2488"/>
      <c r="W91" s="2488"/>
      <c r="X91" s="2488"/>
      <c r="Y91" s="2488"/>
      <c r="Z91" s="2488"/>
      <c r="AA91" s="2488"/>
      <c r="AB91" s="2488"/>
      <c r="AC91" s="2488"/>
    </row>
    <row r="92" spans="1:29" ht="15" thickTop="1">
      <c r="A92" s="367"/>
      <c r="B92" s="469" t="str">
        <f>B28</f>
        <v>楼层</v>
      </c>
      <c r="C92" s="485" t="s">
        <v>3492</v>
      </c>
      <c r="D92" s="485" t="s">
        <v>3493</v>
      </c>
      <c r="E92" s="485" t="s">
        <v>3491</v>
      </c>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5" thickBot="1">
      <c r="A93" s="367"/>
      <c r="B93" s="474"/>
      <c r="C93" s="467">
        <f>'比较法-商业租金'!C93</f>
        <v>100</v>
      </c>
      <c r="D93" s="467">
        <f>'比较法-商业租金'!D93</f>
        <v>80</v>
      </c>
      <c r="E93" s="467">
        <f>'比较法-商业租金'!E93</f>
        <v>90</v>
      </c>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1694</v>
      </c>
      <c r="B100" s="460" t="s">
        <v>1805</v>
      </c>
      <c r="C100" s="3516" t="s">
        <v>3495</v>
      </c>
      <c r="D100" s="3516"/>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7"/>
      <c r="O101" s="2517"/>
      <c r="P101" s="2508"/>
      <c r="Q101" s="2503"/>
      <c r="R101" s="2482"/>
      <c r="S101" s="2482"/>
      <c r="T101" s="2482"/>
      <c r="U101" s="2482"/>
      <c r="V101" s="2482"/>
      <c r="W101" s="2482"/>
      <c r="X101" s="2482"/>
      <c r="Y101" s="2482"/>
      <c r="Z101" s="2482"/>
      <c r="AA101" s="2482"/>
      <c r="AB101" s="2482"/>
      <c r="AC101" s="2482"/>
    </row>
    <row r="102" spans="1:29" ht="14.5" thickTop="1">
      <c r="A102" s="367"/>
      <c r="B102" s="469" t="s">
        <v>1737</v>
      </c>
      <c r="C102" s="509" t="str">
        <f>C103&amp;"(含)"&amp;"-"&amp;D103</f>
        <v>0(含)-80</v>
      </c>
      <c r="D102" s="509" t="str">
        <f t="shared" ref="D102:L102" si="23">D103&amp;"(含)"&amp;"-"&amp;E103</f>
        <v>80(含)-150</v>
      </c>
      <c r="E102" s="509" t="str">
        <f t="shared" si="23"/>
        <v>150(含)-300</v>
      </c>
      <c r="F102" s="509" t="str">
        <f t="shared" si="23"/>
        <v>300(含)-500</v>
      </c>
      <c r="G102" s="509" t="str">
        <f t="shared" si="23"/>
        <v>500(含)-700</v>
      </c>
      <c r="H102" s="509" t="str">
        <f t="shared" si="23"/>
        <v>700(含)-1000</v>
      </c>
      <c r="I102" s="509" t="str">
        <f t="shared" si="23"/>
        <v>1000(含)-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f>'比较法-商业租金'!C103</f>
        <v>0</v>
      </c>
      <c r="D103" s="6">
        <f>'比较法-商业租金'!D103</f>
        <v>80</v>
      </c>
      <c r="E103" s="6">
        <f>'比较法-商业租金'!E103</f>
        <v>150</v>
      </c>
      <c r="F103" s="6">
        <f>'比较法-商业租金'!F103</f>
        <v>300</v>
      </c>
      <c r="G103" s="6">
        <f>'比较法-商业租金'!G103</f>
        <v>500</v>
      </c>
      <c r="H103" s="6">
        <f>'比较法-商业租金'!H103</f>
        <v>700</v>
      </c>
      <c r="I103" s="6">
        <f>'比较法-商业租金'!I103</f>
        <v>1000</v>
      </c>
      <c r="J103" s="6"/>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5" thickBot="1">
      <c r="A104" s="484"/>
      <c r="B104" s="474"/>
      <c r="C104" s="6">
        <f>'比较法-商业租金'!C104</f>
        <v>100</v>
      </c>
      <c r="D104" s="6">
        <f>'比较法-商业租金'!D104</f>
        <v>99</v>
      </c>
      <c r="E104" s="6">
        <f>'比较法-商业租金'!E104</f>
        <v>98</v>
      </c>
      <c r="F104" s="6">
        <f>'比较法-商业租金'!F104</f>
        <v>97</v>
      </c>
      <c r="G104" s="6">
        <f>'比较法-商业租金'!G104</f>
        <v>96</v>
      </c>
      <c r="H104" s="6">
        <f>'比较法-商业租金'!H104</f>
        <v>95</v>
      </c>
      <c r="I104" s="6">
        <f>'比较法-商业租金'!I104</f>
        <v>94</v>
      </c>
      <c r="J104" s="6"/>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4.5" thickTop="1">
      <c r="A105" s="409"/>
      <c r="B105" s="469" t="s">
        <v>1738</v>
      </c>
      <c r="C105" s="3515" t="s">
        <v>3496</v>
      </c>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17"/>
      <c r="O106" s="2517"/>
      <c r="P106" s="2508"/>
      <c r="Q106" s="2503"/>
      <c r="R106" s="2482"/>
      <c r="S106" s="2482"/>
      <c r="T106" s="2482"/>
      <c r="U106" s="2482"/>
      <c r="V106" s="2482"/>
      <c r="W106" s="2482"/>
      <c r="X106" s="2482"/>
      <c r="Y106" s="2482"/>
      <c r="Z106" s="2482"/>
      <c r="AA106" s="2482"/>
      <c r="AB106" s="2482"/>
      <c r="AC106" s="2482"/>
    </row>
    <row r="107" spans="1:29" ht="14.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7"/>
      <c r="O111" s="2517"/>
      <c r="P111" s="2508"/>
      <c r="Q111" s="2503"/>
      <c r="R111" s="2482"/>
      <c r="S111" s="2482"/>
      <c r="T111" s="2482"/>
      <c r="U111" s="2482"/>
      <c r="V111" s="2482"/>
      <c r="W111" s="2482"/>
      <c r="X111" s="2482"/>
      <c r="Y111" s="2482"/>
      <c r="Z111" s="2482"/>
      <c r="AA111" s="2482"/>
      <c r="AB111" s="2482"/>
      <c r="AC111" s="2482"/>
    </row>
    <row r="112" spans="1:29" s="408" customFormat="1" ht="14.5" thickTop="1">
      <c r="A112" s="406"/>
      <c r="B112" s="469" t="s">
        <v>1742</v>
      </c>
      <c r="C112" s="3515" t="s">
        <v>3498</v>
      </c>
      <c r="D112" s="3515" t="s">
        <v>3499</v>
      </c>
      <c r="E112" s="3515" t="s">
        <v>3500</v>
      </c>
      <c r="F112" s="3515" t="s">
        <v>3501</v>
      </c>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8"/>
      <c r="O113" s="2518"/>
      <c r="P113" s="2509"/>
      <c r="Q113" s="2510"/>
      <c r="R113" s="2488"/>
      <c r="S113" s="2488"/>
      <c r="T113" s="2488"/>
      <c r="U113" s="2488"/>
      <c r="V113" s="2488"/>
      <c r="W113" s="2488"/>
      <c r="X113" s="2488"/>
      <c r="Y113" s="2488"/>
      <c r="Z113" s="2488"/>
      <c r="AA113" s="2488"/>
      <c r="AB113" s="2488"/>
      <c r="AC113" s="2488"/>
    </row>
    <row r="114" spans="1:29" ht="14.5" thickTop="1">
      <c r="A114" s="409"/>
      <c r="B114" s="469" t="s">
        <v>1806</v>
      </c>
      <c r="C114" s="3515" t="s">
        <v>3503</v>
      </c>
      <c r="D114" s="3515" t="s">
        <v>3505</v>
      </c>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17"/>
      <c r="O115" s="2517"/>
      <c r="P115" s="2508"/>
      <c r="Q115" s="2503"/>
      <c r="R115" s="2482"/>
      <c r="S115" s="2482"/>
      <c r="T115" s="2482"/>
      <c r="U115" s="2482"/>
      <c r="V115" s="2482"/>
      <c r="W115" s="2482"/>
      <c r="X115" s="2482"/>
      <c r="Y115" s="2482"/>
      <c r="Z115" s="2482"/>
      <c r="AA115" s="2482"/>
      <c r="AB115" s="2482"/>
      <c r="AC115" s="2482"/>
    </row>
    <row r="116" spans="1:29" ht="14.5" thickTop="1">
      <c r="A116" s="409"/>
      <c r="B116" s="469" t="s">
        <v>1807</v>
      </c>
      <c r="C116" s="3515" t="s">
        <v>3507</v>
      </c>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4.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4.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4.5" thickTop="1">
      <c r="A122" s="409"/>
      <c r="B122" s="469" t="s">
        <v>1744</v>
      </c>
      <c r="C122" s="3515" t="s">
        <v>3509</v>
      </c>
      <c r="D122" s="3515" t="s">
        <v>3511</v>
      </c>
      <c r="E122" s="3515" t="s">
        <v>3513</v>
      </c>
      <c r="F122" s="3517" t="s">
        <v>3514</v>
      </c>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7"/>
      <c r="O123" s="2517"/>
      <c r="P123" s="2508"/>
      <c r="Q123" s="2503"/>
      <c r="R123" s="2482"/>
      <c r="S123" s="2482"/>
      <c r="T123" s="2482"/>
      <c r="U123" s="2482"/>
      <c r="V123" s="2482"/>
      <c r="W123" s="2482"/>
      <c r="X123" s="2482"/>
      <c r="Y123" s="2482"/>
      <c r="Z123" s="2482"/>
      <c r="AA123" s="2482"/>
      <c r="AB123" s="2482"/>
      <c r="AC123" s="2482"/>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E1" xr:uid="{0EACF3B3-1E95-4A07-936A-2DE46B55C03E}">
      <formula1>"项目模式,单套模式"</formula1>
    </dataValidation>
    <dataValidation type="list" allowBlank="1" showInputMessage="1" showErrorMessage="1" sqref="D48" xr:uid="{CC30D225-EFFC-43F4-90BB-F46106237FC1}">
      <formula1>"简单平均,加权平均"</formula1>
    </dataValidation>
    <dataValidation type="list" allowBlank="1" showInputMessage="1" showErrorMessage="1" sqref="F2" xr:uid="{00ECDBB2-16C7-4A6C-AC2A-F2B511F2268F}">
      <formula1>估价方法</formula1>
    </dataValidation>
    <dataValidation type="list" allowBlank="1" showInputMessage="1" showErrorMessage="1" sqref="C2" xr:uid="{7401961F-038C-4C62-820E-60DB2D055FF4}">
      <formula1>"需扣减承租人权益,——"</formula1>
    </dataValidation>
    <dataValidation type="list" allowBlank="1" showInputMessage="1" showErrorMessage="1" sqref="F1" xr:uid="{DD73F1C6-7A88-43DE-9ACD-6E14CAB04D66}">
      <formula1>"售价,租金"</formula1>
    </dataValidation>
    <dataValidation type="list" allowBlank="1" showInputMessage="1" showErrorMessage="1" sqref="C22 E22 G22 I22" xr:uid="{3397A443-443C-4BFC-9D05-D50F5FDE010B}">
      <formula1>基础设施水平</formula1>
    </dataValidation>
    <dataValidation type="list" allowBlank="1" showInputMessage="1" showErrorMessage="1" sqref="C16 E16 G16 I16" xr:uid="{637FB93E-2CB5-4105-A6F7-5D1E3FF2C1BC}">
      <formula1>商业繁华度</formula1>
    </dataValidation>
    <dataValidation type="list" allowBlank="1" showInputMessage="1" showErrorMessage="1" sqref="C8 E8 G8 I8" xr:uid="{4A283504-8EB9-4A0A-833E-D836860D2FB6}">
      <formula1>商业交易情况</formula1>
    </dataValidation>
    <dataValidation type="list" allowBlank="1" showInputMessage="1" showErrorMessage="1" sqref="C39 E39 G39 I39" xr:uid="{0E5B9652-DD63-47D2-A8AF-41EDFBF694BF}">
      <formula1>商业层高</formula1>
    </dataValidation>
    <dataValidation type="list" allowBlank="1" showInputMessage="1" showErrorMessage="1" sqref="C38 E38 G38 I38" xr:uid="{7938E8F8-B9A3-431F-BCB1-B961735A65D0}">
      <formula1>商业业态</formula1>
    </dataValidation>
    <dataValidation type="list" allowBlank="1" showInputMessage="1" showErrorMessage="1" sqref="E9 G9 I9" xr:uid="{5348B906-8F47-44E2-995C-C066E01B1D41}">
      <formula1>商业用途</formula1>
    </dataValidation>
    <dataValidation type="list" allowBlank="1" showInputMessage="1" showErrorMessage="1" sqref="C42 E42 G42 I42" xr:uid="{6FC8520E-A659-4703-963F-C2A6F23FB2BC}">
      <formula1>商业内部装修</formula1>
    </dataValidation>
    <dataValidation type="list" allowBlank="1" showInputMessage="1" showErrorMessage="1" sqref="C41 E41 G41 I41" xr:uid="{74E09B90-367B-4D65-823E-7DC6C656F1A2}">
      <formula1>商业进深比</formula1>
    </dataValidation>
    <dataValidation type="list" allowBlank="1" showInputMessage="1" showErrorMessage="1" sqref="C37 E37 G37 I37" xr:uid="{A1FEE989-53A4-436A-93FB-B8385989522A}">
      <formula1>商业基础设施水平</formula1>
    </dataValidation>
    <dataValidation type="list" allowBlank="1" showInputMessage="1" showErrorMessage="1" sqref="C35 E35 G35 I35" xr:uid="{8C21B6CA-6029-45FC-A0F0-D7748EE49B13}">
      <formula1>商业公共部分装修</formula1>
    </dataValidation>
    <dataValidation type="list" allowBlank="1" showInputMessage="1" showErrorMessage="1" sqref="C34 E34 G34 I34" xr:uid="{6313BDF5-C169-404C-B084-C7929B4609A9}">
      <formula1>商业建筑结构</formula1>
    </dataValidation>
    <dataValidation type="list" allowBlank="1" showInputMessage="1" showErrorMessage="1" sqref="C32 E32 G32 I32" xr:uid="{104A3D63-C79E-4645-9B12-1407B3351083}">
      <formula1>商业类型</formula1>
    </dataValidation>
    <dataValidation type="list" allowBlank="1" showInputMessage="1" showErrorMessage="1" sqref="C28 E28 G28 I28" xr:uid="{98D31A11-717D-446D-8405-13098CDE1702}">
      <formula1>商业楼层</formula1>
    </dataValidation>
    <dataValidation type="list" allowBlank="1" showInputMessage="1" showErrorMessage="1" sqref="C27 E27 G27 I27" xr:uid="{530D0AAB-D4FC-4CAC-B15D-99011FCD2253}">
      <formula1>商业人流量</formula1>
    </dataValidation>
    <dataValidation type="list" allowBlank="1" showInputMessage="1" showErrorMessage="1" sqref="C25 E25 G25 I25" xr:uid="{31719D55-C582-425E-BF74-2E3628E2F488}">
      <formula1>商业临街状况</formula1>
    </dataValidation>
    <dataValidation type="list" allowBlank="1" showInputMessage="1" showErrorMessage="1" sqref="E24 G24 I24 C24" xr:uid="{CEC3AFE5-C2B7-420A-94BE-10F705524B5B}">
      <formula1>环境</formula1>
    </dataValidation>
    <dataValidation type="list" allowBlank="1" showInputMessage="1" showErrorMessage="1" sqref="E18 G18 I18 C18" xr:uid="{C62D0161-2E74-4A66-A3C2-1ED3789F6A40}">
      <formula1>交通便捷度</formula1>
    </dataValidation>
    <dataValidation type="list" allowBlank="1" showInputMessage="1" showErrorMessage="1" sqref="E20 I20 G20 C20" xr:uid="{465DFD68-6249-4FDB-AC9D-29E7FAB5D647}">
      <formula1>公共配套设施</formula1>
    </dataValidation>
    <dataValidation type="list" allowBlank="1" showInputMessage="1" showErrorMessage="1" sqref="C43 E43 G43 I43" xr:uid="{57776FBB-65FE-47EF-8179-C60F6D370CAC}">
      <formula1>内部装修维护情况</formula1>
    </dataValidation>
    <dataValidation type="list" allowBlank="1" showInputMessage="1" showErrorMessage="1" sqref="D1" xr:uid="{66C70311-CB87-4530-980C-8DDE5678565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2"/>
      <c r="F1" s="2562"/>
      <c r="G1" s="2443"/>
      <c r="H1" s="2562"/>
      <c r="I1" s="2562"/>
      <c r="J1" s="2562"/>
      <c r="K1" s="2563">
        <f>MATCH(C1,'数据-取费表'!A6:A16,0)+5</f>
        <v>7</v>
      </c>
    </row>
    <row r="2" spans="1:33" ht="18" customHeight="1">
      <c r="A2" s="193" t="s">
        <v>1462</v>
      </c>
      <c r="B2" s="196">
        <f ca="1">C32</f>
        <v>-19</v>
      </c>
      <c r="C2" s="268" t="s">
        <v>1595</v>
      </c>
      <c r="D2" s="268"/>
      <c r="E2" s="2562"/>
      <c r="F2" s="2562"/>
      <c r="G2" s="2562"/>
      <c r="H2" s="2562"/>
      <c r="I2" s="2562"/>
      <c r="J2" s="2562"/>
      <c r="K2" s="2562"/>
    </row>
    <row r="3" spans="1:33" ht="18" customHeight="1" thickBot="1">
      <c r="A3" s="195" t="s">
        <v>1464</v>
      </c>
      <c r="B3" s="196">
        <f ca="1">ROUND(B2*10000/IF(C1="",'数据-汇总表'!E3,INDIRECT("'数据-取费表'!K"&amp;$K$1)),0)</f>
        <v>-214</v>
      </c>
      <c r="C3" s="268" t="s">
        <v>1596</v>
      </c>
      <c r="D3" s="268"/>
      <c r="E3" s="2562"/>
      <c r="F3" s="2562"/>
      <c r="G3" s="2562"/>
      <c r="H3" s="2562"/>
      <c r="I3" s="2562"/>
      <c r="J3" s="2562"/>
      <c r="K3" s="2562"/>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887.22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887.22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18</v>
      </c>
      <c r="D20" s="796">
        <f ca="1">IF(C1="",'数据-汇总表'!E6,IF(INDIRECT("'数据-取费表'!c"&amp;$K$1)="住宅",INDIRECT("'数据-取费表'!s"&amp;$K$1),INDIRECT("'数据-取费表'!k"&amp;$K$1)+INDIRECT("'数据-取费表'!s"&amp;$K$1)))</f>
        <v>887.22</v>
      </c>
      <c r="E20" s="21">
        <f>'数据-取费表'!B28</f>
        <v>200</v>
      </c>
      <c r="F20" s="756"/>
      <c r="G20" s="12"/>
      <c r="H20" s="761"/>
      <c r="I20" s="761"/>
      <c r="J20" s="761"/>
      <c r="K20" s="762"/>
    </row>
    <row r="21" spans="1:33" s="755" customFormat="1" ht="13.5" customHeight="1">
      <c r="A21" s="744" t="s">
        <v>357</v>
      </c>
      <c r="B21" s="765" t="s">
        <v>1628</v>
      </c>
      <c r="C21" s="766">
        <f ca="1">C16+C17+C18</f>
        <v>18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3"/>
      <c r="H2" s="2463"/>
      <c r="I2" s="2463"/>
      <c r="J2" s="2463"/>
      <c r="K2" s="2464"/>
      <c r="L2" s="2463"/>
      <c r="M2" s="2463"/>
    </row>
    <row r="3" spans="1:37" ht="18" customHeight="1" thickBot="1">
      <c r="A3" s="1297" t="s">
        <v>806</v>
      </c>
      <c r="B3" s="1298">
        <f ca="1">IF(ISERROR(B2*10000/F43),0,ROUND(B2*10000/F43,0))</f>
        <v>0</v>
      </c>
      <c r="C3" s="1289" t="s">
        <v>807</v>
      </c>
      <c r="D3" s="1289"/>
      <c r="E3" s="1295"/>
      <c r="F3" s="1296"/>
      <c r="G3" s="2473"/>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4" t="s">
        <v>2306</v>
      </c>
      <c r="I31" s="1305"/>
      <c r="J31" s="1306"/>
      <c r="K31" s="121"/>
      <c r="L31" s="2466"/>
      <c r="M31" s="2467"/>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5"/>
      <c r="I32" s="1305"/>
      <c r="J32" s="1306"/>
      <c r="K32" s="121"/>
      <c r="L32" s="2466"/>
      <c r="M32" s="2467"/>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f ca="1">IF(项目基本情况!B11="自然人","——",ROUND(F34*F35/10000,2))</f>
        <v>0</v>
      </c>
      <c r="D34" s="316" t="s">
        <v>731</v>
      </c>
      <c r="E34" s="294" t="s">
        <v>732</v>
      </c>
      <c r="F34" s="317">
        <f>'数据-取费表'!B52</f>
        <v>3</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ROUND(C29*F36,2)</f>
        <v>0</v>
      </c>
      <c r="D36" s="1256" t="s">
        <v>771</v>
      </c>
      <c r="E36" s="294" t="s">
        <v>712</v>
      </c>
      <c r="F36" s="320">
        <f ca="1">INDIRECT("'数据-取费表'!Ak"&amp;$G$1)</f>
        <v>0</v>
      </c>
      <c r="G36" s="1292"/>
      <c r="H36" s="2468"/>
      <c r="I36" s="1305"/>
      <c r="J36" s="1306"/>
      <c r="K36" s="2329"/>
      <c r="L36" s="2468"/>
      <c r="M36" s="2468"/>
    </row>
    <row r="37" spans="1:18" ht="18" customHeight="1">
      <c r="A37" s="928" t="s">
        <v>437</v>
      </c>
      <c r="B37" s="294" t="s">
        <v>742</v>
      </c>
      <c r="C37" s="21">
        <f ca="1">ROUND(C13*F37,2)</f>
        <v>0</v>
      </c>
      <c r="D37" s="1256" t="s">
        <v>743</v>
      </c>
      <c r="E37" s="294" t="s">
        <v>744</v>
      </c>
      <c r="F37" s="321">
        <f ca="1">INDIRECT("'数据-取费表'!Al"&amp;$G$1)</f>
        <v>0</v>
      </c>
      <c r="G37" s="1292"/>
      <c r="H37" s="2468"/>
      <c r="I37" s="1305"/>
      <c r="J37" s="1306"/>
      <c r="K37" s="2329"/>
      <c r="L37" s="2468"/>
      <c r="M37" s="2468"/>
    </row>
    <row r="38" spans="1:18" ht="18" customHeight="1" thickBot="1">
      <c r="A38" s="1026" t="s">
        <v>684</v>
      </c>
      <c r="B38" s="1027" t="s">
        <v>728</v>
      </c>
      <c r="C38" s="1028">
        <f ca="1">ROUND(C5*F38,2)</f>
        <v>0</v>
      </c>
      <c r="D38" s="1029" t="s">
        <v>748</v>
      </c>
      <c r="E38" s="1027" t="s">
        <v>744</v>
      </c>
      <c r="F38" s="1023">
        <f ca="1">INDIRECT("'数据-取费表'!Am"&amp;$G$1)</f>
        <v>0</v>
      </c>
      <c r="G38" s="1292"/>
      <c r="H38" s="2468"/>
      <c r="I38" s="1305"/>
      <c r="J38" s="1306"/>
      <c r="K38" s="2466"/>
      <c r="L38" s="2468"/>
      <c r="M38" s="2468"/>
    </row>
    <row r="39" spans="1:18" ht="24.65" customHeight="1" thickTop="1">
      <c r="A39" s="1016" t="s">
        <v>394</v>
      </c>
      <c r="B39" s="1031" t="s">
        <v>772</v>
      </c>
      <c r="C39" s="302">
        <f ca="1">C5-C30</f>
        <v>0</v>
      </c>
      <c r="D39" s="1032" t="s">
        <v>773</v>
      </c>
      <c r="E39" s="1033"/>
      <c r="F39" s="1034"/>
      <c r="G39" s="1292"/>
      <c r="H39" s="2468"/>
      <c r="I39" s="1305"/>
      <c r="J39" s="1306"/>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2"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E12" sqref="E12"/>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21</v>
      </c>
      <c r="G1" s="1286">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8">
        <f ca="1">ROUND(D2/10000,4)</f>
        <v>4099.6175000000003</v>
      </c>
      <c r="C2" s="1289" t="s">
        <v>879</v>
      </c>
      <c r="D2" s="1375">
        <f ca="1">C40+J29+L46</f>
        <v>40996175</v>
      </c>
      <c r="E2" s="1295" t="s">
        <v>880</v>
      </c>
      <c r="F2" s="1296"/>
      <c r="G2" s="2473"/>
      <c r="H2" s="2463"/>
      <c r="I2" s="2463"/>
      <c r="J2" s="2463"/>
      <c r="K2" s="2464"/>
      <c r="L2" s="2463"/>
      <c r="M2" s="2463"/>
    </row>
    <row r="3" spans="1:37" ht="18" customHeight="1" thickBot="1">
      <c r="A3" s="1297" t="s">
        <v>881</v>
      </c>
      <c r="B3" s="1298">
        <f ca="1">IF(ISERROR(D2/F43),0,ROUND(D2/F43,0))</f>
        <v>46207</v>
      </c>
      <c r="C3" s="1289" t="s">
        <v>882</v>
      </c>
      <c r="D3" s="1289"/>
      <c r="E3" s="1295"/>
      <c r="F3" s="1296"/>
      <c r="G3" s="2473"/>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3414248</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3409986</v>
      </c>
      <c r="D6" s="147" t="s">
        <v>2106</v>
      </c>
      <c r="E6" s="294" t="s">
        <v>696</v>
      </c>
      <c r="F6" s="295">
        <f ca="1">INDIRECT("'数据-取费表'!u"&amp;$G$1)</f>
        <v>11.7</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887.22</v>
      </c>
      <c r="G7" s="1292"/>
      <c r="H7" s="296"/>
      <c r="I7" s="3352"/>
      <c r="J7" s="298"/>
      <c r="K7" s="299"/>
      <c r="L7" s="294" t="s">
        <v>697</v>
      </c>
      <c r="M7" s="295">
        <f ca="1">F7</f>
        <v>887.22</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4262</v>
      </c>
      <c r="D10" s="150" t="s">
        <v>2116</v>
      </c>
      <c r="E10" s="305" t="s">
        <v>701</v>
      </c>
      <c r="F10" s="1053" t="s">
        <v>3463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2196758</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2218050</v>
      </c>
      <c r="D14" s="1257" t="s">
        <v>708</v>
      </c>
      <c r="E14" s="1255"/>
      <c r="F14" s="311"/>
      <c r="G14" s="1292"/>
      <c r="H14" s="928" t="s">
        <v>398</v>
      </c>
      <c r="I14" s="294" t="s">
        <v>709</v>
      </c>
      <c r="J14" s="21">
        <f ca="1">C29</f>
        <v>3138226</v>
      </c>
      <c r="K14" s="12"/>
      <c r="L14" s="759"/>
      <c r="M14" s="760"/>
    </row>
    <row r="15" spans="1:37" s="1304" customFormat="1" ht="18" customHeight="1" thickBot="1">
      <c r="A15" s="928" t="s">
        <v>399</v>
      </c>
      <c r="B15" s="294" t="s">
        <v>710</v>
      </c>
      <c r="C15" s="21">
        <f ca="1">ROUND(C14*F15,0)</f>
        <v>110903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15691</v>
      </c>
      <c r="K16" s="1024" t="s">
        <v>715</v>
      </c>
      <c r="L16" s="1025"/>
      <c r="M16" s="1009"/>
    </row>
    <row r="17" spans="1:37" s="1304" customFormat="1" ht="18" customHeight="1">
      <c r="A17" s="928" t="s">
        <v>681</v>
      </c>
      <c r="B17" s="294" t="s">
        <v>716</v>
      </c>
      <c r="C17" s="21">
        <f ca="1">ROUND(F17*(F43+INDIRECT("'数据-取费表'!S"&amp;$G$1)),0)</f>
        <v>177444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44361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2550758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51015</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15691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39026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-15691</v>
      </c>
      <c r="K25" s="1032" t="s">
        <v>753</v>
      </c>
      <c r="L25" s="1033"/>
      <c r="M25" s="1034"/>
    </row>
    <row r="26" spans="1:37" ht="18" customHeight="1">
      <c r="A26" s="928" t="s">
        <v>397</v>
      </c>
      <c r="B26" s="294" t="s">
        <v>754</v>
      </c>
      <c r="C26" s="21">
        <f ca="1">ROUND((C19+C20)*F26,0)</f>
        <v>260177</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3138226</v>
      </c>
      <c r="D29" s="1029"/>
      <c r="E29" s="1027"/>
      <c r="F29" s="1030"/>
      <c r="G29" s="1303"/>
      <c r="H29" s="325" t="s">
        <v>396</v>
      </c>
      <c r="I29" s="326" t="s">
        <v>768</v>
      </c>
      <c r="J29" s="327">
        <f ca="1">ROUND(J26/(1+F40)^F41,0)</f>
        <v>0</v>
      </c>
      <c r="K29" s="328" t="s">
        <v>769</v>
      </c>
      <c r="L29" s="329"/>
      <c r="M29" s="330">
        <f ca="1">INDIRECT("'数据-取费表'!k"&amp;$G$1)</f>
        <v>887.22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606538</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ROUND(IF(AND(项目基本情况!B11="自然人",项目基本情况!B10="北京市"),C6*F31/(1+'数据-取费表'!C42),C32+C33+C34),0)</f>
        <v>571579</v>
      </c>
      <c r="D31" s="1257" t="s">
        <v>720</v>
      </c>
      <c r="E31" s="1256" t="s">
        <v>770</v>
      </c>
      <c r="F31" s="2139" t="str">
        <f>IF(项目基本情况!B11="企业","——",IF(M47="住宅",IF(F6*F7*F8/12/(1+'数据-取费表'!F30)&gt;100000,4%,2.5%),IF(F6*F7*F8/12/(1+'数据-取费表'!F30)&gt;100000,12%,7%)))</f>
        <v>——</v>
      </c>
      <c r="G31" s="1292"/>
      <c r="H31" s="2564" t="s">
        <v>2306</v>
      </c>
      <c r="I31" s="1305"/>
      <c r="J31" s="1306"/>
      <c r="K31" s="121"/>
      <c r="L31" s="2466"/>
      <c r="M31" s="2467"/>
    </row>
    <row r="32" spans="1:37" ht="18" customHeight="1">
      <c r="A32" s="928" t="s">
        <v>397</v>
      </c>
      <c r="B32" s="294" t="s">
        <v>723</v>
      </c>
      <c r="C32" s="21">
        <f ca="1">IF(项目基本情况!B11="自然人","——",ROUND(C6*F32/(1+'数据-取费表'!C42),0))</f>
        <v>181866</v>
      </c>
      <c r="D32" s="1256" t="s">
        <v>724</v>
      </c>
      <c r="E32" s="294" t="s">
        <v>712</v>
      </c>
      <c r="F32" s="322">
        <f>'数据-取费表'!B41</f>
        <v>5.6000000000000001E-2</v>
      </c>
      <c r="G32" s="1292"/>
      <c r="H32" s="2465"/>
      <c r="I32" s="1305"/>
      <c r="J32" s="1306"/>
      <c r="K32" s="121"/>
      <c r="L32" s="2466"/>
      <c r="M32" s="2467"/>
    </row>
    <row r="33" spans="1:18" ht="18" customHeight="1">
      <c r="A33" s="928" t="s">
        <v>399</v>
      </c>
      <c r="B33" s="294" t="s">
        <v>727</v>
      </c>
      <c r="C33" s="21">
        <f ca="1">IF(项目基本情况!B11="自然人","——",IF(D33="按租金收入计税",ROUND(C6*F33/(1+'数据-取费表'!C42),0),IF(D33="按房产原值计税",ROUND(C29*F33*0.7,0),INDIRECT("'数据-取费表'!Aj"&amp;$G$1))))</f>
        <v>389713</v>
      </c>
      <c r="D33" s="1278" t="s">
        <v>3334</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f ca="1">IF(项目基本情况!B11="自然人","——",ROUND(F34*F35,0))</f>
        <v>0</v>
      </c>
      <c r="D34" s="316" t="s">
        <v>731</v>
      </c>
      <c r="E34" s="294" t="s">
        <v>732</v>
      </c>
      <c r="F34" s="317">
        <f>'数据-取费表'!B52</f>
        <v>3</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ROUND(C29*F36,0)</f>
        <v>15691</v>
      </c>
      <c r="D36" s="1256" t="s">
        <v>771</v>
      </c>
      <c r="E36" s="294" t="s">
        <v>712</v>
      </c>
      <c r="F36" s="320">
        <f ca="1">INDIRECT("'数据-取费表'!Ak"&amp;$G$1)</f>
        <v>5.0000000000000001E-3</v>
      </c>
      <c r="G36" s="1292"/>
      <c r="H36" s="2468"/>
      <c r="I36" s="1305"/>
      <c r="J36" s="1306"/>
      <c r="K36" s="2329"/>
      <c r="L36" s="2468"/>
      <c r="M36" s="2468"/>
    </row>
    <row r="37" spans="1:18" ht="18" customHeight="1">
      <c r="A37" s="928" t="s">
        <v>437</v>
      </c>
      <c r="B37" s="294" t="s">
        <v>742</v>
      </c>
      <c r="C37" s="21">
        <f ca="1">ROUND(C13*F37,0)</f>
        <v>2197</v>
      </c>
      <c r="D37" s="1256" t="s">
        <v>743</v>
      </c>
      <c r="E37" s="294" t="s">
        <v>744</v>
      </c>
      <c r="F37" s="321">
        <f ca="1">INDIRECT("'数据-取费表'!Al"&amp;$G$1)</f>
        <v>1E-3</v>
      </c>
      <c r="G37" s="1292"/>
      <c r="H37" s="2468"/>
      <c r="I37" s="1305"/>
      <c r="J37" s="1306"/>
      <c r="K37" s="2329"/>
      <c r="L37" s="2468"/>
      <c r="M37" s="2468"/>
    </row>
    <row r="38" spans="1:18" ht="18" customHeight="1" thickBot="1">
      <c r="A38" s="1026" t="s">
        <v>684</v>
      </c>
      <c r="B38" s="1027" t="s">
        <v>728</v>
      </c>
      <c r="C38" s="1028">
        <f ca="1">ROUND(C5*F38,0)</f>
        <v>17071</v>
      </c>
      <c r="D38" s="1029" t="s">
        <v>748</v>
      </c>
      <c r="E38" s="1027" t="s">
        <v>744</v>
      </c>
      <c r="F38" s="1023">
        <f ca="1">INDIRECT("'数据-取费表'!Am"&amp;$G$1)</f>
        <v>5.0000000000000001E-3</v>
      </c>
      <c r="G38" s="1292"/>
      <c r="H38" s="2468"/>
      <c r="I38" s="1305"/>
      <c r="J38" s="1306"/>
      <c r="K38" s="2466"/>
      <c r="L38" s="2468"/>
      <c r="M38" s="2468"/>
    </row>
    <row r="39" spans="1:18" ht="24.65" customHeight="1" thickTop="1">
      <c r="A39" s="1016" t="s">
        <v>394</v>
      </c>
      <c r="B39" s="1031" t="s">
        <v>772</v>
      </c>
      <c r="C39" s="302">
        <f ca="1">C5-C30</f>
        <v>2807710</v>
      </c>
      <c r="D39" s="1032" t="s">
        <v>773</v>
      </c>
      <c r="E39" s="1033"/>
      <c r="F39" s="1034"/>
      <c r="G39" s="1292"/>
      <c r="H39" s="2468"/>
      <c r="I39" s="1305"/>
      <c r="J39" s="1306"/>
      <c r="K39" s="2466"/>
      <c r="L39" s="2468"/>
      <c r="M39" s="2468"/>
    </row>
    <row r="40" spans="1:18" ht="18" customHeight="1">
      <c r="A40" s="291" t="s">
        <v>395</v>
      </c>
      <c r="B40" s="292" t="s">
        <v>774</v>
      </c>
      <c r="C40" s="293">
        <f ca="1">ROUND(C39*(1-((1+F42)/(1+F40))^F41)/(F40-F42),0)</f>
        <v>40721280</v>
      </c>
      <c r="D40" s="316" t="s">
        <v>758</v>
      </c>
      <c r="E40" s="294" t="s">
        <v>759</v>
      </c>
      <c r="F40" s="304">
        <f ca="1">INDIRECT("'数据-取费表'!I"&amp;$G$1)</f>
        <v>5.5E-2</v>
      </c>
      <c r="G40" s="1292"/>
      <c r="H40" s="1366">
        <f ca="1">C39/C5</f>
        <v>0.82235092471314331</v>
      </c>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21</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45898</v>
      </c>
      <c r="D43" s="328" t="s">
        <v>777</v>
      </c>
      <c r="E43" s="329" t="s">
        <v>778</v>
      </c>
      <c r="F43" s="330">
        <f ca="1">INDIRECT("'数据-取费表'!k"&amp;$G$1)</f>
        <v>887.22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4" t="s">
        <v>3350</v>
      </c>
      <c r="B45" s="1307"/>
      <c r="C45" s="1376">
        <f ca="1">ROUND((C68-C40)/10000,4)</f>
        <v>-4094.0859999999998</v>
      </c>
      <c r="D45" s="3125" t="s">
        <v>3351</v>
      </c>
      <c r="E45" s="1307"/>
      <c r="F45" s="1307"/>
      <c r="O45" s="1310" t="s">
        <v>808</v>
      </c>
      <c r="P45" s="1366"/>
      <c r="Q45" s="1366"/>
      <c r="R45" s="1366"/>
    </row>
    <row r="46" spans="1:18" s="1292" customFormat="1" ht="14" thickBot="1">
      <c r="A46" s="1311" t="s">
        <v>809</v>
      </c>
      <c r="C46" s="1312">
        <f ca="1">ROUND(C45,0)</f>
        <v>-4094</v>
      </c>
      <c r="D46" s="1313" t="str">
        <f>C2</f>
        <v>万元</v>
      </c>
      <c r="I46" s="1314" t="s">
        <v>810</v>
      </c>
      <c r="J46" s="1315"/>
      <c r="K46" s="1316"/>
      <c r="L46" s="1317">
        <f ca="1">IF(M47="住宅",0,IF(L48&gt;J51,L60,J60))</f>
        <v>274895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3461</v>
      </c>
      <c r="K47" s="1323" t="s">
        <v>816</v>
      </c>
      <c r="L47" s="1324">
        <f ca="1">INDIRECT("'数据-取费表'!d"&amp;$G$1)</f>
        <v>0</v>
      </c>
      <c r="M47" s="1288" t="str">
        <f>IF(ISNUMBER(FIND("住宅",C1)),"住宅","非住宅")</f>
        <v>非住宅</v>
      </c>
      <c r="O47" s="1325" t="s">
        <v>403</v>
      </c>
      <c r="P47" s="1326" t="s">
        <v>817</v>
      </c>
      <c r="Q47" s="1327">
        <f ca="1">C40+J29</f>
        <v>40721280</v>
      </c>
      <c r="R47" s="1327" t="s">
        <v>818</v>
      </c>
    </row>
    <row r="48" spans="1:18" s="1292" customFormat="1" ht="43.5" thickBot="1">
      <c r="A48" s="1047" t="s">
        <v>438</v>
      </c>
      <c r="B48" s="292" t="s">
        <v>692</v>
      </c>
      <c r="C48" s="1268">
        <f ca="1">C49+C53+C55</f>
        <v>0</v>
      </c>
      <c r="D48" s="1049"/>
      <c r="E48" s="1050"/>
      <c r="F48" s="908"/>
      <c r="G48" s="681"/>
      <c r="H48" s="682"/>
      <c r="I48" s="1328" t="s">
        <v>819</v>
      </c>
      <c r="J48" s="1329" t="s">
        <v>3462</v>
      </c>
      <c r="K48" s="1330" t="s">
        <v>820</v>
      </c>
      <c r="L48" s="1331">
        <f ca="1">INDIRECT("'数据-取费表'!f"&amp;$G$1)</f>
        <v>21</v>
      </c>
      <c r="O48" s="1325" t="s">
        <v>404</v>
      </c>
      <c r="P48" s="1326" t="s">
        <v>821</v>
      </c>
      <c r="Q48" s="1327">
        <f ca="1">J60</f>
        <v>274895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2007</v>
      </c>
      <c r="K49" s="1330" t="s">
        <v>824</v>
      </c>
      <c r="L49" s="1333"/>
      <c r="O49" s="1334" t="s">
        <v>405</v>
      </c>
      <c r="P49" s="1326" t="s">
        <v>825</v>
      </c>
      <c r="Q49" s="1327">
        <f ca="1">C29</f>
        <v>3138226</v>
      </c>
      <c r="R49" s="1327" t="s">
        <v>818</v>
      </c>
    </row>
    <row r="50" spans="1:18" s="1292" customFormat="1" ht="13.5" thickBot="1">
      <c r="A50" s="922"/>
      <c r="B50" s="925"/>
      <c r="C50" s="926"/>
      <c r="D50" s="899"/>
      <c r="E50" s="993" t="s">
        <v>697</v>
      </c>
      <c r="F50" s="994">
        <f ca="1">F7</f>
        <v>887.22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46240094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21</v>
      </c>
      <c r="K53" s="3349" t="s">
        <v>837</v>
      </c>
      <c r="L53" s="3350"/>
      <c r="O53" s="1325" t="s">
        <v>409</v>
      </c>
      <c r="P53" s="1326" t="s">
        <v>838</v>
      </c>
      <c r="Q53" s="1327">
        <f ca="1">Q47+Q48</f>
        <v>40996175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2196758</v>
      </c>
      <c r="D56" s="1352"/>
      <c r="E56" s="1353"/>
      <c r="F56" s="1345"/>
      <c r="I56" s="1354" t="s">
        <v>842</v>
      </c>
      <c r="J56" s="1355" t="s">
        <v>3454</v>
      </c>
      <c r="K56" s="1328" t="s">
        <v>843</v>
      </c>
      <c r="L56" s="1331" t="str">
        <f ca="1">IF(L48&lt;J51,"——",L48-J51)</f>
        <v>——</v>
      </c>
      <c r="O56" s="1325" t="s">
        <v>403</v>
      </c>
      <c r="P56" s="1326" t="s">
        <v>817</v>
      </c>
      <c r="Q56" s="1327">
        <f ca="1">C40+J29</f>
        <v>40721280</v>
      </c>
      <c r="R56" s="1327" t="s">
        <v>818</v>
      </c>
    </row>
    <row r="57" spans="1:18" s="1292" customFormat="1" ht="26.5" thickBot="1">
      <c r="A57" s="1356"/>
      <c r="B57" s="896" t="s">
        <v>767</v>
      </c>
      <c r="C57" s="230">
        <f ca="1">C29</f>
        <v>3138226</v>
      </c>
      <c r="D57" s="1357"/>
      <c r="E57" s="1358"/>
      <c r="F57" s="1359"/>
      <c r="I57" s="1360" t="s">
        <v>844</v>
      </c>
      <c r="J57" s="1361">
        <f ca="1">IF(OR(M47="住宅",J51&lt;L48,J56="是"),"——",J51-L48)</f>
        <v>21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17888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1255290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274895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40721280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15691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2197</v>
      </c>
      <c r="D65" s="910" t="s">
        <v>743</v>
      </c>
      <c r="E65" s="896" t="s">
        <v>744</v>
      </c>
      <c r="F65" s="321">
        <f t="shared" ca="1" si="0"/>
        <v>1E-3</v>
      </c>
      <c r="I65" s="1367" t="s">
        <v>867</v>
      </c>
      <c r="J65" s="610">
        <v>40</v>
      </c>
      <c r="K65" s="610">
        <v>30</v>
      </c>
      <c r="L65" s="610">
        <v>50</v>
      </c>
      <c r="M65" s="1369">
        <v>0.02</v>
      </c>
      <c r="O65" s="1325" t="s">
        <v>403</v>
      </c>
      <c r="P65" s="1326" t="s">
        <v>868</v>
      </c>
      <c r="Q65" s="1327">
        <f ca="1">C40+J29</f>
        <v>40721280</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-17888</v>
      </c>
      <c r="D67" s="909" t="s">
        <v>753</v>
      </c>
      <c r="E67" s="914"/>
      <c r="F67" s="915"/>
      <c r="O67" s="1334" t="s">
        <v>405</v>
      </c>
      <c r="P67" s="1326" t="s">
        <v>850</v>
      </c>
      <c r="Q67" s="1370">
        <f ca="1">L51</f>
        <v>46240094</v>
      </c>
      <c r="R67" s="1327" t="s">
        <v>870</v>
      </c>
    </row>
    <row r="68" spans="1:18" s="1292" customFormat="1" ht="16" thickBot="1">
      <c r="A68" s="893" t="s">
        <v>395</v>
      </c>
      <c r="B68" s="894" t="s">
        <v>774</v>
      </c>
      <c r="C68" s="293">
        <f ca="1">ROUND(C67*(1-((1+F70)/(1+F68))^F69)/(F68-F70),0)</f>
        <v>-219580</v>
      </c>
      <c r="D68" s="911" t="s">
        <v>758</v>
      </c>
      <c r="E68" s="896" t="s">
        <v>759</v>
      </c>
      <c r="F68" s="304">
        <f ca="1">F40</f>
        <v>5.5E-2</v>
      </c>
      <c r="O68" s="1334" t="s">
        <v>406</v>
      </c>
      <c r="P68" s="1371" t="s">
        <v>871</v>
      </c>
      <c r="Q68" s="1327">
        <f ca="1">ROUND(Q69-Q70*Q71,0)</f>
        <v>2653937</v>
      </c>
      <c r="R68" s="1327" t="s">
        <v>414</v>
      </c>
    </row>
    <row r="69" spans="1:18" s="1292" customFormat="1" ht="13.5" thickBot="1">
      <c r="A69" s="897"/>
      <c r="B69" s="898"/>
      <c r="C69" s="298"/>
      <c r="D69" s="916" t="s">
        <v>762</v>
      </c>
      <c r="E69" s="896" t="s">
        <v>763</v>
      </c>
      <c r="F69" s="324">
        <f ca="1">F41</f>
        <v>21</v>
      </c>
      <c r="O69" s="1334" t="s">
        <v>411</v>
      </c>
      <c r="P69" s="1371" t="s">
        <v>872</v>
      </c>
      <c r="Q69" s="1327">
        <f ca="1">C39</f>
        <v>2807710</v>
      </c>
      <c r="R69" s="1327" t="s">
        <v>818</v>
      </c>
    </row>
    <row r="70" spans="1:18" s="1292" customFormat="1" ht="13.5" thickBot="1">
      <c r="A70" s="900"/>
      <c r="B70" s="901"/>
      <c r="C70" s="302"/>
      <c r="D70" s="912"/>
      <c r="E70" s="896" t="s">
        <v>766</v>
      </c>
      <c r="F70" s="991"/>
      <c r="O70" s="1334" t="s">
        <v>412</v>
      </c>
      <c r="P70" s="1371" t="s">
        <v>873</v>
      </c>
      <c r="Q70" s="1327">
        <f ca="1">C13</f>
        <v>2196758</v>
      </c>
      <c r="R70" s="1327" t="s">
        <v>818</v>
      </c>
    </row>
    <row r="71" spans="1:18" s="1292" customFormat="1" ht="13.5" thickBot="1">
      <c r="A71" s="917" t="s">
        <v>396</v>
      </c>
      <c r="B71" s="918" t="s">
        <v>776</v>
      </c>
      <c r="C71" s="327">
        <f ca="1">ROUND(C68/F71,0)</f>
        <v>-247</v>
      </c>
      <c r="D71" s="919" t="s">
        <v>777</v>
      </c>
      <c r="E71" s="920" t="s">
        <v>778</v>
      </c>
      <c r="F71" s="330">
        <f ca="1">F43</f>
        <v>887.22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153773</v>
      </c>
      <c r="D75" s="1292"/>
      <c r="E75" s="1292"/>
      <c r="F75" s="1292"/>
      <c r="K75" s="1309"/>
      <c r="L75" s="1292"/>
      <c r="O75" s="1325" t="s">
        <v>409</v>
      </c>
      <c r="P75" s="1326" t="s">
        <v>838</v>
      </c>
      <c r="Q75" s="1327">
        <f ca="1">Q65+Q66</f>
        <v>40721280</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0.94499999999999995</v>
      </c>
    </row>
    <row r="80" spans="1:18" ht="13">
      <c r="B80" s="331" t="s">
        <v>800</v>
      </c>
      <c r="C80" s="266">
        <f ca="1">ROUND(C75/C39,3)</f>
        <v>5.5E-2</v>
      </c>
    </row>
    <row r="81" spans="2:3" ht="13.5">
      <c r="B81" s="262" t="s">
        <v>801</v>
      </c>
      <c r="C81" s="230"/>
    </row>
    <row r="82" spans="2:3" ht="13">
      <c r="B82" s="265" t="s">
        <v>802</v>
      </c>
      <c r="C82" s="267">
        <f ca="1">1-C83</f>
        <v>0.94599999999999995</v>
      </c>
    </row>
    <row r="83" spans="2:3" ht="13">
      <c r="B83" s="265" t="s">
        <v>803</v>
      </c>
      <c r="C83" s="266">
        <f ca="1">ROUND(C13/C40,3)</f>
        <v>5.3999999999999999E-2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88" customWidth="1"/>
    <col min="2" max="2" width="8.90625" style="2588"/>
    <col min="3" max="5" width="12.90625" style="2588" customWidth="1"/>
    <col min="6" max="6" width="47.453125" style="2588" customWidth="1"/>
    <col min="7" max="7" width="13" style="2582" customWidth="1"/>
    <col min="8" max="8" width="8.90625" style="2582"/>
    <col min="9" max="9" width="8.90625" style="2583"/>
    <col min="10" max="10" width="5.7265625" style="2742" customWidth="1"/>
    <col min="11" max="11" width="11.7265625" style="2742" customWidth="1"/>
    <col min="12" max="13" width="10.7265625" style="2742" customWidth="1"/>
    <col min="14" max="14" width="10" style="2742" customWidth="1"/>
    <col min="15" max="16" width="10.453125" style="2742" bestFit="1" customWidth="1"/>
    <col min="17" max="17" width="10" style="2742" customWidth="1"/>
    <col min="18" max="18" width="10.08984375" style="2742" customWidth="1"/>
    <col min="19" max="19" width="10" style="2742" customWidth="1"/>
    <col min="20" max="20" width="26.08984375" style="2742" customWidth="1"/>
    <col min="21" max="21" width="8.90625" style="2742"/>
    <col min="22" max="22" width="8.90625" style="2583"/>
    <col min="23" max="256" width="8.90625" style="2588"/>
    <col min="257" max="257" width="9.453125" style="2588" customWidth="1"/>
    <col min="258" max="258" width="8.90625" style="2588"/>
    <col min="259" max="261" width="12.90625" style="2588" customWidth="1"/>
    <col min="262" max="262" width="47.453125" style="2588" customWidth="1"/>
    <col min="263" max="263" width="13" style="2588" customWidth="1"/>
    <col min="264" max="265" width="8.90625" style="2588"/>
    <col min="266" max="266" width="5.7265625" style="2588" customWidth="1"/>
    <col min="267" max="267" width="11.7265625" style="2588" customWidth="1"/>
    <col min="268" max="269" width="10.7265625" style="2588" customWidth="1"/>
    <col min="270" max="270" width="10" style="2588" customWidth="1"/>
    <col min="271" max="272" width="10.453125" style="2588" bestFit="1" customWidth="1"/>
    <col min="273" max="273" width="10" style="2588" customWidth="1"/>
    <col min="274" max="274" width="10.08984375" style="2588" customWidth="1"/>
    <col min="275" max="275" width="10" style="2588" customWidth="1"/>
    <col min="276" max="276" width="26.08984375" style="2588" customWidth="1"/>
    <col min="277" max="512" width="8.90625" style="2588"/>
    <col min="513" max="513" width="9.453125" style="2588" customWidth="1"/>
    <col min="514" max="514" width="8.90625" style="2588"/>
    <col min="515" max="517" width="12.90625" style="2588" customWidth="1"/>
    <col min="518" max="518" width="47.453125" style="2588" customWidth="1"/>
    <col min="519" max="519" width="13" style="2588" customWidth="1"/>
    <col min="520" max="521" width="8.90625" style="2588"/>
    <col min="522" max="522" width="5.7265625" style="2588" customWidth="1"/>
    <col min="523" max="523" width="11.7265625" style="2588" customWidth="1"/>
    <col min="524" max="525" width="10.7265625" style="2588" customWidth="1"/>
    <col min="526" max="526" width="10" style="2588" customWidth="1"/>
    <col min="527" max="528" width="10.453125" style="2588" bestFit="1" customWidth="1"/>
    <col min="529" max="529" width="10" style="2588" customWidth="1"/>
    <col min="530" max="530" width="10.08984375" style="2588" customWidth="1"/>
    <col min="531" max="531" width="10" style="2588" customWidth="1"/>
    <col min="532" max="532" width="26.08984375" style="2588" customWidth="1"/>
    <col min="533" max="768" width="8.90625" style="2588"/>
    <col min="769" max="769" width="9.453125" style="2588" customWidth="1"/>
    <col min="770" max="770" width="8.90625" style="2588"/>
    <col min="771" max="773" width="12.90625" style="2588" customWidth="1"/>
    <col min="774" max="774" width="47.453125" style="2588" customWidth="1"/>
    <col min="775" max="775" width="13" style="2588" customWidth="1"/>
    <col min="776" max="777" width="8.90625" style="2588"/>
    <col min="778" max="778" width="5.7265625" style="2588" customWidth="1"/>
    <col min="779" max="779" width="11.7265625" style="2588" customWidth="1"/>
    <col min="780" max="781" width="10.7265625" style="2588" customWidth="1"/>
    <col min="782" max="782" width="10" style="2588" customWidth="1"/>
    <col min="783" max="784" width="10.453125" style="2588" bestFit="1" customWidth="1"/>
    <col min="785" max="785" width="10" style="2588" customWidth="1"/>
    <col min="786" max="786" width="10.08984375" style="2588" customWidth="1"/>
    <col min="787" max="787" width="10" style="2588" customWidth="1"/>
    <col min="788" max="788" width="26.08984375" style="2588" customWidth="1"/>
    <col min="789" max="1024" width="8.90625" style="2588"/>
    <col min="1025" max="1025" width="9.453125" style="2588" customWidth="1"/>
    <col min="1026" max="1026" width="8.90625" style="2588"/>
    <col min="1027" max="1029" width="12.90625" style="2588" customWidth="1"/>
    <col min="1030" max="1030" width="47.453125" style="2588" customWidth="1"/>
    <col min="1031" max="1031" width="13" style="2588" customWidth="1"/>
    <col min="1032" max="1033" width="8.90625" style="2588"/>
    <col min="1034" max="1034" width="5.7265625" style="2588" customWidth="1"/>
    <col min="1035" max="1035" width="11.7265625" style="2588" customWidth="1"/>
    <col min="1036" max="1037" width="10.7265625" style="2588" customWidth="1"/>
    <col min="1038" max="1038" width="10" style="2588" customWidth="1"/>
    <col min="1039" max="1040" width="10.453125" style="2588" bestFit="1" customWidth="1"/>
    <col min="1041" max="1041" width="10" style="2588" customWidth="1"/>
    <col min="1042" max="1042" width="10.08984375" style="2588" customWidth="1"/>
    <col min="1043" max="1043" width="10" style="2588" customWidth="1"/>
    <col min="1044" max="1044" width="26.08984375" style="2588" customWidth="1"/>
    <col min="1045" max="1280" width="8.90625" style="2588"/>
    <col min="1281" max="1281" width="9.453125" style="2588" customWidth="1"/>
    <col min="1282" max="1282" width="8.90625" style="2588"/>
    <col min="1283" max="1285" width="12.90625" style="2588" customWidth="1"/>
    <col min="1286" max="1286" width="47.453125" style="2588" customWidth="1"/>
    <col min="1287" max="1287" width="13" style="2588" customWidth="1"/>
    <col min="1288" max="1289" width="8.90625" style="2588"/>
    <col min="1290" max="1290" width="5.7265625" style="2588" customWidth="1"/>
    <col min="1291" max="1291" width="11.7265625" style="2588" customWidth="1"/>
    <col min="1292" max="1293" width="10.7265625" style="2588" customWidth="1"/>
    <col min="1294" max="1294" width="10" style="2588" customWidth="1"/>
    <col min="1295" max="1296" width="10.453125" style="2588" bestFit="1" customWidth="1"/>
    <col min="1297" max="1297" width="10" style="2588" customWidth="1"/>
    <col min="1298" max="1298" width="10.08984375" style="2588" customWidth="1"/>
    <col min="1299" max="1299" width="10" style="2588" customWidth="1"/>
    <col min="1300" max="1300" width="26.08984375" style="2588" customWidth="1"/>
    <col min="1301" max="1536" width="8.90625" style="2588"/>
    <col min="1537" max="1537" width="9.453125" style="2588" customWidth="1"/>
    <col min="1538" max="1538" width="8.90625" style="2588"/>
    <col min="1539" max="1541" width="12.90625" style="2588" customWidth="1"/>
    <col min="1542" max="1542" width="47.453125" style="2588" customWidth="1"/>
    <col min="1543" max="1543" width="13" style="2588" customWidth="1"/>
    <col min="1544" max="1545" width="8.90625" style="2588"/>
    <col min="1546" max="1546" width="5.7265625" style="2588" customWidth="1"/>
    <col min="1547" max="1547" width="11.7265625" style="2588" customWidth="1"/>
    <col min="1548" max="1549" width="10.7265625" style="2588" customWidth="1"/>
    <col min="1550" max="1550" width="10" style="2588" customWidth="1"/>
    <col min="1551" max="1552" width="10.453125" style="2588" bestFit="1" customWidth="1"/>
    <col min="1553" max="1553" width="10" style="2588" customWidth="1"/>
    <col min="1554" max="1554" width="10.08984375" style="2588" customWidth="1"/>
    <col min="1555" max="1555" width="10" style="2588" customWidth="1"/>
    <col min="1556" max="1556" width="26.08984375" style="2588" customWidth="1"/>
    <col min="1557" max="1792" width="8.90625" style="2588"/>
    <col min="1793" max="1793" width="9.453125" style="2588" customWidth="1"/>
    <col min="1794" max="1794" width="8.90625" style="2588"/>
    <col min="1795" max="1797" width="12.90625" style="2588" customWidth="1"/>
    <col min="1798" max="1798" width="47.453125" style="2588" customWidth="1"/>
    <col min="1799" max="1799" width="13" style="2588" customWidth="1"/>
    <col min="1800" max="1801" width="8.90625" style="2588"/>
    <col min="1802" max="1802" width="5.7265625" style="2588" customWidth="1"/>
    <col min="1803" max="1803" width="11.7265625" style="2588" customWidth="1"/>
    <col min="1804" max="1805" width="10.7265625" style="2588" customWidth="1"/>
    <col min="1806" max="1806" width="10" style="2588" customWidth="1"/>
    <col min="1807" max="1808" width="10.453125" style="2588" bestFit="1" customWidth="1"/>
    <col min="1809" max="1809" width="10" style="2588" customWidth="1"/>
    <col min="1810" max="1810" width="10.08984375" style="2588" customWidth="1"/>
    <col min="1811" max="1811" width="10" style="2588" customWidth="1"/>
    <col min="1812" max="1812" width="26.08984375" style="2588" customWidth="1"/>
    <col min="1813" max="2048" width="8.90625" style="2588"/>
    <col min="2049" max="2049" width="9.453125" style="2588" customWidth="1"/>
    <col min="2050" max="2050" width="8.90625" style="2588"/>
    <col min="2051" max="2053" width="12.90625" style="2588" customWidth="1"/>
    <col min="2054" max="2054" width="47.453125" style="2588" customWidth="1"/>
    <col min="2055" max="2055" width="13" style="2588" customWidth="1"/>
    <col min="2056" max="2057" width="8.90625" style="2588"/>
    <col min="2058" max="2058" width="5.7265625" style="2588" customWidth="1"/>
    <col min="2059" max="2059" width="11.7265625" style="2588" customWidth="1"/>
    <col min="2060" max="2061" width="10.7265625" style="2588" customWidth="1"/>
    <col min="2062" max="2062" width="10" style="2588" customWidth="1"/>
    <col min="2063" max="2064" width="10.453125" style="2588" bestFit="1" customWidth="1"/>
    <col min="2065" max="2065" width="10" style="2588" customWidth="1"/>
    <col min="2066" max="2066" width="10.08984375" style="2588" customWidth="1"/>
    <col min="2067" max="2067" width="10" style="2588" customWidth="1"/>
    <col min="2068" max="2068" width="26.08984375" style="2588" customWidth="1"/>
    <col min="2069" max="2304" width="8.90625" style="2588"/>
    <col min="2305" max="2305" width="9.453125" style="2588" customWidth="1"/>
    <col min="2306" max="2306" width="8.90625" style="2588"/>
    <col min="2307" max="2309" width="12.90625" style="2588" customWidth="1"/>
    <col min="2310" max="2310" width="47.453125" style="2588" customWidth="1"/>
    <col min="2311" max="2311" width="13" style="2588" customWidth="1"/>
    <col min="2312" max="2313" width="8.90625" style="2588"/>
    <col min="2314" max="2314" width="5.7265625" style="2588" customWidth="1"/>
    <col min="2315" max="2315" width="11.7265625" style="2588" customWidth="1"/>
    <col min="2316" max="2317" width="10.7265625" style="2588" customWidth="1"/>
    <col min="2318" max="2318" width="10" style="2588" customWidth="1"/>
    <col min="2319" max="2320" width="10.453125" style="2588" bestFit="1" customWidth="1"/>
    <col min="2321" max="2321" width="10" style="2588" customWidth="1"/>
    <col min="2322" max="2322" width="10.08984375" style="2588" customWidth="1"/>
    <col min="2323" max="2323" width="10" style="2588" customWidth="1"/>
    <col min="2324" max="2324" width="26.08984375" style="2588" customWidth="1"/>
    <col min="2325" max="2560" width="8.90625" style="2588"/>
    <col min="2561" max="2561" width="9.453125" style="2588" customWidth="1"/>
    <col min="2562" max="2562" width="8.90625" style="2588"/>
    <col min="2563" max="2565" width="12.90625" style="2588" customWidth="1"/>
    <col min="2566" max="2566" width="47.453125" style="2588" customWidth="1"/>
    <col min="2567" max="2567" width="13" style="2588" customWidth="1"/>
    <col min="2568" max="2569" width="8.90625" style="2588"/>
    <col min="2570" max="2570" width="5.7265625" style="2588" customWidth="1"/>
    <col min="2571" max="2571" width="11.7265625" style="2588" customWidth="1"/>
    <col min="2572" max="2573" width="10.7265625" style="2588" customWidth="1"/>
    <col min="2574" max="2574" width="10" style="2588" customWidth="1"/>
    <col min="2575" max="2576" width="10.453125" style="2588" bestFit="1" customWidth="1"/>
    <col min="2577" max="2577" width="10" style="2588" customWidth="1"/>
    <col min="2578" max="2578" width="10.08984375" style="2588" customWidth="1"/>
    <col min="2579" max="2579" width="10" style="2588" customWidth="1"/>
    <col min="2580" max="2580" width="26.08984375" style="2588" customWidth="1"/>
    <col min="2581" max="2816" width="8.90625" style="2588"/>
    <col min="2817" max="2817" width="9.453125" style="2588" customWidth="1"/>
    <col min="2818" max="2818" width="8.90625" style="2588"/>
    <col min="2819" max="2821" width="12.90625" style="2588" customWidth="1"/>
    <col min="2822" max="2822" width="47.453125" style="2588" customWidth="1"/>
    <col min="2823" max="2823" width="13" style="2588" customWidth="1"/>
    <col min="2824" max="2825" width="8.90625" style="2588"/>
    <col min="2826" max="2826" width="5.7265625" style="2588" customWidth="1"/>
    <col min="2827" max="2827" width="11.7265625" style="2588" customWidth="1"/>
    <col min="2828" max="2829" width="10.7265625" style="2588" customWidth="1"/>
    <col min="2830" max="2830" width="10" style="2588" customWidth="1"/>
    <col min="2831" max="2832" width="10.453125" style="2588" bestFit="1" customWidth="1"/>
    <col min="2833" max="2833" width="10" style="2588" customWidth="1"/>
    <col min="2834" max="2834" width="10.08984375" style="2588" customWidth="1"/>
    <col min="2835" max="2835" width="10" style="2588" customWidth="1"/>
    <col min="2836" max="2836" width="26.08984375" style="2588" customWidth="1"/>
    <col min="2837" max="3072" width="8.90625" style="2588"/>
    <col min="3073" max="3073" width="9.453125" style="2588" customWidth="1"/>
    <col min="3074" max="3074" width="8.90625" style="2588"/>
    <col min="3075" max="3077" width="12.90625" style="2588" customWidth="1"/>
    <col min="3078" max="3078" width="47.453125" style="2588" customWidth="1"/>
    <col min="3079" max="3079" width="13" style="2588" customWidth="1"/>
    <col min="3080" max="3081" width="8.90625" style="2588"/>
    <col min="3082" max="3082" width="5.7265625" style="2588" customWidth="1"/>
    <col min="3083" max="3083" width="11.7265625" style="2588" customWidth="1"/>
    <col min="3084" max="3085" width="10.7265625" style="2588" customWidth="1"/>
    <col min="3086" max="3086" width="10" style="2588" customWidth="1"/>
    <col min="3087" max="3088" width="10.453125" style="2588" bestFit="1" customWidth="1"/>
    <col min="3089" max="3089" width="10" style="2588" customWidth="1"/>
    <col min="3090" max="3090" width="10.08984375" style="2588" customWidth="1"/>
    <col min="3091" max="3091" width="10" style="2588" customWidth="1"/>
    <col min="3092" max="3092" width="26.08984375" style="2588" customWidth="1"/>
    <col min="3093" max="3328" width="8.90625" style="2588"/>
    <col min="3329" max="3329" width="9.453125" style="2588" customWidth="1"/>
    <col min="3330" max="3330" width="8.90625" style="2588"/>
    <col min="3331" max="3333" width="12.90625" style="2588" customWidth="1"/>
    <col min="3334" max="3334" width="47.453125" style="2588" customWidth="1"/>
    <col min="3335" max="3335" width="13" style="2588" customWidth="1"/>
    <col min="3336" max="3337" width="8.90625" style="2588"/>
    <col min="3338" max="3338" width="5.7265625" style="2588" customWidth="1"/>
    <col min="3339" max="3339" width="11.7265625" style="2588" customWidth="1"/>
    <col min="3340" max="3341" width="10.7265625" style="2588" customWidth="1"/>
    <col min="3342" max="3342" width="10" style="2588" customWidth="1"/>
    <col min="3343" max="3344" width="10.453125" style="2588" bestFit="1" customWidth="1"/>
    <col min="3345" max="3345" width="10" style="2588" customWidth="1"/>
    <col min="3346" max="3346" width="10.08984375" style="2588" customWidth="1"/>
    <col min="3347" max="3347" width="10" style="2588" customWidth="1"/>
    <col min="3348" max="3348" width="26.08984375" style="2588" customWidth="1"/>
    <col min="3349" max="3584" width="8.90625" style="2588"/>
    <col min="3585" max="3585" width="9.453125" style="2588" customWidth="1"/>
    <col min="3586" max="3586" width="8.90625" style="2588"/>
    <col min="3587" max="3589" width="12.90625" style="2588" customWidth="1"/>
    <col min="3590" max="3590" width="47.453125" style="2588" customWidth="1"/>
    <col min="3591" max="3591" width="13" style="2588" customWidth="1"/>
    <col min="3592" max="3593" width="8.90625" style="2588"/>
    <col min="3594" max="3594" width="5.7265625" style="2588" customWidth="1"/>
    <col min="3595" max="3595" width="11.7265625" style="2588" customWidth="1"/>
    <col min="3596" max="3597" width="10.7265625" style="2588" customWidth="1"/>
    <col min="3598" max="3598" width="10" style="2588" customWidth="1"/>
    <col min="3599" max="3600" width="10.453125" style="2588" bestFit="1" customWidth="1"/>
    <col min="3601" max="3601" width="10" style="2588" customWidth="1"/>
    <col min="3602" max="3602" width="10.08984375" style="2588" customWidth="1"/>
    <col min="3603" max="3603" width="10" style="2588" customWidth="1"/>
    <col min="3604" max="3604" width="26.08984375" style="2588" customWidth="1"/>
    <col min="3605" max="3840" width="8.90625" style="2588"/>
    <col min="3841" max="3841" width="9.453125" style="2588" customWidth="1"/>
    <col min="3842" max="3842" width="8.90625" style="2588"/>
    <col min="3843" max="3845" width="12.90625" style="2588" customWidth="1"/>
    <col min="3846" max="3846" width="47.453125" style="2588" customWidth="1"/>
    <col min="3847" max="3847" width="13" style="2588" customWidth="1"/>
    <col min="3848" max="3849" width="8.90625" style="2588"/>
    <col min="3850" max="3850" width="5.7265625" style="2588" customWidth="1"/>
    <col min="3851" max="3851" width="11.7265625" style="2588" customWidth="1"/>
    <col min="3852" max="3853" width="10.7265625" style="2588" customWidth="1"/>
    <col min="3854" max="3854" width="10" style="2588" customWidth="1"/>
    <col min="3855" max="3856" width="10.453125" style="2588" bestFit="1" customWidth="1"/>
    <col min="3857" max="3857" width="10" style="2588" customWidth="1"/>
    <col min="3858" max="3858" width="10.08984375" style="2588" customWidth="1"/>
    <col min="3859" max="3859" width="10" style="2588" customWidth="1"/>
    <col min="3860" max="3860" width="26.08984375" style="2588" customWidth="1"/>
    <col min="3861" max="4096" width="8.90625" style="2588"/>
    <col min="4097" max="4097" width="9.453125" style="2588" customWidth="1"/>
    <col min="4098" max="4098" width="8.90625" style="2588"/>
    <col min="4099" max="4101" width="12.90625" style="2588" customWidth="1"/>
    <col min="4102" max="4102" width="47.453125" style="2588" customWidth="1"/>
    <col min="4103" max="4103" width="13" style="2588" customWidth="1"/>
    <col min="4104" max="4105" width="8.90625" style="2588"/>
    <col min="4106" max="4106" width="5.7265625" style="2588" customWidth="1"/>
    <col min="4107" max="4107" width="11.7265625" style="2588" customWidth="1"/>
    <col min="4108" max="4109" width="10.7265625" style="2588" customWidth="1"/>
    <col min="4110" max="4110" width="10" style="2588" customWidth="1"/>
    <col min="4111" max="4112" width="10.453125" style="2588" bestFit="1" customWidth="1"/>
    <col min="4113" max="4113" width="10" style="2588" customWidth="1"/>
    <col min="4114" max="4114" width="10.08984375" style="2588" customWidth="1"/>
    <col min="4115" max="4115" width="10" style="2588" customWidth="1"/>
    <col min="4116" max="4116" width="26.08984375" style="2588" customWidth="1"/>
    <col min="4117" max="4352" width="8.90625" style="2588"/>
    <col min="4353" max="4353" width="9.453125" style="2588" customWidth="1"/>
    <col min="4354" max="4354" width="8.90625" style="2588"/>
    <col min="4355" max="4357" width="12.90625" style="2588" customWidth="1"/>
    <col min="4358" max="4358" width="47.453125" style="2588" customWidth="1"/>
    <col min="4359" max="4359" width="13" style="2588" customWidth="1"/>
    <col min="4360" max="4361" width="8.90625" style="2588"/>
    <col min="4362" max="4362" width="5.7265625" style="2588" customWidth="1"/>
    <col min="4363" max="4363" width="11.7265625" style="2588" customWidth="1"/>
    <col min="4364" max="4365" width="10.7265625" style="2588" customWidth="1"/>
    <col min="4366" max="4366" width="10" style="2588" customWidth="1"/>
    <col min="4367" max="4368" width="10.453125" style="2588" bestFit="1" customWidth="1"/>
    <col min="4369" max="4369" width="10" style="2588" customWidth="1"/>
    <col min="4370" max="4370" width="10.08984375" style="2588" customWidth="1"/>
    <col min="4371" max="4371" width="10" style="2588" customWidth="1"/>
    <col min="4372" max="4372" width="26.08984375" style="2588" customWidth="1"/>
    <col min="4373" max="4608" width="8.90625" style="2588"/>
    <col min="4609" max="4609" width="9.453125" style="2588" customWidth="1"/>
    <col min="4610" max="4610" width="8.90625" style="2588"/>
    <col min="4611" max="4613" width="12.90625" style="2588" customWidth="1"/>
    <col min="4614" max="4614" width="47.453125" style="2588" customWidth="1"/>
    <col min="4615" max="4615" width="13" style="2588" customWidth="1"/>
    <col min="4616" max="4617" width="8.90625" style="2588"/>
    <col min="4618" max="4618" width="5.7265625" style="2588" customWidth="1"/>
    <col min="4619" max="4619" width="11.7265625" style="2588" customWidth="1"/>
    <col min="4620" max="4621" width="10.7265625" style="2588" customWidth="1"/>
    <col min="4622" max="4622" width="10" style="2588" customWidth="1"/>
    <col min="4623" max="4624" width="10.453125" style="2588" bestFit="1" customWidth="1"/>
    <col min="4625" max="4625" width="10" style="2588" customWidth="1"/>
    <col min="4626" max="4626" width="10.08984375" style="2588" customWidth="1"/>
    <col min="4627" max="4627" width="10" style="2588" customWidth="1"/>
    <col min="4628" max="4628" width="26.08984375" style="2588" customWidth="1"/>
    <col min="4629" max="4864" width="8.90625" style="2588"/>
    <col min="4865" max="4865" width="9.453125" style="2588" customWidth="1"/>
    <col min="4866" max="4866" width="8.90625" style="2588"/>
    <col min="4867" max="4869" width="12.90625" style="2588" customWidth="1"/>
    <col min="4870" max="4870" width="47.453125" style="2588" customWidth="1"/>
    <col min="4871" max="4871" width="13" style="2588" customWidth="1"/>
    <col min="4872" max="4873" width="8.90625" style="2588"/>
    <col min="4874" max="4874" width="5.7265625" style="2588" customWidth="1"/>
    <col min="4875" max="4875" width="11.7265625" style="2588" customWidth="1"/>
    <col min="4876" max="4877" width="10.7265625" style="2588" customWidth="1"/>
    <col min="4878" max="4878" width="10" style="2588" customWidth="1"/>
    <col min="4879" max="4880" width="10.453125" style="2588" bestFit="1" customWidth="1"/>
    <col min="4881" max="4881" width="10" style="2588" customWidth="1"/>
    <col min="4882" max="4882" width="10.08984375" style="2588" customWidth="1"/>
    <col min="4883" max="4883" width="10" style="2588" customWidth="1"/>
    <col min="4884" max="4884" width="26.08984375" style="2588" customWidth="1"/>
    <col min="4885" max="5120" width="8.90625" style="2588"/>
    <col min="5121" max="5121" width="9.453125" style="2588" customWidth="1"/>
    <col min="5122" max="5122" width="8.90625" style="2588"/>
    <col min="5123" max="5125" width="12.90625" style="2588" customWidth="1"/>
    <col min="5126" max="5126" width="47.453125" style="2588" customWidth="1"/>
    <col min="5127" max="5127" width="13" style="2588" customWidth="1"/>
    <col min="5128" max="5129" width="8.90625" style="2588"/>
    <col min="5130" max="5130" width="5.7265625" style="2588" customWidth="1"/>
    <col min="5131" max="5131" width="11.7265625" style="2588" customWidth="1"/>
    <col min="5132" max="5133" width="10.7265625" style="2588" customWidth="1"/>
    <col min="5134" max="5134" width="10" style="2588" customWidth="1"/>
    <col min="5135" max="5136" width="10.453125" style="2588" bestFit="1" customWidth="1"/>
    <col min="5137" max="5137" width="10" style="2588" customWidth="1"/>
    <col min="5138" max="5138" width="10.08984375" style="2588" customWidth="1"/>
    <col min="5139" max="5139" width="10" style="2588" customWidth="1"/>
    <col min="5140" max="5140" width="26.08984375" style="2588" customWidth="1"/>
    <col min="5141" max="5376" width="8.90625" style="2588"/>
    <col min="5377" max="5377" width="9.453125" style="2588" customWidth="1"/>
    <col min="5378" max="5378" width="8.90625" style="2588"/>
    <col min="5379" max="5381" width="12.90625" style="2588" customWidth="1"/>
    <col min="5382" max="5382" width="47.453125" style="2588" customWidth="1"/>
    <col min="5383" max="5383" width="13" style="2588" customWidth="1"/>
    <col min="5384" max="5385" width="8.90625" style="2588"/>
    <col min="5386" max="5386" width="5.7265625" style="2588" customWidth="1"/>
    <col min="5387" max="5387" width="11.7265625" style="2588" customWidth="1"/>
    <col min="5388" max="5389" width="10.7265625" style="2588" customWidth="1"/>
    <col min="5390" max="5390" width="10" style="2588" customWidth="1"/>
    <col min="5391" max="5392" width="10.453125" style="2588" bestFit="1" customWidth="1"/>
    <col min="5393" max="5393" width="10" style="2588" customWidth="1"/>
    <col min="5394" max="5394" width="10.08984375" style="2588" customWidth="1"/>
    <col min="5395" max="5395" width="10" style="2588" customWidth="1"/>
    <col min="5396" max="5396" width="26.08984375" style="2588" customWidth="1"/>
    <col min="5397" max="5632" width="8.90625" style="2588"/>
    <col min="5633" max="5633" width="9.453125" style="2588" customWidth="1"/>
    <col min="5634" max="5634" width="8.90625" style="2588"/>
    <col min="5635" max="5637" width="12.90625" style="2588" customWidth="1"/>
    <col min="5638" max="5638" width="47.453125" style="2588" customWidth="1"/>
    <col min="5639" max="5639" width="13" style="2588" customWidth="1"/>
    <col min="5640" max="5641" width="8.90625" style="2588"/>
    <col min="5642" max="5642" width="5.7265625" style="2588" customWidth="1"/>
    <col min="5643" max="5643" width="11.7265625" style="2588" customWidth="1"/>
    <col min="5644" max="5645" width="10.7265625" style="2588" customWidth="1"/>
    <col min="5646" max="5646" width="10" style="2588" customWidth="1"/>
    <col min="5647" max="5648" width="10.453125" style="2588" bestFit="1" customWidth="1"/>
    <col min="5649" max="5649" width="10" style="2588" customWidth="1"/>
    <col min="5650" max="5650" width="10.08984375" style="2588" customWidth="1"/>
    <col min="5651" max="5651" width="10" style="2588" customWidth="1"/>
    <col min="5652" max="5652" width="26.08984375" style="2588" customWidth="1"/>
    <col min="5653" max="5888" width="8.90625" style="2588"/>
    <col min="5889" max="5889" width="9.453125" style="2588" customWidth="1"/>
    <col min="5890" max="5890" width="8.90625" style="2588"/>
    <col min="5891" max="5893" width="12.90625" style="2588" customWidth="1"/>
    <col min="5894" max="5894" width="47.453125" style="2588" customWidth="1"/>
    <col min="5895" max="5895" width="13" style="2588" customWidth="1"/>
    <col min="5896" max="5897" width="8.90625" style="2588"/>
    <col min="5898" max="5898" width="5.7265625" style="2588" customWidth="1"/>
    <col min="5899" max="5899" width="11.7265625" style="2588" customWidth="1"/>
    <col min="5900" max="5901" width="10.7265625" style="2588" customWidth="1"/>
    <col min="5902" max="5902" width="10" style="2588" customWidth="1"/>
    <col min="5903" max="5904" width="10.453125" style="2588" bestFit="1" customWidth="1"/>
    <col min="5905" max="5905" width="10" style="2588" customWidth="1"/>
    <col min="5906" max="5906" width="10.08984375" style="2588" customWidth="1"/>
    <col min="5907" max="5907" width="10" style="2588" customWidth="1"/>
    <col min="5908" max="5908" width="26.08984375" style="2588" customWidth="1"/>
    <col min="5909" max="6144" width="8.90625" style="2588"/>
    <col min="6145" max="6145" width="9.453125" style="2588" customWidth="1"/>
    <col min="6146" max="6146" width="8.90625" style="2588"/>
    <col min="6147" max="6149" width="12.90625" style="2588" customWidth="1"/>
    <col min="6150" max="6150" width="47.453125" style="2588" customWidth="1"/>
    <col min="6151" max="6151" width="13" style="2588" customWidth="1"/>
    <col min="6152" max="6153" width="8.90625" style="2588"/>
    <col min="6154" max="6154" width="5.7265625" style="2588" customWidth="1"/>
    <col min="6155" max="6155" width="11.7265625" style="2588" customWidth="1"/>
    <col min="6156" max="6157" width="10.7265625" style="2588" customWidth="1"/>
    <col min="6158" max="6158" width="10" style="2588" customWidth="1"/>
    <col min="6159" max="6160" width="10.453125" style="2588" bestFit="1" customWidth="1"/>
    <col min="6161" max="6161" width="10" style="2588" customWidth="1"/>
    <col min="6162" max="6162" width="10.08984375" style="2588" customWidth="1"/>
    <col min="6163" max="6163" width="10" style="2588" customWidth="1"/>
    <col min="6164" max="6164" width="26.08984375" style="2588" customWidth="1"/>
    <col min="6165" max="6400" width="8.90625" style="2588"/>
    <col min="6401" max="6401" width="9.453125" style="2588" customWidth="1"/>
    <col min="6402" max="6402" width="8.90625" style="2588"/>
    <col min="6403" max="6405" width="12.90625" style="2588" customWidth="1"/>
    <col min="6406" max="6406" width="47.453125" style="2588" customWidth="1"/>
    <col min="6407" max="6407" width="13" style="2588" customWidth="1"/>
    <col min="6408" max="6409" width="8.90625" style="2588"/>
    <col min="6410" max="6410" width="5.7265625" style="2588" customWidth="1"/>
    <col min="6411" max="6411" width="11.7265625" style="2588" customWidth="1"/>
    <col min="6412" max="6413" width="10.7265625" style="2588" customWidth="1"/>
    <col min="6414" max="6414" width="10" style="2588" customWidth="1"/>
    <col min="6415" max="6416" width="10.453125" style="2588" bestFit="1" customWidth="1"/>
    <col min="6417" max="6417" width="10" style="2588" customWidth="1"/>
    <col min="6418" max="6418" width="10.08984375" style="2588" customWidth="1"/>
    <col min="6419" max="6419" width="10" style="2588" customWidth="1"/>
    <col min="6420" max="6420" width="26.08984375" style="2588" customWidth="1"/>
    <col min="6421" max="6656" width="8.90625" style="2588"/>
    <col min="6657" max="6657" width="9.453125" style="2588" customWidth="1"/>
    <col min="6658" max="6658" width="8.90625" style="2588"/>
    <col min="6659" max="6661" width="12.90625" style="2588" customWidth="1"/>
    <col min="6662" max="6662" width="47.453125" style="2588" customWidth="1"/>
    <col min="6663" max="6663" width="13" style="2588" customWidth="1"/>
    <col min="6664" max="6665" width="8.90625" style="2588"/>
    <col min="6666" max="6666" width="5.7265625" style="2588" customWidth="1"/>
    <col min="6667" max="6667" width="11.7265625" style="2588" customWidth="1"/>
    <col min="6668" max="6669" width="10.7265625" style="2588" customWidth="1"/>
    <col min="6670" max="6670" width="10" style="2588" customWidth="1"/>
    <col min="6671" max="6672" width="10.453125" style="2588" bestFit="1" customWidth="1"/>
    <col min="6673" max="6673" width="10" style="2588" customWidth="1"/>
    <col min="6674" max="6674" width="10.08984375" style="2588" customWidth="1"/>
    <col min="6675" max="6675" width="10" style="2588" customWidth="1"/>
    <col min="6676" max="6676" width="26.08984375" style="2588" customWidth="1"/>
    <col min="6677" max="6912" width="8.90625" style="2588"/>
    <col min="6913" max="6913" width="9.453125" style="2588" customWidth="1"/>
    <col min="6914" max="6914" width="8.90625" style="2588"/>
    <col min="6915" max="6917" width="12.90625" style="2588" customWidth="1"/>
    <col min="6918" max="6918" width="47.453125" style="2588" customWidth="1"/>
    <col min="6919" max="6919" width="13" style="2588" customWidth="1"/>
    <col min="6920" max="6921" width="8.90625" style="2588"/>
    <col min="6922" max="6922" width="5.7265625" style="2588" customWidth="1"/>
    <col min="6923" max="6923" width="11.7265625" style="2588" customWidth="1"/>
    <col min="6924" max="6925" width="10.7265625" style="2588" customWidth="1"/>
    <col min="6926" max="6926" width="10" style="2588" customWidth="1"/>
    <col min="6927" max="6928" width="10.453125" style="2588" bestFit="1" customWidth="1"/>
    <col min="6929" max="6929" width="10" style="2588" customWidth="1"/>
    <col min="6930" max="6930" width="10.08984375" style="2588" customWidth="1"/>
    <col min="6931" max="6931" width="10" style="2588" customWidth="1"/>
    <col min="6932" max="6932" width="26.08984375" style="2588" customWidth="1"/>
    <col min="6933" max="7168" width="8.90625" style="2588"/>
    <col min="7169" max="7169" width="9.453125" style="2588" customWidth="1"/>
    <col min="7170" max="7170" width="8.90625" style="2588"/>
    <col min="7171" max="7173" width="12.90625" style="2588" customWidth="1"/>
    <col min="7174" max="7174" width="47.453125" style="2588" customWidth="1"/>
    <col min="7175" max="7175" width="13" style="2588" customWidth="1"/>
    <col min="7176" max="7177" width="8.90625" style="2588"/>
    <col min="7178" max="7178" width="5.7265625" style="2588" customWidth="1"/>
    <col min="7179" max="7179" width="11.7265625" style="2588" customWidth="1"/>
    <col min="7180" max="7181" width="10.7265625" style="2588" customWidth="1"/>
    <col min="7182" max="7182" width="10" style="2588" customWidth="1"/>
    <col min="7183" max="7184" width="10.453125" style="2588" bestFit="1" customWidth="1"/>
    <col min="7185" max="7185" width="10" style="2588" customWidth="1"/>
    <col min="7186" max="7186" width="10.08984375" style="2588" customWidth="1"/>
    <col min="7187" max="7187" width="10" style="2588" customWidth="1"/>
    <col min="7188" max="7188" width="26.08984375" style="2588" customWidth="1"/>
    <col min="7189" max="7424" width="8.90625" style="2588"/>
    <col min="7425" max="7425" width="9.453125" style="2588" customWidth="1"/>
    <col min="7426" max="7426" width="8.90625" style="2588"/>
    <col min="7427" max="7429" width="12.90625" style="2588" customWidth="1"/>
    <col min="7430" max="7430" width="47.453125" style="2588" customWidth="1"/>
    <col min="7431" max="7431" width="13" style="2588" customWidth="1"/>
    <col min="7432" max="7433" width="8.90625" style="2588"/>
    <col min="7434" max="7434" width="5.7265625" style="2588" customWidth="1"/>
    <col min="7435" max="7435" width="11.7265625" style="2588" customWidth="1"/>
    <col min="7436" max="7437" width="10.7265625" style="2588" customWidth="1"/>
    <col min="7438" max="7438" width="10" style="2588" customWidth="1"/>
    <col min="7439" max="7440" width="10.453125" style="2588" bestFit="1" customWidth="1"/>
    <col min="7441" max="7441" width="10" style="2588" customWidth="1"/>
    <col min="7442" max="7442" width="10.08984375" style="2588" customWidth="1"/>
    <col min="7443" max="7443" width="10" style="2588" customWidth="1"/>
    <col min="7444" max="7444" width="26.08984375" style="2588" customWidth="1"/>
    <col min="7445" max="7680" width="8.90625" style="2588"/>
    <col min="7681" max="7681" width="9.453125" style="2588" customWidth="1"/>
    <col min="7682" max="7682" width="8.90625" style="2588"/>
    <col min="7683" max="7685" width="12.90625" style="2588" customWidth="1"/>
    <col min="7686" max="7686" width="47.453125" style="2588" customWidth="1"/>
    <col min="7687" max="7687" width="13" style="2588" customWidth="1"/>
    <col min="7688" max="7689" width="8.90625" style="2588"/>
    <col min="7690" max="7690" width="5.7265625" style="2588" customWidth="1"/>
    <col min="7691" max="7691" width="11.7265625" style="2588" customWidth="1"/>
    <col min="7692" max="7693" width="10.7265625" style="2588" customWidth="1"/>
    <col min="7694" max="7694" width="10" style="2588" customWidth="1"/>
    <col min="7695" max="7696" width="10.453125" style="2588" bestFit="1" customWidth="1"/>
    <col min="7697" max="7697" width="10" style="2588" customWidth="1"/>
    <col min="7698" max="7698" width="10.08984375" style="2588" customWidth="1"/>
    <col min="7699" max="7699" width="10" style="2588" customWidth="1"/>
    <col min="7700" max="7700" width="26.08984375" style="2588" customWidth="1"/>
    <col min="7701" max="7936" width="8.90625" style="2588"/>
    <col min="7937" max="7937" width="9.453125" style="2588" customWidth="1"/>
    <col min="7938" max="7938" width="8.90625" style="2588"/>
    <col min="7939" max="7941" width="12.90625" style="2588" customWidth="1"/>
    <col min="7942" max="7942" width="47.453125" style="2588" customWidth="1"/>
    <col min="7943" max="7943" width="13" style="2588" customWidth="1"/>
    <col min="7944" max="7945" width="8.90625" style="2588"/>
    <col min="7946" max="7946" width="5.7265625" style="2588" customWidth="1"/>
    <col min="7947" max="7947" width="11.7265625" style="2588" customWidth="1"/>
    <col min="7948" max="7949" width="10.7265625" style="2588" customWidth="1"/>
    <col min="7950" max="7950" width="10" style="2588" customWidth="1"/>
    <col min="7951" max="7952" width="10.453125" style="2588" bestFit="1" customWidth="1"/>
    <col min="7953" max="7953" width="10" style="2588" customWidth="1"/>
    <col min="7954" max="7954" width="10.08984375" style="2588" customWidth="1"/>
    <col min="7955" max="7955" width="10" style="2588" customWidth="1"/>
    <col min="7956" max="7956" width="26.08984375" style="2588" customWidth="1"/>
    <col min="7957" max="8192" width="8.90625" style="2588"/>
    <col min="8193" max="8193" width="9.453125" style="2588" customWidth="1"/>
    <col min="8194" max="8194" width="8.90625" style="2588"/>
    <col min="8195" max="8197" width="12.90625" style="2588" customWidth="1"/>
    <col min="8198" max="8198" width="47.453125" style="2588" customWidth="1"/>
    <col min="8199" max="8199" width="13" style="2588" customWidth="1"/>
    <col min="8200" max="8201" width="8.90625" style="2588"/>
    <col min="8202" max="8202" width="5.7265625" style="2588" customWidth="1"/>
    <col min="8203" max="8203" width="11.7265625" style="2588" customWidth="1"/>
    <col min="8204" max="8205" width="10.7265625" style="2588" customWidth="1"/>
    <col min="8206" max="8206" width="10" style="2588" customWidth="1"/>
    <col min="8207" max="8208" width="10.453125" style="2588" bestFit="1" customWidth="1"/>
    <col min="8209" max="8209" width="10" style="2588" customWidth="1"/>
    <col min="8210" max="8210" width="10.08984375" style="2588" customWidth="1"/>
    <col min="8211" max="8211" width="10" style="2588" customWidth="1"/>
    <col min="8212" max="8212" width="26.08984375" style="2588" customWidth="1"/>
    <col min="8213" max="8448" width="8.90625" style="2588"/>
    <col min="8449" max="8449" width="9.453125" style="2588" customWidth="1"/>
    <col min="8450" max="8450" width="8.90625" style="2588"/>
    <col min="8451" max="8453" width="12.90625" style="2588" customWidth="1"/>
    <col min="8454" max="8454" width="47.453125" style="2588" customWidth="1"/>
    <col min="8455" max="8455" width="13" style="2588" customWidth="1"/>
    <col min="8456" max="8457" width="8.90625" style="2588"/>
    <col min="8458" max="8458" width="5.7265625" style="2588" customWidth="1"/>
    <col min="8459" max="8459" width="11.7265625" style="2588" customWidth="1"/>
    <col min="8460" max="8461" width="10.7265625" style="2588" customWidth="1"/>
    <col min="8462" max="8462" width="10" style="2588" customWidth="1"/>
    <col min="8463" max="8464" width="10.453125" style="2588" bestFit="1" customWidth="1"/>
    <col min="8465" max="8465" width="10" style="2588" customWidth="1"/>
    <col min="8466" max="8466" width="10.08984375" style="2588" customWidth="1"/>
    <col min="8467" max="8467" width="10" style="2588" customWidth="1"/>
    <col min="8468" max="8468" width="26.08984375" style="2588" customWidth="1"/>
    <col min="8469" max="8704" width="8.90625" style="2588"/>
    <col min="8705" max="8705" width="9.453125" style="2588" customWidth="1"/>
    <col min="8706" max="8706" width="8.90625" style="2588"/>
    <col min="8707" max="8709" width="12.90625" style="2588" customWidth="1"/>
    <col min="8710" max="8710" width="47.453125" style="2588" customWidth="1"/>
    <col min="8711" max="8711" width="13" style="2588" customWidth="1"/>
    <col min="8712" max="8713" width="8.90625" style="2588"/>
    <col min="8714" max="8714" width="5.7265625" style="2588" customWidth="1"/>
    <col min="8715" max="8715" width="11.7265625" style="2588" customWidth="1"/>
    <col min="8716" max="8717" width="10.7265625" style="2588" customWidth="1"/>
    <col min="8718" max="8718" width="10" style="2588" customWidth="1"/>
    <col min="8719" max="8720" width="10.453125" style="2588" bestFit="1" customWidth="1"/>
    <col min="8721" max="8721" width="10" style="2588" customWidth="1"/>
    <col min="8722" max="8722" width="10.08984375" style="2588" customWidth="1"/>
    <col min="8723" max="8723" width="10" style="2588" customWidth="1"/>
    <col min="8724" max="8724" width="26.08984375" style="2588" customWidth="1"/>
    <col min="8725" max="8960" width="8.90625" style="2588"/>
    <col min="8961" max="8961" width="9.453125" style="2588" customWidth="1"/>
    <col min="8962" max="8962" width="8.90625" style="2588"/>
    <col min="8963" max="8965" width="12.90625" style="2588" customWidth="1"/>
    <col min="8966" max="8966" width="47.453125" style="2588" customWidth="1"/>
    <col min="8967" max="8967" width="13" style="2588" customWidth="1"/>
    <col min="8968" max="8969" width="8.90625" style="2588"/>
    <col min="8970" max="8970" width="5.7265625" style="2588" customWidth="1"/>
    <col min="8971" max="8971" width="11.7265625" style="2588" customWidth="1"/>
    <col min="8972" max="8973" width="10.7265625" style="2588" customWidth="1"/>
    <col min="8974" max="8974" width="10" style="2588" customWidth="1"/>
    <col min="8975" max="8976" width="10.453125" style="2588" bestFit="1" customWidth="1"/>
    <col min="8977" max="8977" width="10" style="2588" customWidth="1"/>
    <col min="8978" max="8978" width="10.08984375" style="2588" customWidth="1"/>
    <col min="8979" max="8979" width="10" style="2588" customWidth="1"/>
    <col min="8980" max="8980" width="26.08984375" style="2588" customWidth="1"/>
    <col min="8981" max="9216" width="8.90625" style="2588"/>
    <col min="9217" max="9217" width="9.453125" style="2588" customWidth="1"/>
    <col min="9218" max="9218" width="8.90625" style="2588"/>
    <col min="9219" max="9221" width="12.90625" style="2588" customWidth="1"/>
    <col min="9222" max="9222" width="47.453125" style="2588" customWidth="1"/>
    <col min="9223" max="9223" width="13" style="2588" customWidth="1"/>
    <col min="9224" max="9225" width="8.90625" style="2588"/>
    <col min="9226" max="9226" width="5.7265625" style="2588" customWidth="1"/>
    <col min="9227" max="9227" width="11.7265625" style="2588" customWidth="1"/>
    <col min="9228" max="9229" width="10.7265625" style="2588" customWidth="1"/>
    <col min="9230" max="9230" width="10" style="2588" customWidth="1"/>
    <col min="9231" max="9232" width="10.453125" style="2588" bestFit="1" customWidth="1"/>
    <col min="9233" max="9233" width="10" style="2588" customWidth="1"/>
    <col min="9234" max="9234" width="10.08984375" style="2588" customWidth="1"/>
    <col min="9235" max="9235" width="10" style="2588" customWidth="1"/>
    <col min="9236" max="9236" width="26.08984375" style="2588" customWidth="1"/>
    <col min="9237" max="9472" width="8.90625" style="2588"/>
    <col min="9473" max="9473" width="9.453125" style="2588" customWidth="1"/>
    <col min="9474" max="9474" width="8.90625" style="2588"/>
    <col min="9475" max="9477" width="12.90625" style="2588" customWidth="1"/>
    <col min="9478" max="9478" width="47.453125" style="2588" customWidth="1"/>
    <col min="9479" max="9479" width="13" style="2588" customWidth="1"/>
    <col min="9480" max="9481" width="8.90625" style="2588"/>
    <col min="9482" max="9482" width="5.7265625" style="2588" customWidth="1"/>
    <col min="9483" max="9483" width="11.7265625" style="2588" customWidth="1"/>
    <col min="9484" max="9485" width="10.7265625" style="2588" customWidth="1"/>
    <col min="9486" max="9486" width="10" style="2588" customWidth="1"/>
    <col min="9487" max="9488" width="10.453125" style="2588" bestFit="1" customWidth="1"/>
    <col min="9489" max="9489" width="10" style="2588" customWidth="1"/>
    <col min="9490" max="9490" width="10.08984375" style="2588" customWidth="1"/>
    <col min="9491" max="9491" width="10" style="2588" customWidth="1"/>
    <col min="9492" max="9492" width="26.08984375" style="2588" customWidth="1"/>
    <col min="9493" max="9728" width="8.90625" style="2588"/>
    <col min="9729" max="9729" width="9.453125" style="2588" customWidth="1"/>
    <col min="9730" max="9730" width="8.90625" style="2588"/>
    <col min="9731" max="9733" width="12.90625" style="2588" customWidth="1"/>
    <col min="9734" max="9734" width="47.453125" style="2588" customWidth="1"/>
    <col min="9735" max="9735" width="13" style="2588" customWidth="1"/>
    <col min="9736" max="9737" width="8.90625" style="2588"/>
    <col min="9738" max="9738" width="5.7265625" style="2588" customWidth="1"/>
    <col min="9739" max="9739" width="11.7265625" style="2588" customWidth="1"/>
    <col min="9740" max="9741" width="10.7265625" style="2588" customWidth="1"/>
    <col min="9742" max="9742" width="10" style="2588" customWidth="1"/>
    <col min="9743" max="9744" width="10.453125" style="2588" bestFit="1" customWidth="1"/>
    <col min="9745" max="9745" width="10" style="2588" customWidth="1"/>
    <col min="9746" max="9746" width="10.08984375" style="2588" customWidth="1"/>
    <col min="9747" max="9747" width="10" style="2588" customWidth="1"/>
    <col min="9748" max="9748" width="26.08984375" style="2588" customWidth="1"/>
    <col min="9749" max="9984" width="8.90625" style="2588"/>
    <col min="9985" max="9985" width="9.453125" style="2588" customWidth="1"/>
    <col min="9986" max="9986" width="8.90625" style="2588"/>
    <col min="9987" max="9989" width="12.90625" style="2588" customWidth="1"/>
    <col min="9990" max="9990" width="47.453125" style="2588" customWidth="1"/>
    <col min="9991" max="9991" width="13" style="2588" customWidth="1"/>
    <col min="9992" max="9993" width="8.90625" style="2588"/>
    <col min="9994" max="9994" width="5.7265625" style="2588" customWidth="1"/>
    <col min="9995" max="9995" width="11.7265625" style="2588" customWidth="1"/>
    <col min="9996" max="9997" width="10.7265625" style="2588" customWidth="1"/>
    <col min="9998" max="9998" width="10" style="2588" customWidth="1"/>
    <col min="9999" max="10000" width="10.453125" style="2588" bestFit="1" customWidth="1"/>
    <col min="10001" max="10001" width="10" style="2588" customWidth="1"/>
    <col min="10002" max="10002" width="10.08984375" style="2588" customWidth="1"/>
    <col min="10003" max="10003" width="10" style="2588" customWidth="1"/>
    <col min="10004" max="10004" width="26.08984375" style="2588" customWidth="1"/>
    <col min="10005" max="10240" width="8.90625" style="2588"/>
    <col min="10241" max="10241" width="9.453125" style="2588" customWidth="1"/>
    <col min="10242" max="10242" width="8.90625" style="2588"/>
    <col min="10243" max="10245" width="12.90625" style="2588" customWidth="1"/>
    <col min="10246" max="10246" width="47.453125" style="2588" customWidth="1"/>
    <col min="10247" max="10247" width="13" style="2588" customWidth="1"/>
    <col min="10248" max="10249" width="8.90625" style="2588"/>
    <col min="10250" max="10250" width="5.7265625" style="2588" customWidth="1"/>
    <col min="10251" max="10251" width="11.7265625" style="2588" customWidth="1"/>
    <col min="10252" max="10253" width="10.7265625" style="2588" customWidth="1"/>
    <col min="10254" max="10254" width="10" style="2588" customWidth="1"/>
    <col min="10255" max="10256" width="10.453125" style="2588" bestFit="1" customWidth="1"/>
    <col min="10257" max="10257" width="10" style="2588" customWidth="1"/>
    <col min="10258" max="10258" width="10.08984375" style="2588" customWidth="1"/>
    <col min="10259" max="10259" width="10" style="2588" customWidth="1"/>
    <col min="10260" max="10260" width="26.08984375" style="2588" customWidth="1"/>
    <col min="10261" max="10496" width="8.90625" style="2588"/>
    <col min="10497" max="10497" width="9.453125" style="2588" customWidth="1"/>
    <col min="10498" max="10498" width="8.90625" style="2588"/>
    <col min="10499" max="10501" width="12.90625" style="2588" customWidth="1"/>
    <col min="10502" max="10502" width="47.453125" style="2588" customWidth="1"/>
    <col min="10503" max="10503" width="13" style="2588" customWidth="1"/>
    <col min="10504" max="10505" width="8.90625" style="2588"/>
    <col min="10506" max="10506" width="5.7265625" style="2588" customWidth="1"/>
    <col min="10507" max="10507" width="11.7265625" style="2588" customWidth="1"/>
    <col min="10508" max="10509" width="10.7265625" style="2588" customWidth="1"/>
    <col min="10510" max="10510" width="10" style="2588" customWidth="1"/>
    <col min="10511" max="10512" width="10.453125" style="2588" bestFit="1" customWidth="1"/>
    <col min="10513" max="10513" width="10" style="2588" customWidth="1"/>
    <col min="10514" max="10514" width="10.08984375" style="2588" customWidth="1"/>
    <col min="10515" max="10515" width="10" style="2588" customWidth="1"/>
    <col min="10516" max="10516" width="26.08984375" style="2588" customWidth="1"/>
    <col min="10517" max="10752" width="8.90625" style="2588"/>
    <col min="10753" max="10753" width="9.453125" style="2588" customWidth="1"/>
    <col min="10754" max="10754" width="8.90625" style="2588"/>
    <col min="10755" max="10757" width="12.90625" style="2588" customWidth="1"/>
    <col min="10758" max="10758" width="47.453125" style="2588" customWidth="1"/>
    <col min="10759" max="10759" width="13" style="2588" customWidth="1"/>
    <col min="10760" max="10761" width="8.90625" style="2588"/>
    <col min="10762" max="10762" width="5.7265625" style="2588" customWidth="1"/>
    <col min="10763" max="10763" width="11.7265625" style="2588" customWidth="1"/>
    <col min="10764" max="10765" width="10.7265625" style="2588" customWidth="1"/>
    <col min="10766" max="10766" width="10" style="2588" customWidth="1"/>
    <col min="10767" max="10768" width="10.453125" style="2588" bestFit="1" customWidth="1"/>
    <col min="10769" max="10769" width="10" style="2588" customWidth="1"/>
    <col min="10770" max="10770" width="10.08984375" style="2588" customWidth="1"/>
    <col min="10771" max="10771" width="10" style="2588" customWidth="1"/>
    <col min="10772" max="10772" width="26.08984375" style="2588" customWidth="1"/>
    <col min="10773" max="11008" width="8.90625" style="2588"/>
    <col min="11009" max="11009" width="9.453125" style="2588" customWidth="1"/>
    <col min="11010" max="11010" width="8.90625" style="2588"/>
    <col min="11011" max="11013" width="12.90625" style="2588" customWidth="1"/>
    <col min="11014" max="11014" width="47.453125" style="2588" customWidth="1"/>
    <col min="11015" max="11015" width="13" style="2588" customWidth="1"/>
    <col min="11016" max="11017" width="8.90625" style="2588"/>
    <col min="11018" max="11018" width="5.7265625" style="2588" customWidth="1"/>
    <col min="11019" max="11019" width="11.7265625" style="2588" customWidth="1"/>
    <col min="11020" max="11021" width="10.7265625" style="2588" customWidth="1"/>
    <col min="11022" max="11022" width="10" style="2588" customWidth="1"/>
    <col min="11023" max="11024" width="10.453125" style="2588" bestFit="1" customWidth="1"/>
    <col min="11025" max="11025" width="10" style="2588" customWidth="1"/>
    <col min="11026" max="11026" width="10.08984375" style="2588" customWidth="1"/>
    <col min="11027" max="11027" width="10" style="2588" customWidth="1"/>
    <col min="11028" max="11028" width="26.08984375" style="2588" customWidth="1"/>
    <col min="11029" max="11264" width="8.90625" style="2588"/>
    <col min="11265" max="11265" width="9.453125" style="2588" customWidth="1"/>
    <col min="11266" max="11266" width="8.90625" style="2588"/>
    <col min="11267" max="11269" width="12.90625" style="2588" customWidth="1"/>
    <col min="11270" max="11270" width="47.453125" style="2588" customWidth="1"/>
    <col min="11271" max="11271" width="13" style="2588" customWidth="1"/>
    <col min="11272" max="11273" width="8.90625" style="2588"/>
    <col min="11274" max="11274" width="5.7265625" style="2588" customWidth="1"/>
    <col min="11275" max="11275" width="11.7265625" style="2588" customWidth="1"/>
    <col min="11276" max="11277" width="10.7265625" style="2588" customWidth="1"/>
    <col min="11278" max="11278" width="10" style="2588" customWidth="1"/>
    <col min="11279" max="11280" width="10.453125" style="2588" bestFit="1" customWidth="1"/>
    <col min="11281" max="11281" width="10" style="2588" customWidth="1"/>
    <col min="11282" max="11282" width="10.08984375" style="2588" customWidth="1"/>
    <col min="11283" max="11283" width="10" style="2588" customWidth="1"/>
    <col min="11284" max="11284" width="26.08984375" style="2588" customWidth="1"/>
    <col min="11285" max="11520" width="8.90625" style="2588"/>
    <col min="11521" max="11521" width="9.453125" style="2588" customWidth="1"/>
    <col min="11522" max="11522" width="8.90625" style="2588"/>
    <col min="11523" max="11525" width="12.90625" style="2588" customWidth="1"/>
    <col min="11526" max="11526" width="47.453125" style="2588" customWidth="1"/>
    <col min="11527" max="11527" width="13" style="2588" customWidth="1"/>
    <col min="11528" max="11529" width="8.90625" style="2588"/>
    <col min="11530" max="11530" width="5.7265625" style="2588" customWidth="1"/>
    <col min="11531" max="11531" width="11.7265625" style="2588" customWidth="1"/>
    <col min="11532" max="11533" width="10.7265625" style="2588" customWidth="1"/>
    <col min="11534" max="11534" width="10" style="2588" customWidth="1"/>
    <col min="11535" max="11536" width="10.453125" style="2588" bestFit="1" customWidth="1"/>
    <col min="11537" max="11537" width="10" style="2588" customWidth="1"/>
    <col min="11538" max="11538" width="10.08984375" style="2588" customWidth="1"/>
    <col min="11539" max="11539" width="10" style="2588" customWidth="1"/>
    <col min="11540" max="11540" width="26.08984375" style="2588" customWidth="1"/>
    <col min="11541" max="11776" width="8.90625" style="2588"/>
    <col min="11777" max="11777" width="9.453125" style="2588" customWidth="1"/>
    <col min="11778" max="11778" width="8.90625" style="2588"/>
    <col min="11779" max="11781" width="12.90625" style="2588" customWidth="1"/>
    <col min="11782" max="11782" width="47.453125" style="2588" customWidth="1"/>
    <col min="11783" max="11783" width="13" style="2588" customWidth="1"/>
    <col min="11784" max="11785" width="8.90625" style="2588"/>
    <col min="11786" max="11786" width="5.7265625" style="2588" customWidth="1"/>
    <col min="11787" max="11787" width="11.7265625" style="2588" customWidth="1"/>
    <col min="11788" max="11789" width="10.7265625" style="2588" customWidth="1"/>
    <col min="11790" max="11790" width="10" style="2588" customWidth="1"/>
    <col min="11791" max="11792" width="10.453125" style="2588" bestFit="1" customWidth="1"/>
    <col min="11793" max="11793" width="10" style="2588" customWidth="1"/>
    <col min="11794" max="11794" width="10.08984375" style="2588" customWidth="1"/>
    <col min="11795" max="11795" width="10" style="2588" customWidth="1"/>
    <col min="11796" max="11796" width="26.08984375" style="2588" customWidth="1"/>
    <col min="11797" max="12032" width="8.90625" style="2588"/>
    <col min="12033" max="12033" width="9.453125" style="2588" customWidth="1"/>
    <col min="12034" max="12034" width="8.90625" style="2588"/>
    <col min="12035" max="12037" width="12.90625" style="2588" customWidth="1"/>
    <col min="12038" max="12038" width="47.453125" style="2588" customWidth="1"/>
    <col min="12039" max="12039" width="13" style="2588" customWidth="1"/>
    <col min="12040" max="12041" width="8.90625" style="2588"/>
    <col min="12042" max="12042" width="5.7265625" style="2588" customWidth="1"/>
    <col min="12043" max="12043" width="11.7265625" style="2588" customWidth="1"/>
    <col min="12044" max="12045" width="10.7265625" style="2588" customWidth="1"/>
    <col min="12046" max="12046" width="10" style="2588" customWidth="1"/>
    <col min="12047" max="12048" width="10.453125" style="2588" bestFit="1" customWidth="1"/>
    <col min="12049" max="12049" width="10" style="2588" customWidth="1"/>
    <col min="12050" max="12050" width="10.08984375" style="2588" customWidth="1"/>
    <col min="12051" max="12051" width="10" style="2588" customWidth="1"/>
    <col min="12052" max="12052" width="26.08984375" style="2588" customWidth="1"/>
    <col min="12053" max="12288" width="8.90625" style="2588"/>
    <col min="12289" max="12289" width="9.453125" style="2588" customWidth="1"/>
    <col min="12290" max="12290" width="8.90625" style="2588"/>
    <col min="12291" max="12293" width="12.90625" style="2588" customWidth="1"/>
    <col min="12294" max="12294" width="47.453125" style="2588" customWidth="1"/>
    <col min="12295" max="12295" width="13" style="2588" customWidth="1"/>
    <col min="12296" max="12297" width="8.90625" style="2588"/>
    <col min="12298" max="12298" width="5.7265625" style="2588" customWidth="1"/>
    <col min="12299" max="12299" width="11.7265625" style="2588" customWidth="1"/>
    <col min="12300" max="12301" width="10.7265625" style="2588" customWidth="1"/>
    <col min="12302" max="12302" width="10" style="2588" customWidth="1"/>
    <col min="12303" max="12304" width="10.453125" style="2588" bestFit="1" customWidth="1"/>
    <col min="12305" max="12305" width="10" style="2588" customWidth="1"/>
    <col min="12306" max="12306" width="10.08984375" style="2588" customWidth="1"/>
    <col min="12307" max="12307" width="10" style="2588" customWidth="1"/>
    <col min="12308" max="12308" width="26.08984375" style="2588" customWidth="1"/>
    <col min="12309" max="12544" width="8.90625" style="2588"/>
    <col min="12545" max="12545" width="9.453125" style="2588" customWidth="1"/>
    <col min="12546" max="12546" width="8.90625" style="2588"/>
    <col min="12547" max="12549" width="12.90625" style="2588" customWidth="1"/>
    <col min="12550" max="12550" width="47.453125" style="2588" customWidth="1"/>
    <col min="12551" max="12551" width="13" style="2588" customWidth="1"/>
    <col min="12552" max="12553" width="8.90625" style="2588"/>
    <col min="12554" max="12554" width="5.7265625" style="2588" customWidth="1"/>
    <col min="12555" max="12555" width="11.7265625" style="2588" customWidth="1"/>
    <col min="12556" max="12557" width="10.7265625" style="2588" customWidth="1"/>
    <col min="12558" max="12558" width="10" style="2588" customWidth="1"/>
    <col min="12559" max="12560" width="10.453125" style="2588" bestFit="1" customWidth="1"/>
    <col min="12561" max="12561" width="10" style="2588" customWidth="1"/>
    <col min="12562" max="12562" width="10.08984375" style="2588" customWidth="1"/>
    <col min="12563" max="12563" width="10" style="2588" customWidth="1"/>
    <col min="12564" max="12564" width="26.08984375" style="2588" customWidth="1"/>
    <col min="12565" max="12800" width="8.90625" style="2588"/>
    <col min="12801" max="12801" width="9.453125" style="2588" customWidth="1"/>
    <col min="12802" max="12802" width="8.90625" style="2588"/>
    <col min="12803" max="12805" width="12.90625" style="2588" customWidth="1"/>
    <col min="12806" max="12806" width="47.453125" style="2588" customWidth="1"/>
    <col min="12807" max="12807" width="13" style="2588" customWidth="1"/>
    <col min="12808" max="12809" width="8.90625" style="2588"/>
    <col min="12810" max="12810" width="5.7265625" style="2588" customWidth="1"/>
    <col min="12811" max="12811" width="11.7265625" style="2588" customWidth="1"/>
    <col min="12812" max="12813" width="10.7265625" style="2588" customWidth="1"/>
    <col min="12814" max="12814" width="10" style="2588" customWidth="1"/>
    <col min="12815" max="12816" width="10.453125" style="2588" bestFit="1" customWidth="1"/>
    <col min="12817" max="12817" width="10" style="2588" customWidth="1"/>
    <col min="12818" max="12818" width="10.08984375" style="2588" customWidth="1"/>
    <col min="12819" max="12819" width="10" style="2588" customWidth="1"/>
    <col min="12820" max="12820" width="26.08984375" style="2588" customWidth="1"/>
    <col min="12821" max="13056" width="8.90625" style="2588"/>
    <col min="13057" max="13057" width="9.453125" style="2588" customWidth="1"/>
    <col min="13058" max="13058" width="8.90625" style="2588"/>
    <col min="13059" max="13061" width="12.90625" style="2588" customWidth="1"/>
    <col min="13062" max="13062" width="47.453125" style="2588" customWidth="1"/>
    <col min="13063" max="13063" width="13" style="2588" customWidth="1"/>
    <col min="13064" max="13065" width="8.90625" style="2588"/>
    <col min="13066" max="13066" width="5.7265625" style="2588" customWidth="1"/>
    <col min="13067" max="13067" width="11.7265625" style="2588" customWidth="1"/>
    <col min="13068" max="13069" width="10.7265625" style="2588" customWidth="1"/>
    <col min="13070" max="13070" width="10" style="2588" customWidth="1"/>
    <col min="13071" max="13072" width="10.453125" style="2588" bestFit="1" customWidth="1"/>
    <col min="13073" max="13073" width="10" style="2588" customWidth="1"/>
    <col min="13074" max="13074" width="10.08984375" style="2588" customWidth="1"/>
    <col min="13075" max="13075" width="10" style="2588" customWidth="1"/>
    <col min="13076" max="13076" width="26.08984375" style="2588" customWidth="1"/>
    <col min="13077" max="13312" width="8.90625" style="2588"/>
    <col min="13313" max="13313" width="9.453125" style="2588" customWidth="1"/>
    <col min="13314" max="13314" width="8.90625" style="2588"/>
    <col min="13315" max="13317" width="12.90625" style="2588" customWidth="1"/>
    <col min="13318" max="13318" width="47.453125" style="2588" customWidth="1"/>
    <col min="13319" max="13319" width="13" style="2588" customWidth="1"/>
    <col min="13320" max="13321" width="8.90625" style="2588"/>
    <col min="13322" max="13322" width="5.7265625" style="2588" customWidth="1"/>
    <col min="13323" max="13323" width="11.7265625" style="2588" customWidth="1"/>
    <col min="13324" max="13325" width="10.7265625" style="2588" customWidth="1"/>
    <col min="13326" max="13326" width="10" style="2588" customWidth="1"/>
    <col min="13327" max="13328" width="10.453125" style="2588" bestFit="1" customWidth="1"/>
    <col min="13329" max="13329" width="10" style="2588" customWidth="1"/>
    <col min="13330" max="13330" width="10.08984375" style="2588" customWidth="1"/>
    <col min="13331" max="13331" width="10" style="2588" customWidth="1"/>
    <col min="13332" max="13332" width="26.08984375" style="2588" customWidth="1"/>
    <col min="13333" max="13568" width="8.90625" style="2588"/>
    <col min="13569" max="13569" width="9.453125" style="2588" customWidth="1"/>
    <col min="13570" max="13570" width="8.90625" style="2588"/>
    <col min="13571" max="13573" width="12.90625" style="2588" customWidth="1"/>
    <col min="13574" max="13574" width="47.453125" style="2588" customWidth="1"/>
    <col min="13575" max="13575" width="13" style="2588" customWidth="1"/>
    <col min="13576" max="13577" width="8.90625" style="2588"/>
    <col min="13578" max="13578" width="5.7265625" style="2588" customWidth="1"/>
    <col min="13579" max="13579" width="11.7265625" style="2588" customWidth="1"/>
    <col min="13580" max="13581" width="10.7265625" style="2588" customWidth="1"/>
    <col min="13582" max="13582" width="10" style="2588" customWidth="1"/>
    <col min="13583" max="13584" width="10.453125" style="2588" bestFit="1" customWidth="1"/>
    <col min="13585" max="13585" width="10" style="2588" customWidth="1"/>
    <col min="13586" max="13586" width="10.08984375" style="2588" customWidth="1"/>
    <col min="13587" max="13587" width="10" style="2588" customWidth="1"/>
    <col min="13588" max="13588" width="26.08984375" style="2588" customWidth="1"/>
    <col min="13589" max="13824" width="8.90625" style="2588"/>
    <col min="13825" max="13825" width="9.453125" style="2588" customWidth="1"/>
    <col min="13826" max="13826" width="8.90625" style="2588"/>
    <col min="13827" max="13829" width="12.90625" style="2588" customWidth="1"/>
    <col min="13830" max="13830" width="47.453125" style="2588" customWidth="1"/>
    <col min="13831" max="13831" width="13" style="2588" customWidth="1"/>
    <col min="13832" max="13833" width="8.90625" style="2588"/>
    <col min="13834" max="13834" width="5.7265625" style="2588" customWidth="1"/>
    <col min="13835" max="13835" width="11.7265625" style="2588" customWidth="1"/>
    <col min="13836" max="13837" width="10.7265625" style="2588" customWidth="1"/>
    <col min="13838" max="13838" width="10" style="2588" customWidth="1"/>
    <col min="13839" max="13840" width="10.453125" style="2588" bestFit="1" customWidth="1"/>
    <col min="13841" max="13841" width="10" style="2588" customWidth="1"/>
    <col min="13842" max="13842" width="10.08984375" style="2588" customWidth="1"/>
    <col min="13843" max="13843" width="10" style="2588" customWidth="1"/>
    <col min="13844" max="13844" width="26.08984375" style="2588" customWidth="1"/>
    <col min="13845" max="14080" width="8.90625" style="2588"/>
    <col min="14081" max="14081" width="9.453125" style="2588" customWidth="1"/>
    <col min="14082" max="14082" width="8.90625" style="2588"/>
    <col min="14083" max="14085" width="12.90625" style="2588" customWidth="1"/>
    <col min="14086" max="14086" width="47.453125" style="2588" customWidth="1"/>
    <col min="14087" max="14087" width="13" style="2588" customWidth="1"/>
    <col min="14088" max="14089" width="8.90625" style="2588"/>
    <col min="14090" max="14090" width="5.7265625" style="2588" customWidth="1"/>
    <col min="14091" max="14091" width="11.7265625" style="2588" customWidth="1"/>
    <col min="14092" max="14093" width="10.7265625" style="2588" customWidth="1"/>
    <col min="14094" max="14094" width="10" style="2588" customWidth="1"/>
    <col min="14095" max="14096" width="10.453125" style="2588" bestFit="1" customWidth="1"/>
    <col min="14097" max="14097" width="10" style="2588" customWidth="1"/>
    <col min="14098" max="14098" width="10.08984375" style="2588" customWidth="1"/>
    <col min="14099" max="14099" width="10" style="2588" customWidth="1"/>
    <col min="14100" max="14100" width="26.08984375" style="2588" customWidth="1"/>
    <col min="14101" max="14336" width="8.90625" style="2588"/>
    <col min="14337" max="14337" width="9.453125" style="2588" customWidth="1"/>
    <col min="14338" max="14338" width="8.90625" style="2588"/>
    <col min="14339" max="14341" width="12.90625" style="2588" customWidth="1"/>
    <col min="14342" max="14342" width="47.453125" style="2588" customWidth="1"/>
    <col min="14343" max="14343" width="13" style="2588" customWidth="1"/>
    <col min="14344" max="14345" width="8.90625" style="2588"/>
    <col min="14346" max="14346" width="5.7265625" style="2588" customWidth="1"/>
    <col min="14347" max="14347" width="11.7265625" style="2588" customWidth="1"/>
    <col min="14348" max="14349" width="10.7265625" style="2588" customWidth="1"/>
    <col min="14350" max="14350" width="10" style="2588" customWidth="1"/>
    <col min="14351" max="14352" width="10.453125" style="2588" bestFit="1" customWidth="1"/>
    <col min="14353" max="14353" width="10" style="2588" customWidth="1"/>
    <col min="14354" max="14354" width="10.08984375" style="2588" customWidth="1"/>
    <col min="14355" max="14355" width="10" style="2588" customWidth="1"/>
    <col min="14356" max="14356" width="26.08984375" style="2588" customWidth="1"/>
    <col min="14357" max="14592" width="8.90625" style="2588"/>
    <col min="14593" max="14593" width="9.453125" style="2588" customWidth="1"/>
    <col min="14594" max="14594" width="8.90625" style="2588"/>
    <col min="14595" max="14597" width="12.90625" style="2588" customWidth="1"/>
    <col min="14598" max="14598" width="47.453125" style="2588" customWidth="1"/>
    <col min="14599" max="14599" width="13" style="2588" customWidth="1"/>
    <col min="14600" max="14601" width="8.90625" style="2588"/>
    <col min="14602" max="14602" width="5.7265625" style="2588" customWidth="1"/>
    <col min="14603" max="14603" width="11.7265625" style="2588" customWidth="1"/>
    <col min="14604" max="14605" width="10.7265625" style="2588" customWidth="1"/>
    <col min="14606" max="14606" width="10" style="2588" customWidth="1"/>
    <col min="14607" max="14608" width="10.453125" style="2588" bestFit="1" customWidth="1"/>
    <col min="14609" max="14609" width="10" style="2588" customWidth="1"/>
    <col min="14610" max="14610" width="10.08984375" style="2588" customWidth="1"/>
    <col min="14611" max="14611" width="10" style="2588" customWidth="1"/>
    <col min="14612" max="14612" width="26.08984375" style="2588" customWidth="1"/>
    <col min="14613" max="14848" width="8.90625" style="2588"/>
    <col min="14849" max="14849" width="9.453125" style="2588" customWidth="1"/>
    <col min="14850" max="14850" width="8.90625" style="2588"/>
    <col min="14851" max="14853" width="12.90625" style="2588" customWidth="1"/>
    <col min="14854" max="14854" width="47.453125" style="2588" customWidth="1"/>
    <col min="14855" max="14855" width="13" style="2588" customWidth="1"/>
    <col min="14856" max="14857" width="8.90625" style="2588"/>
    <col min="14858" max="14858" width="5.7265625" style="2588" customWidth="1"/>
    <col min="14859" max="14859" width="11.7265625" style="2588" customWidth="1"/>
    <col min="14860" max="14861" width="10.7265625" style="2588" customWidth="1"/>
    <col min="14862" max="14862" width="10" style="2588" customWidth="1"/>
    <col min="14863" max="14864" width="10.453125" style="2588" bestFit="1" customWidth="1"/>
    <col min="14865" max="14865" width="10" style="2588" customWidth="1"/>
    <col min="14866" max="14866" width="10.08984375" style="2588" customWidth="1"/>
    <col min="14867" max="14867" width="10" style="2588" customWidth="1"/>
    <col min="14868" max="14868" width="26.08984375" style="2588" customWidth="1"/>
    <col min="14869" max="15104" width="8.90625" style="2588"/>
    <col min="15105" max="15105" width="9.453125" style="2588" customWidth="1"/>
    <col min="15106" max="15106" width="8.90625" style="2588"/>
    <col min="15107" max="15109" width="12.90625" style="2588" customWidth="1"/>
    <col min="15110" max="15110" width="47.453125" style="2588" customWidth="1"/>
    <col min="15111" max="15111" width="13" style="2588" customWidth="1"/>
    <col min="15112" max="15113" width="8.90625" style="2588"/>
    <col min="15114" max="15114" width="5.7265625" style="2588" customWidth="1"/>
    <col min="15115" max="15115" width="11.7265625" style="2588" customWidth="1"/>
    <col min="15116" max="15117" width="10.7265625" style="2588" customWidth="1"/>
    <col min="15118" max="15118" width="10" style="2588" customWidth="1"/>
    <col min="15119" max="15120" width="10.453125" style="2588" bestFit="1" customWidth="1"/>
    <col min="15121" max="15121" width="10" style="2588" customWidth="1"/>
    <col min="15122" max="15122" width="10.08984375" style="2588" customWidth="1"/>
    <col min="15123" max="15123" width="10" style="2588" customWidth="1"/>
    <col min="15124" max="15124" width="26.08984375" style="2588" customWidth="1"/>
    <col min="15125" max="15360" width="8.90625" style="2588"/>
    <col min="15361" max="15361" width="9.453125" style="2588" customWidth="1"/>
    <col min="15362" max="15362" width="8.90625" style="2588"/>
    <col min="15363" max="15365" width="12.90625" style="2588" customWidth="1"/>
    <col min="15366" max="15366" width="47.453125" style="2588" customWidth="1"/>
    <col min="15367" max="15367" width="13" style="2588" customWidth="1"/>
    <col min="15368" max="15369" width="8.90625" style="2588"/>
    <col min="15370" max="15370" width="5.7265625" style="2588" customWidth="1"/>
    <col min="15371" max="15371" width="11.7265625" style="2588" customWidth="1"/>
    <col min="15372" max="15373" width="10.7265625" style="2588" customWidth="1"/>
    <col min="15374" max="15374" width="10" style="2588" customWidth="1"/>
    <col min="15375" max="15376" width="10.453125" style="2588" bestFit="1" customWidth="1"/>
    <col min="15377" max="15377" width="10" style="2588" customWidth="1"/>
    <col min="15378" max="15378" width="10.08984375" style="2588" customWidth="1"/>
    <col min="15379" max="15379" width="10" style="2588" customWidth="1"/>
    <col min="15380" max="15380" width="26.08984375" style="2588" customWidth="1"/>
    <col min="15381" max="15616" width="8.90625" style="2588"/>
    <col min="15617" max="15617" width="9.453125" style="2588" customWidth="1"/>
    <col min="15618" max="15618" width="8.90625" style="2588"/>
    <col min="15619" max="15621" width="12.90625" style="2588" customWidth="1"/>
    <col min="15622" max="15622" width="47.453125" style="2588" customWidth="1"/>
    <col min="15623" max="15623" width="13" style="2588" customWidth="1"/>
    <col min="15624" max="15625" width="8.90625" style="2588"/>
    <col min="15626" max="15626" width="5.7265625" style="2588" customWidth="1"/>
    <col min="15627" max="15627" width="11.7265625" style="2588" customWidth="1"/>
    <col min="15628" max="15629" width="10.7265625" style="2588" customWidth="1"/>
    <col min="15630" max="15630" width="10" style="2588" customWidth="1"/>
    <col min="15631" max="15632" width="10.453125" style="2588" bestFit="1" customWidth="1"/>
    <col min="15633" max="15633" width="10" style="2588" customWidth="1"/>
    <col min="15634" max="15634" width="10.08984375" style="2588" customWidth="1"/>
    <col min="15635" max="15635" width="10" style="2588" customWidth="1"/>
    <col min="15636" max="15636" width="26.08984375" style="2588" customWidth="1"/>
    <col min="15637" max="15872" width="8.90625" style="2588"/>
    <col min="15873" max="15873" width="9.453125" style="2588" customWidth="1"/>
    <col min="15874" max="15874" width="8.90625" style="2588"/>
    <col min="15875" max="15877" width="12.90625" style="2588" customWidth="1"/>
    <col min="15878" max="15878" width="47.453125" style="2588" customWidth="1"/>
    <col min="15879" max="15879" width="13" style="2588" customWidth="1"/>
    <col min="15880" max="15881" width="8.90625" style="2588"/>
    <col min="15882" max="15882" width="5.7265625" style="2588" customWidth="1"/>
    <col min="15883" max="15883" width="11.7265625" style="2588" customWidth="1"/>
    <col min="15884" max="15885" width="10.7265625" style="2588" customWidth="1"/>
    <col min="15886" max="15886" width="10" style="2588" customWidth="1"/>
    <col min="15887" max="15888" width="10.453125" style="2588" bestFit="1" customWidth="1"/>
    <col min="15889" max="15889" width="10" style="2588" customWidth="1"/>
    <col min="15890" max="15890" width="10.08984375" style="2588" customWidth="1"/>
    <col min="15891" max="15891" width="10" style="2588" customWidth="1"/>
    <col min="15892" max="15892" width="26.08984375" style="2588" customWidth="1"/>
    <col min="15893" max="16128" width="8.90625" style="2588"/>
    <col min="16129" max="16129" width="9.453125" style="2588" customWidth="1"/>
    <col min="16130" max="16130" width="8.90625" style="2588"/>
    <col min="16131" max="16133" width="12.90625" style="2588" customWidth="1"/>
    <col min="16134" max="16134" width="47.453125" style="2588" customWidth="1"/>
    <col min="16135" max="16135" width="13" style="2588" customWidth="1"/>
    <col min="16136" max="16137" width="8.90625" style="2588"/>
    <col min="16138" max="16138" width="5.7265625" style="2588" customWidth="1"/>
    <col min="16139" max="16139" width="11.7265625" style="2588" customWidth="1"/>
    <col min="16140" max="16141" width="10.7265625" style="2588" customWidth="1"/>
    <col min="16142" max="16142" width="10" style="2588" customWidth="1"/>
    <col min="16143" max="16144" width="10.453125" style="2588" bestFit="1" customWidth="1"/>
    <col min="16145" max="16145" width="10" style="2588" customWidth="1"/>
    <col min="16146" max="16146" width="10.08984375" style="2588" customWidth="1"/>
    <col min="16147" max="16147" width="10" style="2588" customWidth="1"/>
    <col min="16148" max="16148" width="26.08984375" style="2588" customWidth="1"/>
    <col min="16149" max="16384" width="8.90625" style="2588"/>
  </cols>
  <sheetData>
    <row r="1" spans="1:22" ht="21" customHeight="1">
      <c r="A1" s="2577" t="s">
        <v>2435</v>
      </c>
      <c r="B1" s="2578"/>
      <c r="C1" s="2590"/>
      <c r="D1" s="2590"/>
      <c r="E1" s="2579"/>
      <c r="F1" s="2580"/>
      <c r="G1" s="2581"/>
      <c r="J1" s="2584" t="s">
        <v>2314</v>
      </c>
      <c r="K1" s="2585"/>
      <c r="L1" s="2585"/>
      <c r="M1" s="2585"/>
      <c r="N1" s="2585"/>
      <c r="O1" s="2585"/>
      <c r="P1" s="2585"/>
      <c r="Q1" s="2585"/>
      <c r="R1" s="2586"/>
      <c r="S1" s="2587"/>
      <c r="T1" s="2587"/>
      <c r="U1" s="2587"/>
    </row>
    <row r="2" spans="1:22" s="2599" customFormat="1" ht="13.15" customHeight="1">
      <c r="A2" s="1293" t="s">
        <v>2315</v>
      </c>
      <c r="B2" s="2589" t="e">
        <f>IF(D2="——",C40,C40+E2)</f>
        <v>#DIV/0!</v>
      </c>
      <c r="C2" s="2590" t="s">
        <v>2316</v>
      </c>
      <c r="D2" s="3133" t="s">
        <v>3357</v>
      </c>
      <c r="E2" s="3134"/>
      <c r="F2" s="2592"/>
      <c r="G2" s="2593"/>
      <c r="H2" s="2594"/>
      <c r="I2" s="2595"/>
      <c r="J2" s="3360" t="s">
        <v>2317</v>
      </c>
      <c r="K2" s="3361"/>
      <c r="L2" s="2596" t="s">
        <v>2318</v>
      </c>
      <c r="M2" s="2596" t="s">
        <v>2319</v>
      </c>
      <c r="N2" s="2596" t="s">
        <v>2320</v>
      </c>
      <c r="O2" s="2596" t="s">
        <v>2321</v>
      </c>
      <c r="P2" s="2596" t="s">
        <v>2322</v>
      </c>
      <c r="Q2" s="2597" t="s">
        <v>2323</v>
      </c>
      <c r="R2" s="2598" t="s">
        <v>2324</v>
      </c>
      <c r="S2" s="2587"/>
      <c r="T2" s="2587"/>
      <c r="U2" s="2587"/>
      <c r="V2" s="2595"/>
    </row>
    <row r="3" spans="1:22" s="2599" customFormat="1" ht="13.15" customHeight="1">
      <c r="A3" s="2600" t="s">
        <v>2325</v>
      </c>
      <c r="B3" s="2601" t="e">
        <f>ROUND(B2*10000/B4,0)</f>
        <v>#DIV/0!</v>
      </c>
      <c r="C3" s="2590" t="s">
        <v>2326</v>
      </c>
      <c r="D3" s="2590"/>
      <c r="E3" s="2591"/>
      <c r="F3" s="2592"/>
      <c r="G3" s="2593"/>
      <c r="H3" s="2594"/>
      <c r="I3" s="2595"/>
      <c r="J3" s="3362" t="s">
        <v>2327</v>
      </c>
      <c r="K3" s="3363"/>
      <c r="L3" s="2602"/>
      <c r="M3" s="2602"/>
      <c r="N3" s="2602"/>
      <c r="O3" s="2602"/>
      <c r="P3" s="2602"/>
      <c r="Q3" s="2603"/>
      <c r="R3" s="2604">
        <f>SUM(L3:Q3)</f>
        <v>0</v>
      </c>
      <c r="S3" s="2587"/>
      <c r="T3" s="2587"/>
      <c r="U3" s="2587"/>
      <c r="V3" s="2595"/>
    </row>
    <row r="4" spans="1:22" s="2599" customFormat="1" ht="13.15" customHeight="1">
      <c r="A4" s="2605" t="s">
        <v>2328</v>
      </c>
      <c r="B4" s="2606"/>
      <c r="C4" s="2590"/>
      <c r="D4" s="2590"/>
      <c r="E4" s="2591"/>
      <c r="F4" s="2592"/>
      <c r="G4" s="2593"/>
      <c r="H4" s="2594"/>
      <c r="I4" s="2595"/>
      <c r="J4" s="3362" t="s">
        <v>2329</v>
      </c>
      <c r="K4" s="3363"/>
      <c r="L4" s="2607"/>
      <c r="M4" s="2607"/>
      <c r="N4" s="2607"/>
      <c r="O4" s="2607"/>
      <c r="P4" s="2607"/>
      <c r="Q4" s="2608"/>
      <c r="R4" s="2609">
        <f>SUM(L4:Q4)</f>
        <v>0</v>
      </c>
      <c r="S4" s="2587"/>
      <c r="T4" s="2587"/>
      <c r="U4" s="2587"/>
      <c r="V4" s="2595"/>
    </row>
    <row r="5" spans="1:22" s="2599" customFormat="1" ht="13.15" customHeight="1" thickBot="1">
      <c r="A5" s="2610" t="s">
        <v>2330</v>
      </c>
      <c r="B5" s="2611"/>
      <c r="C5" s="2590"/>
      <c r="D5" s="2612"/>
      <c r="E5" s="2592"/>
      <c r="F5" s="2592"/>
      <c r="G5" s="2593"/>
      <c r="H5" s="2594"/>
      <c r="I5" s="2595"/>
      <c r="J5" s="2613" t="s">
        <v>2331</v>
      </c>
      <c r="K5" s="2614"/>
      <c r="L5" s="2614"/>
      <c r="M5" s="2615"/>
      <c r="N5" s="2615"/>
      <c r="O5" s="2615"/>
      <c r="P5" s="2615"/>
      <c r="Q5" s="2615"/>
      <c r="R5" s="2598">
        <f>SUM(R14,R19,R24,R25,R27,R28)</f>
        <v>0</v>
      </c>
      <c r="S5" s="2587"/>
      <c r="T5" s="2587" t="s">
        <v>2332</v>
      </c>
      <c r="U5" s="2587" t="e">
        <f>ROUND(R5*10000/365/R3,1)</f>
        <v>#DIV/0!</v>
      </c>
      <c r="V5" s="2595"/>
    </row>
    <row r="6" spans="1:22" s="2599" customFormat="1" ht="13.15" customHeight="1" thickBot="1">
      <c r="A6" s="3368" t="s">
        <v>2333</v>
      </c>
      <c r="B6" s="3369"/>
      <c r="C6" s="3370"/>
      <c r="D6" s="2616"/>
      <c r="E6" s="2617"/>
      <c r="F6" s="2618"/>
      <c r="G6" s="2619"/>
      <c r="H6" s="2594"/>
      <c r="I6" s="2595"/>
      <c r="J6" s="3354">
        <v>1</v>
      </c>
      <c r="K6" s="3355" t="s">
        <v>2334</v>
      </c>
      <c r="L6" s="2620" t="s">
        <v>2335</v>
      </c>
      <c r="M6" s="2621" t="s">
        <v>2336</v>
      </c>
      <c r="N6" s="2621" t="s">
        <v>2337</v>
      </c>
      <c r="O6" s="2621" t="s">
        <v>2338</v>
      </c>
      <c r="P6" s="2621" t="s">
        <v>2339</v>
      </c>
      <c r="Q6" s="2621" t="s">
        <v>2340</v>
      </c>
      <c r="R6" s="2604" t="s">
        <v>2341</v>
      </c>
      <c r="S6" s="2587"/>
      <c r="T6" s="2587" t="s">
        <v>2342</v>
      </c>
      <c r="U6" s="2587"/>
      <c r="V6" s="2595"/>
    </row>
    <row r="7" spans="1:22" s="2599" customFormat="1" ht="13.15" customHeight="1">
      <c r="A7" s="2622" t="s">
        <v>2343</v>
      </c>
      <c r="B7" s="2623"/>
      <c r="C7" s="2624"/>
      <c r="D7" s="2625">
        <f>SUM(D9,D10,D11,D17,0)</f>
        <v>0</v>
      </c>
      <c r="E7" s="2626" t="e">
        <f>E9+E10+E11+E17</f>
        <v>#DIV/0!</v>
      </c>
      <c r="F7" s="2627"/>
      <c r="G7" s="2628"/>
      <c r="H7" s="2594"/>
      <c r="I7" s="2595"/>
      <c r="J7" s="3354"/>
      <c r="K7" s="3356"/>
      <c r="L7" s="2629" t="s">
        <v>2344</v>
      </c>
      <c r="M7" s="2630"/>
      <c r="N7" s="2606"/>
      <c r="O7" s="2631"/>
      <c r="P7" s="2631"/>
      <c r="Q7" s="2632">
        <v>365</v>
      </c>
      <c r="R7" s="2633">
        <f>ROUND(M7*N7*O7*P7*Q7/10000,0)</f>
        <v>0</v>
      </c>
      <c r="S7" s="2587"/>
      <c r="T7" s="2587" t="s">
        <v>2345</v>
      </c>
      <c r="U7" s="2587"/>
      <c r="V7" s="2595"/>
    </row>
    <row r="8" spans="1:22" s="2599" customFormat="1" ht="13.15" customHeight="1">
      <c r="A8" s="2634" t="s">
        <v>2346</v>
      </c>
      <c r="B8" s="3371" t="s">
        <v>2347</v>
      </c>
      <c r="C8" s="3372"/>
      <c r="D8" s="2635" t="s">
        <v>2348</v>
      </c>
      <c r="E8" s="2636" t="s">
        <v>2349</v>
      </c>
      <c r="F8" s="2637" t="s">
        <v>2350</v>
      </c>
      <c r="G8" s="2638"/>
      <c r="H8" s="2594"/>
      <c r="I8" s="2595"/>
      <c r="J8" s="3354"/>
      <c r="K8" s="3356"/>
      <c r="L8" s="2629" t="s">
        <v>2351</v>
      </c>
      <c r="M8" s="2630"/>
      <c r="N8" s="2606"/>
      <c r="O8" s="2631"/>
      <c r="P8" s="2631"/>
      <c r="Q8" s="2632">
        <v>365</v>
      </c>
      <c r="R8" s="2633">
        <f t="shared" ref="R8:R13" si="0">ROUND(M8*N8*O8*P8*Q8/10000,0)</f>
        <v>0</v>
      </c>
      <c r="S8" s="2587"/>
      <c r="T8" s="2587" t="s">
        <v>2352</v>
      </c>
      <c r="U8" s="2587"/>
      <c r="V8" s="2595"/>
    </row>
    <row r="9" spans="1:22" s="2599" customFormat="1" ht="13.15" customHeight="1">
      <c r="A9" s="2634">
        <v>1</v>
      </c>
      <c r="B9" s="3371" t="s">
        <v>2353</v>
      </c>
      <c r="C9" s="3372"/>
      <c r="D9" s="2635">
        <f>ROUND(D6*E9,0)</f>
        <v>0</v>
      </c>
      <c r="E9" s="2639"/>
      <c r="F9" s="2640" t="s">
        <v>2354</v>
      </c>
      <c r="G9" s="2619"/>
      <c r="H9" s="2594"/>
      <c r="I9" s="2595"/>
      <c r="J9" s="3354"/>
      <c r="K9" s="3356"/>
      <c r="L9" s="2629" t="s">
        <v>2355</v>
      </c>
      <c r="M9" s="2630"/>
      <c r="N9" s="2606"/>
      <c r="O9" s="2631"/>
      <c r="P9" s="2631"/>
      <c r="Q9" s="2632">
        <v>365</v>
      </c>
      <c r="R9" s="2633">
        <f t="shared" si="0"/>
        <v>0</v>
      </c>
      <c r="S9" s="2587"/>
      <c r="T9" s="2587"/>
      <c r="U9" s="2587"/>
      <c r="V9" s="2595"/>
    </row>
    <row r="10" spans="1:22" s="2599" customFormat="1" ht="13.15" customHeight="1">
      <c r="A10" s="2634">
        <v>2</v>
      </c>
      <c r="B10" s="3371" t="s">
        <v>2356</v>
      </c>
      <c r="C10" s="3372"/>
      <c r="D10" s="2635">
        <f>ROUND(D6*E10,0)</f>
        <v>0</v>
      </c>
      <c r="E10" s="2639"/>
      <c r="F10" s="2640" t="s">
        <v>2357</v>
      </c>
      <c r="G10" s="2619"/>
      <c r="H10" s="2594"/>
      <c r="I10" s="2595"/>
      <c r="J10" s="3354"/>
      <c r="K10" s="3356"/>
      <c r="L10" s="2629" t="s">
        <v>2358</v>
      </c>
      <c r="M10" s="2630"/>
      <c r="N10" s="2606"/>
      <c r="O10" s="2631"/>
      <c r="P10" s="2631"/>
      <c r="Q10" s="2632">
        <v>365</v>
      </c>
      <c r="R10" s="2633">
        <f t="shared" si="0"/>
        <v>0</v>
      </c>
      <c r="S10" s="2587"/>
      <c r="T10" s="2587"/>
      <c r="U10" s="2587"/>
      <c r="V10" s="2595"/>
    </row>
    <row r="11" spans="1:22" s="2599" customFormat="1" ht="13.15" customHeight="1">
      <c r="A11" s="2634">
        <v>3</v>
      </c>
      <c r="B11" s="3371" t="s">
        <v>2359</v>
      </c>
      <c r="C11" s="3372"/>
      <c r="D11" s="2635">
        <f>D12+D14+D15+D16</f>
        <v>0</v>
      </c>
      <c r="E11" s="2641" t="e">
        <f>D11/D6</f>
        <v>#DIV/0!</v>
      </c>
      <c r="F11" s="2637"/>
      <c r="G11" s="2638"/>
      <c r="H11" s="2594"/>
      <c r="I11" s="2595"/>
      <c r="J11" s="3354"/>
      <c r="K11" s="3356"/>
      <c r="L11" s="2629" t="s">
        <v>2360</v>
      </c>
      <c r="M11" s="2630"/>
      <c r="N11" s="2606"/>
      <c r="O11" s="2631"/>
      <c r="P11" s="2631"/>
      <c r="Q11" s="2632">
        <v>365</v>
      </c>
      <c r="R11" s="2633">
        <f t="shared" si="0"/>
        <v>0</v>
      </c>
      <c r="S11" s="2587"/>
      <c r="T11" s="2587"/>
      <c r="U11" s="2587"/>
      <c r="V11" s="2595"/>
    </row>
    <row r="12" spans="1:22" s="2599" customFormat="1" ht="13.15" customHeight="1">
      <c r="A12" s="2642" t="s">
        <v>2361</v>
      </c>
      <c r="B12" s="3364" t="s">
        <v>2362</v>
      </c>
      <c r="C12" s="3365"/>
      <c r="D12" s="2643">
        <f>ROUND(D13*1.2%*(1-30%),0)</f>
        <v>0</v>
      </c>
      <c r="E12" s="2644">
        <v>1.2E-2</v>
      </c>
      <c r="F12" s="2637" t="s">
        <v>2363</v>
      </c>
      <c r="G12" s="2638"/>
      <c r="H12" s="2594"/>
      <c r="I12" s="2595"/>
      <c r="J12" s="3354"/>
      <c r="K12" s="3356"/>
      <c r="L12" s="2629" t="s">
        <v>2364</v>
      </c>
      <c r="M12" s="2630"/>
      <c r="N12" s="2606"/>
      <c r="O12" s="2631"/>
      <c r="P12" s="2631"/>
      <c r="Q12" s="2632">
        <v>365</v>
      </c>
      <c r="R12" s="2633">
        <f t="shared" si="0"/>
        <v>0</v>
      </c>
      <c r="S12" s="2587"/>
      <c r="T12" s="2587"/>
      <c r="U12" s="2587"/>
      <c r="V12" s="2595"/>
    </row>
    <row r="13" spans="1:22" s="2599" customFormat="1" ht="13.15" customHeight="1">
      <c r="A13" s="2642"/>
      <c r="B13" s="2645"/>
      <c r="C13" s="2646" t="s">
        <v>2365</v>
      </c>
      <c r="D13" s="2647"/>
      <c r="E13" s="2648"/>
      <c r="F13" s="2637"/>
      <c r="G13" s="2638"/>
      <c r="H13" s="2594"/>
      <c r="I13" s="2595"/>
      <c r="J13" s="3354"/>
      <c r="K13" s="3356"/>
      <c r="L13" s="2629" t="s">
        <v>2366</v>
      </c>
      <c r="M13" s="2630"/>
      <c r="N13" s="2606"/>
      <c r="O13" s="2631"/>
      <c r="P13" s="2631"/>
      <c r="Q13" s="2632">
        <v>365</v>
      </c>
      <c r="R13" s="2633">
        <f t="shared" si="0"/>
        <v>0</v>
      </c>
      <c r="S13" s="2587"/>
      <c r="T13" s="2587"/>
      <c r="U13" s="2587"/>
      <c r="V13" s="2595"/>
    </row>
    <row r="14" spans="1:22" s="2599" customFormat="1" ht="13.15" customHeight="1">
      <c r="A14" s="2642" t="s">
        <v>2367</v>
      </c>
      <c r="B14" s="3364" t="s">
        <v>2368</v>
      </c>
      <c r="C14" s="3365"/>
      <c r="D14" s="2643">
        <f>ROUND(E14*B5/10000,0)</f>
        <v>0</v>
      </c>
      <c r="E14" s="2632"/>
      <c r="F14" s="2637" t="s">
        <v>2369</v>
      </c>
      <c r="G14" s="2638"/>
      <c r="H14" s="2594"/>
      <c r="I14" s="2595"/>
      <c r="J14" s="3354"/>
      <c r="K14" s="3357"/>
      <c r="L14" s="2649" t="s">
        <v>2370</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2371</v>
      </c>
      <c r="B15" s="3364" t="s">
        <v>2372</v>
      </c>
      <c r="C15" s="3365"/>
      <c r="D15" s="2643">
        <f>ROUND(D6*E15,0)</f>
        <v>0</v>
      </c>
      <c r="E15" s="2644">
        <v>5.5E-2</v>
      </c>
      <c r="F15" s="2637" t="s">
        <v>2373</v>
      </c>
      <c r="G15" s="2619"/>
      <c r="H15" s="2594"/>
      <c r="I15" s="2595"/>
      <c r="J15" s="3354">
        <v>2</v>
      </c>
      <c r="K15" s="3355" t="s">
        <v>2374</v>
      </c>
      <c r="L15" s="2629" t="s">
        <v>2375</v>
      </c>
      <c r="M15" s="2630" t="s">
        <v>2376</v>
      </c>
      <c r="N15" s="2630" t="s">
        <v>2377</v>
      </c>
      <c r="O15" s="2631" t="s">
        <v>2378</v>
      </c>
      <c r="P15" s="2631" t="s">
        <v>2340</v>
      </c>
      <c r="Q15" s="2606" t="s">
        <v>2379</v>
      </c>
      <c r="R15" s="2653" t="s">
        <v>2341</v>
      </c>
      <c r="S15" s="2587"/>
      <c r="T15" s="2587"/>
      <c r="U15" s="2587"/>
      <c r="V15" s="2595"/>
    </row>
    <row r="16" spans="1:22" s="2599" customFormat="1" ht="13.15" customHeight="1">
      <c r="A16" s="2642" t="s">
        <v>2380</v>
      </c>
      <c r="B16" s="3364" t="s">
        <v>2381</v>
      </c>
      <c r="C16" s="3365"/>
      <c r="D16" s="2654">
        <f>D6*E16</f>
        <v>0</v>
      </c>
      <c r="E16" s="2655"/>
      <c r="F16" s="2640" t="s">
        <v>2382</v>
      </c>
      <c r="G16" s="2619"/>
      <c r="H16" s="2594"/>
      <c r="I16" s="2595"/>
      <c r="J16" s="3354"/>
      <c r="K16" s="3356"/>
      <c r="L16" s="2629" t="s">
        <v>2383</v>
      </c>
      <c r="M16" s="2630"/>
      <c r="N16" s="2630"/>
      <c r="O16" s="2631"/>
      <c r="P16" s="2632">
        <v>365</v>
      </c>
      <c r="Q16" s="2606"/>
      <c r="R16" s="2653">
        <f>ROUND(M16*N16*O16*P16/10000,0)</f>
        <v>0</v>
      </c>
      <c r="S16" s="2587"/>
      <c r="T16" s="2587"/>
      <c r="U16" s="2587"/>
      <c r="V16" s="2595"/>
    </row>
    <row r="17" spans="1:22" s="2599" customFormat="1" ht="13.15" customHeight="1" thickBot="1">
      <c r="A17" s="2656">
        <v>4</v>
      </c>
      <c r="B17" s="3366" t="s">
        <v>2384</v>
      </c>
      <c r="C17" s="3367"/>
      <c r="D17" s="2657">
        <f>ROUND(D6*E17,0)</f>
        <v>0</v>
      </c>
      <c r="E17" s="2658"/>
      <c r="F17" s="2659" t="s">
        <v>2385</v>
      </c>
      <c r="G17" s="2619"/>
      <c r="H17" s="2594"/>
      <c r="I17" s="2595"/>
      <c r="J17" s="3354"/>
      <c r="K17" s="3356"/>
      <c r="L17" s="2629" t="s">
        <v>2386</v>
      </c>
      <c r="M17" s="2630"/>
      <c r="N17" s="2630"/>
      <c r="O17" s="2631"/>
      <c r="P17" s="2632">
        <v>365</v>
      </c>
      <c r="Q17" s="2606"/>
      <c r="R17" s="2653">
        <f>ROUND(M17*N17*O17*P17/10000,0)</f>
        <v>0</v>
      </c>
      <c r="S17" s="2587"/>
      <c r="T17" s="2587"/>
      <c r="U17" s="2587"/>
      <c r="V17" s="2595"/>
    </row>
    <row r="18" spans="1:22" s="2599" customFormat="1" ht="13.15" customHeight="1" thickBot="1">
      <c r="A18" s="2622" t="s">
        <v>2387</v>
      </c>
      <c r="B18" s="2623"/>
      <c r="C18" s="2623"/>
      <c r="D18" s="2660">
        <f>ROUND(D6*E18,0)</f>
        <v>0</v>
      </c>
      <c r="E18" s="2661"/>
      <c r="F18" s="2662" t="s">
        <v>2388</v>
      </c>
      <c r="G18" s="2619"/>
      <c r="H18" s="2594"/>
      <c r="I18" s="2595"/>
      <c r="J18" s="3354"/>
      <c r="K18" s="3356"/>
      <c r="L18" s="2629" t="s">
        <v>2389</v>
      </c>
      <c r="M18" s="2630"/>
      <c r="N18" s="2630"/>
      <c r="O18" s="2631"/>
      <c r="P18" s="2632">
        <v>365</v>
      </c>
      <c r="Q18" s="2606"/>
      <c r="R18" s="2653">
        <f>ROUND(M18*N18*O18*P18/10000,0)</f>
        <v>0</v>
      </c>
      <c r="S18" s="2587"/>
      <c r="T18" s="2587"/>
      <c r="U18" s="2587"/>
      <c r="V18" s="2595"/>
    </row>
    <row r="19" spans="1:22" s="2599" customFormat="1" ht="13.15" customHeight="1" thickBot="1">
      <c r="A19" s="2663" t="s">
        <v>2390</v>
      </c>
      <c r="B19" s="2617"/>
      <c r="C19" s="2617"/>
      <c r="D19" s="2617"/>
      <c r="E19" s="2617"/>
      <c r="F19" s="2618"/>
      <c r="G19" s="2638"/>
      <c r="H19" s="2594"/>
      <c r="I19" s="2595"/>
      <c r="J19" s="3354"/>
      <c r="K19" s="3357"/>
      <c r="L19" s="2649" t="s">
        <v>2370</v>
      </c>
      <c r="M19" s="2650"/>
      <c r="N19" s="2650">
        <f>SUM(N16:N18)</f>
        <v>0</v>
      </c>
      <c r="O19" s="2651"/>
      <c r="P19" s="2664" t="s">
        <v>2434</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54">
        <v>3</v>
      </c>
      <c r="K20" s="3355" t="s">
        <v>2391</v>
      </c>
      <c r="L20" s="2629" t="s">
        <v>2392</v>
      </c>
      <c r="M20" s="2630" t="s">
        <v>2393</v>
      </c>
      <c r="N20" s="2667" t="s">
        <v>2394</v>
      </c>
      <c r="O20" s="2631" t="s">
        <v>2395</v>
      </c>
      <c r="P20" s="2632" t="s">
        <v>2396</v>
      </c>
      <c r="Q20" s="2606" t="s">
        <v>2397</v>
      </c>
      <c r="R20" s="2653" t="s">
        <v>2398</v>
      </c>
      <c r="S20" s="2587"/>
      <c r="T20" s="2587"/>
      <c r="U20" s="2587"/>
      <c r="V20" s="2595"/>
    </row>
    <row r="21" spans="1:22" s="2599" customFormat="1" ht="13.15" customHeight="1">
      <c r="A21" s="2622"/>
      <c r="B21" s="2623"/>
      <c r="C21" s="2668" t="s">
        <v>2399</v>
      </c>
      <c r="D21" s="2669" t="s">
        <v>2400</v>
      </c>
      <c r="E21" s="2670" t="s">
        <v>2401</v>
      </c>
      <c r="F21" s="2666"/>
      <c r="G21" s="2638"/>
      <c r="H21" s="2594"/>
      <c r="I21" s="2595"/>
      <c r="J21" s="3354"/>
      <c r="K21" s="3356"/>
      <c r="L21" s="2629" t="s">
        <v>2402</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2403</v>
      </c>
      <c r="D22" s="2673" t="s">
        <v>2404</v>
      </c>
      <c r="E22" s="2674" t="s">
        <v>2405</v>
      </c>
      <c r="F22" s="2666"/>
      <c r="G22" s="2587"/>
      <c r="H22" s="2594"/>
      <c r="I22" s="2595"/>
      <c r="J22" s="3354"/>
      <c r="K22" s="3356"/>
      <c r="L22" s="2629" t="s">
        <v>2406</v>
      </c>
      <c r="M22" s="2630"/>
      <c r="N22" s="2630"/>
      <c r="O22" s="2631"/>
      <c r="P22" s="2632">
        <v>365</v>
      </c>
      <c r="Q22" s="2606"/>
      <c r="R22" s="2671">
        <f>ROUND(M22*N22*O22*P22/10000,0)</f>
        <v>0</v>
      </c>
      <c r="S22" s="2587"/>
      <c r="T22" s="2587"/>
      <c r="U22" s="2587"/>
      <c r="V22" s="2595"/>
    </row>
    <row r="23" spans="1:22" s="2599" customFormat="1" ht="13.15" customHeight="1">
      <c r="A23" s="2675">
        <v>1</v>
      </c>
      <c r="B23" s="2676" t="s">
        <v>2407</v>
      </c>
      <c r="C23" s="2677">
        <f>D6</f>
        <v>0</v>
      </c>
      <c r="D23" s="2678">
        <f>C23*(1+D24)</f>
        <v>0</v>
      </c>
      <c r="E23" s="2679">
        <f>D23*(1+E24)</f>
        <v>0</v>
      </c>
      <c r="F23" s="2680"/>
      <c r="G23" s="2681"/>
      <c r="H23" s="2594"/>
      <c r="I23" s="2595"/>
      <c r="J23" s="3354"/>
      <c r="K23" s="3356"/>
      <c r="L23" s="2629" t="s">
        <v>2408</v>
      </c>
      <c r="M23" s="2630"/>
      <c r="N23" s="2630"/>
      <c r="O23" s="2631"/>
      <c r="P23" s="2632">
        <v>365</v>
      </c>
      <c r="Q23" s="2606"/>
      <c r="R23" s="2671">
        <f>ROUND(M23*N23*O23*P23/10000,0)</f>
        <v>0</v>
      </c>
      <c r="S23" s="2587"/>
      <c r="T23" s="2587"/>
      <c r="U23" s="2587"/>
      <c r="V23" s="2595"/>
    </row>
    <row r="24" spans="1:22" s="2599" customFormat="1" ht="13.15" customHeight="1">
      <c r="A24" s="2682"/>
      <c r="B24" s="2683" t="s">
        <v>2409</v>
      </c>
      <c r="C24" s="2684"/>
      <c r="D24" s="2685"/>
      <c r="E24" s="2686"/>
      <c r="F24" s="2687"/>
      <c r="G24" s="2681"/>
      <c r="H24" s="2594"/>
      <c r="I24" s="2595"/>
      <c r="J24" s="3354"/>
      <c r="K24" s="3357"/>
      <c r="L24" s="2649" t="s">
        <v>2370</v>
      </c>
      <c r="M24" s="2650">
        <f>SUM(M21:M23)</f>
        <v>0</v>
      </c>
      <c r="N24" s="2650"/>
      <c r="O24" s="2651"/>
      <c r="P24" s="2664" t="s">
        <v>2434</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2410</v>
      </c>
      <c r="L25" s="2690"/>
      <c r="M25" s="2690"/>
      <c r="N25" s="2690"/>
      <c r="O25" s="2690"/>
      <c r="P25" s="2691"/>
      <c r="Q25" s="2692">
        <v>0</v>
      </c>
      <c r="R25" s="2665">
        <f>ROUND(R14*Q25,0)</f>
        <v>0</v>
      </c>
      <c r="S25" s="2587"/>
      <c r="T25" s="2587"/>
      <c r="U25" s="2587"/>
      <c r="V25" s="2693"/>
    </row>
    <row r="26" spans="1:22" s="2694" customFormat="1" ht="13.15" customHeight="1">
      <c r="A26" s="2675">
        <v>2</v>
      </c>
      <c r="B26" s="2676" t="s">
        <v>2411</v>
      </c>
      <c r="C26" s="2677">
        <f>D7</f>
        <v>0</v>
      </c>
      <c r="D26" s="2678">
        <f>D23*D27</f>
        <v>0</v>
      </c>
      <c r="E26" s="2679">
        <f>E23*E27</f>
        <v>0</v>
      </c>
      <c r="F26" s="2680"/>
      <c r="G26" s="2681"/>
      <c r="H26" s="2594"/>
      <c r="I26" s="2595"/>
      <c r="J26" s="3358">
        <v>5</v>
      </c>
      <c r="K26" s="2695" t="s">
        <v>2412</v>
      </c>
      <c r="L26" s="2696"/>
      <c r="M26" s="2697"/>
      <c r="N26" s="2698" t="s">
        <v>2413</v>
      </c>
      <c r="O26" s="2698" t="s">
        <v>2414</v>
      </c>
      <c r="P26" s="2699" t="s">
        <v>2415</v>
      </c>
      <c r="Q26" s="2699" t="s">
        <v>2416</v>
      </c>
      <c r="R26" s="2604" t="s">
        <v>2341</v>
      </c>
      <c r="S26" s="2638"/>
      <c r="T26" s="2638"/>
      <c r="U26" s="2638"/>
      <c r="V26" s="2693"/>
    </row>
    <row r="27" spans="1:22" s="2599" customFormat="1" ht="13.15" customHeight="1">
      <c r="A27" s="2682"/>
      <c r="B27" s="2683" t="s">
        <v>2417</v>
      </c>
      <c r="C27" s="2700" t="e">
        <f>E7</f>
        <v>#DIV/0!</v>
      </c>
      <c r="D27" s="2685"/>
      <c r="E27" s="2686"/>
      <c r="F27" s="2687"/>
      <c r="G27" s="2681"/>
      <c r="H27" s="2701"/>
      <c r="I27" s="2693"/>
      <c r="J27" s="3359"/>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2418</v>
      </c>
      <c r="F28" s="2687"/>
      <c r="G28" s="2587"/>
      <c r="H28" s="2701"/>
      <c r="I28" s="2693"/>
      <c r="J28" s="2707">
        <v>6</v>
      </c>
      <c r="K28" s="2708" t="s">
        <v>2419</v>
      </c>
      <c r="L28" s="2709" t="s">
        <v>2420</v>
      </c>
      <c r="M28" s="2710"/>
      <c r="N28" s="2709" t="s">
        <v>2421</v>
      </c>
      <c r="O28" s="2711"/>
      <c r="P28" s="2709" t="s">
        <v>2422</v>
      </c>
      <c r="Q28" s="2712">
        <v>1.4999999999999999E-2</v>
      </c>
      <c r="R28" s="2713"/>
      <c r="S28" s="2587"/>
      <c r="T28" s="2587"/>
      <c r="U28" s="2587"/>
      <c r="V28" s="2693"/>
    </row>
    <row r="29" spans="1:22" s="2694" customFormat="1" ht="13.15" customHeight="1">
      <c r="A29" s="2675">
        <v>3</v>
      </c>
      <c r="B29" s="2676" t="s">
        <v>2423</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2417</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2424</v>
      </c>
      <c r="K31" s="2585"/>
      <c r="L31" s="2585"/>
      <c r="M31" s="2585"/>
      <c r="N31" s="2585"/>
      <c r="O31" s="2585"/>
      <c r="P31" s="2585"/>
      <c r="Q31" s="2585"/>
      <c r="R31" s="2586"/>
      <c r="S31" s="2587"/>
      <c r="T31" s="2587"/>
      <c r="U31" s="2587"/>
      <c r="V31" s="2693"/>
    </row>
    <row r="32" spans="1:22" s="2694" customFormat="1" ht="13.15" customHeight="1">
      <c r="A32" s="2675">
        <v>4</v>
      </c>
      <c r="B32" s="2676" t="s">
        <v>2425</v>
      </c>
      <c r="C32" s="2677">
        <f>C23-C26-C29</f>
        <v>0</v>
      </c>
      <c r="D32" s="2678">
        <f>D23-D26-D29</f>
        <v>0</v>
      </c>
      <c r="E32" s="2679">
        <f>E23-E26-E29</f>
        <v>0</v>
      </c>
      <c r="F32" s="2680"/>
      <c r="G32" s="2587"/>
      <c r="H32" s="2594"/>
      <c r="I32" s="2595"/>
      <c r="J32" s="3360" t="s">
        <v>2317</v>
      </c>
      <c r="K32" s="3361"/>
      <c r="L32" s="2596" t="s">
        <v>2318</v>
      </c>
      <c r="M32" s="2596" t="s">
        <v>2319</v>
      </c>
      <c r="N32" s="2596" t="s">
        <v>2320</v>
      </c>
      <c r="O32" s="2596" t="s">
        <v>2321</v>
      </c>
      <c r="P32" s="2596" t="s">
        <v>2322</v>
      </c>
      <c r="Q32" s="2597" t="s">
        <v>2323</v>
      </c>
      <c r="R32" s="2716" t="s">
        <v>2324</v>
      </c>
      <c r="S32" s="2587"/>
      <c r="T32" s="2587"/>
      <c r="U32" s="2587"/>
      <c r="V32" s="2693"/>
    </row>
    <row r="33" spans="1:23" s="2599" customFormat="1" ht="13.15" customHeight="1">
      <c r="A33" s="2675"/>
      <c r="B33" s="2676"/>
      <c r="C33" s="2677"/>
      <c r="D33" s="2717"/>
      <c r="E33" s="2718"/>
      <c r="F33" s="2680"/>
      <c r="G33" s="2587"/>
      <c r="H33" s="2701"/>
      <c r="I33" s="2693"/>
      <c r="J33" s="3362" t="s">
        <v>2327</v>
      </c>
      <c r="K33" s="3363"/>
      <c r="L33" s="2602"/>
      <c r="M33" s="2602"/>
      <c r="N33" s="2602"/>
      <c r="O33" s="2602"/>
      <c r="P33" s="2602"/>
      <c r="Q33" s="2603"/>
      <c r="R33" s="2719">
        <f>SUM(L33:Q33)</f>
        <v>0</v>
      </c>
      <c r="S33" s="2587"/>
      <c r="T33" s="2587"/>
      <c r="U33" s="2587"/>
      <c r="V33" s="2595"/>
    </row>
    <row r="34" spans="1:23" s="2599" customFormat="1" ht="13.15" customHeight="1">
      <c r="A34" s="2675">
        <v>5</v>
      </c>
      <c r="B34" s="2676" t="s">
        <v>2426</v>
      </c>
      <c r="C34" s="2720"/>
      <c r="D34" s="2721"/>
      <c r="E34" s="2722"/>
      <c r="F34" s="2680"/>
      <c r="G34" s="2587"/>
      <c r="H34" s="2701"/>
      <c r="I34" s="2693"/>
      <c r="J34" s="3362" t="s">
        <v>2329</v>
      </c>
      <c r="K34" s="3363"/>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2427</v>
      </c>
      <c r="C35" s="2724"/>
      <c r="D35" s="2725"/>
      <c r="E35" s="2726"/>
      <c r="F35" s="2680"/>
      <c r="G35" s="2727"/>
      <c r="H35" s="2594"/>
      <c r="I35" s="2693"/>
      <c r="J35" s="2613" t="s">
        <v>2331</v>
      </c>
      <c r="K35" s="2614"/>
      <c r="L35" s="2614"/>
      <c r="M35" s="2615"/>
      <c r="N35" s="2615"/>
      <c r="O35" s="2615"/>
      <c r="P35" s="2615"/>
      <c r="Q35" s="2615"/>
      <c r="R35" s="2728">
        <f>R40+R41+R43</f>
        <v>0</v>
      </c>
      <c r="S35" s="2587"/>
      <c r="T35" s="2587" t="s">
        <v>2332</v>
      </c>
      <c r="U35" s="2587"/>
      <c r="V35" s="2595"/>
    </row>
    <row r="36" spans="1:23" s="2599" customFormat="1" ht="13.15" customHeight="1" thickBot="1">
      <c r="A36" s="2675">
        <v>7</v>
      </c>
      <c r="B36" s="2729" t="s">
        <v>2428</v>
      </c>
      <c r="C36" s="2730"/>
      <c r="D36" s="2731"/>
      <c r="E36" s="2732"/>
      <c r="F36" s="2733">
        <f>C36+D36+E36</f>
        <v>0</v>
      </c>
      <c r="G36" s="2587"/>
      <c r="H36" s="2594"/>
      <c r="I36" s="2595"/>
      <c r="J36" s="3354">
        <v>1</v>
      </c>
      <c r="K36" s="3355" t="s">
        <v>2429</v>
      </c>
      <c r="L36" s="2620"/>
      <c r="M36" s="2621"/>
      <c r="N36" s="2621"/>
      <c r="O36" s="2621"/>
      <c r="P36" s="2621"/>
      <c r="Q36" s="2621"/>
      <c r="R36" s="2604" t="s">
        <v>2341</v>
      </c>
      <c r="S36" s="2587"/>
      <c r="T36" s="2587" t="s">
        <v>2342</v>
      </c>
      <c r="U36" s="2587"/>
      <c r="V36" s="2595"/>
    </row>
    <row r="37" spans="1:23" s="2599" customFormat="1" ht="13.15" customHeight="1">
      <c r="A37" s="2675"/>
      <c r="B37" s="2676"/>
      <c r="C37" s="2676"/>
      <c r="D37" s="2676"/>
      <c r="E37" s="2676"/>
      <c r="F37" s="2680"/>
      <c r="G37" s="2587"/>
      <c r="H37" s="2594"/>
      <c r="I37" s="2595"/>
      <c r="J37" s="3354"/>
      <c r="K37" s="3356"/>
      <c r="L37" s="2629"/>
      <c r="M37" s="2630"/>
      <c r="N37" s="2606"/>
      <c r="O37" s="2631"/>
      <c r="P37" s="2631"/>
      <c r="Q37" s="2632"/>
      <c r="R37" s="2633"/>
      <c r="S37" s="2587"/>
      <c r="T37" s="2587" t="s">
        <v>2345</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54"/>
      <c r="K38" s="3356"/>
      <c r="L38" s="2629"/>
      <c r="M38" s="2630"/>
      <c r="N38" s="2606"/>
      <c r="O38" s="2631"/>
      <c r="P38" s="2631"/>
      <c r="Q38" s="2632"/>
      <c r="R38" s="2633"/>
      <c r="S38" s="2587"/>
      <c r="T38" s="2587" t="s">
        <v>2352</v>
      </c>
      <c r="U38" s="2587"/>
      <c r="V38" s="2595"/>
    </row>
    <row r="39" spans="1:23" s="2599" customFormat="1" ht="13.15" customHeight="1">
      <c r="A39" s="2675">
        <v>9</v>
      </c>
      <c r="B39" s="2676" t="s">
        <v>2430</v>
      </c>
      <c r="C39" s="2643" t="e">
        <f>C38</f>
        <v>#DIV/0!</v>
      </c>
      <c r="D39" s="2676">
        <f>D38/(1+D34)^C36</f>
        <v>0</v>
      </c>
      <c r="E39" s="2676">
        <f>E38/(1+E34)^(C36+D36)</f>
        <v>0</v>
      </c>
      <c r="F39" s="2680"/>
      <c r="G39" s="2595"/>
      <c r="H39" s="2594"/>
      <c r="I39" s="2595"/>
      <c r="J39" s="3354"/>
      <c r="K39" s="3356"/>
      <c r="L39" s="2629"/>
      <c r="M39" s="2630"/>
      <c r="N39" s="2606"/>
      <c r="O39" s="2631"/>
      <c r="P39" s="2631"/>
      <c r="Q39" s="2632"/>
      <c r="R39" s="2633"/>
      <c r="S39" s="2587"/>
      <c r="T39" s="2587"/>
      <c r="U39" s="2587"/>
      <c r="V39" s="2595"/>
    </row>
    <row r="40" spans="1:23" s="2599" customFormat="1" ht="13.15" customHeight="1">
      <c r="A40" s="2734">
        <v>10</v>
      </c>
      <c r="B40" s="2676" t="s">
        <v>2431</v>
      </c>
      <c r="C40" s="2735" t="e">
        <f>C39+D39+E39</f>
        <v>#DIV/0!</v>
      </c>
      <c r="D40" s="2736"/>
      <c r="E40" s="2736"/>
      <c r="F40" s="2737"/>
      <c r="G40" s="2587"/>
      <c r="H40" s="2594"/>
      <c r="I40" s="2595"/>
      <c r="J40" s="3354"/>
      <c r="K40" s="3357"/>
      <c r="L40" s="2649" t="s">
        <v>2370</v>
      </c>
      <c r="M40" s="2650"/>
      <c r="N40" s="2650"/>
      <c r="O40" s="2651"/>
      <c r="P40" s="2651"/>
      <c r="Q40" s="2652"/>
      <c r="R40" s="2598">
        <f>SUM(R37:R39)</f>
        <v>0</v>
      </c>
      <c r="S40" s="2587"/>
      <c r="T40" s="2587"/>
      <c r="U40" s="2587"/>
      <c r="V40" s="2595"/>
    </row>
    <row r="41" spans="1:23" s="2599" customFormat="1" ht="13.15" customHeight="1" thickBot="1">
      <c r="A41" s="2738">
        <v>11</v>
      </c>
      <c r="B41" s="2739" t="s">
        <v>2432</v>
      </c>
      <c r="C41" s="2739" t="e">
        <f>ROUND(C40*10000/B4,0)</f>
        <v>#DIV/0!</v>
      </c>
      <c r="D41" s="2740"/>
      <c r="E41" s="2740"/>
      <c r="F41" s="2741"/>
      <c r="G41" s="2594"/>
      <c r="H41" s="2594"/>
      <c r="I41" s="2595"/>
      <c r="J41" s="2688">
        <v>2</v>
      </c>
      <c r="K41" s="2689" t="s">
        <v>2410</v>
      </c>
      <c r="L41" s="2690"/>
      <c r="M41" s="2690"/>
      <c r="N41" s="2690"/>
      <c r="O41" s="2690"/>
      <c r="P41" s="2691"/>
      <c r="Q41" s="2692"/>
      <c r="R41" s="2665">
        <f>ROUND(R40*Q41,0)</f>
        <v>0</v>
      </c>
      <c r="S41" s="2587"/>
      <c r="T41" s="2587"/>
      <c r="U41" s="2638"/>
      <c r="V41" s="2595"/>
    </row>
    <row r="42" spans="1:23" s="2599" customFormat="1" ht="13.15" customHeight="1">
      <c r="G42" s="2594"/>
      <c r="H42" s="2594"/>
      <c r="I42" s="2595"/>
      <c r="J42" s="3358">
        <v>3</v>
      </c>
      <c r="K42" s="2695" t="s">
        <v>2412</v>
      </c>
      <c r="L42" s="2696"/>
      <c r="M42" s="2697"/>
      <c r="N42" s="2698" t="s">
        <v>2413</v>
      </c>
      <c r="O42" s="2698" t="s">
        <v>2414</v>
      </c>
      <c r="P42" s="2699" t="s">
        <v>2415</v>
      </c>
      <c r="Q42" s="2699" t="s">
        <v>2416</v>
      </c>
      <c r="R42" s="2604" t="s">
        <v>2341</v>
      </c>
      <c r="S42" s="2638"/>
      <c r="T42" s="2638"/>
      <c r="U42" s="2587"/>
      <c r="V42" s="2595"/>
    </row>
    <row r="43" spans="1:23" ht="13.15" customHeight="1">
      <c r="A43" s="2599"/>
      <c r="B43" s="2599"/>
      <c r="C43" s="2599"/>
      <c r="D43" s="2599"/>
      <c r="E43" s="2599"/>
      <c r="F43" s="2599"/>
      <c r="I43" s="2582"/>
      <c r="J43" s="3359"/>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2419</v>
      </c>
      <c r="L44" s="2744" t="s">
        <v>2420</v>
      </c>
      <c r="M44" s="2710"/>
      <c r="N44" s="2744" t="s">
        <v>2421</v>
      </c>
      <c r="O44" s="2710"/>
      <c r="P44" s="2744" t="s">
        <v>2422</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4"/>
      <c r="G1" s="459"/>
      <c r="H1" s="459"/>
      <c r="I1" s="459"/>
      <c r="J1" s="459"/>
      <c r="K1" s="459"/>
      <c r="L1" s="459"/>
      <c r="M1" s="459"/>
      <c r="N1" s="459"/>
      <c r="O1" s="459"/>
      <c r="P1" s="459"/>
      <c r="Q1" s="459"/>
      <c r="R1" s="459"/>
      <c r="S1" s="459"/>
    </row>
    <row r="2" spans="1:22" ht="15.5">
      <c r="A2" s="1728" t="s">
        <v>1462</v>
      </c>
      <c r="B2" s="811">
        <f ca="1">SUMIF(B6:B13,"&lt;&gt;#ref!",B6:B13)</f>
        <v>4099.6175000000003</v>
      </c>
      <c r="C2" s="1729" t="s">
        <v>1651</v>
      </c>
      <c r="D2" s="1730" t="s">
        <v>1652</v>
      </c>
      <c r="E2" s="2388">
        <f>SUM(E6:E13)</f>
        <v>887.22</v>
      </c>
      <c r="F2" s="2474"/>
      <c r="G2" s="459"/>
      <c r="H2" s="459"/>
      <c r="I2" s="459"/>
      <c r="J2" s="459"/>
      <c r="K2" s="459"/>
      <c r="L2" s="459"/>
      <c r="M2" s="459"/>
      <c r="N2" s="459"/>
      <c r="O2" s="459"/>
      <c r="P2" s="459"/>
      <c r="Q2" s="459"/>
      <c r="R2" s="459"/>
      <c r="S2" s="459"/>
    </row>
    <row r="3" spans="1:22" ht="15.5">
      <c r="A3" s="1728" t="s">
        <v>686</v>
      </c>
      <c r="B3" s="2382">
        <f ca="1">ROUND(B2*10000/E2,0)</f>
        <v>46207</v>
      </c>
      <c r="C3" s="1729" t="s">
        <v>1659</v>
      </c>
      <c r="D3" s="2474"/>
      <c r="E3" s="2477"/>
      <c r="F3" s="2474"/>
      <c r="G3" s="459"/>
      <c r="H3" s="459"/>
      <c r="I3" s="459"/>
      <c r="J3" s="459"/>
      <c r="K3" s="459"/>
      <c r="L3" s="459"/>
      <c r="M3" s="459"/>
      <c r="N3" s="459"/>
      <c r="O3" s="459"/>
      <c r="P3" s="459"/>
      <c r="Q3" s="459"/>
      <c r="R3" s="459"/>
      <c r="S3" s="459"/>
    </row>
    <row r="4" spans="1:22" ht="15.5">
      <c r="A4" s="2478"/>
      <c r="B4" s="2474"/>
      <c r="C4" s="2474"/>
      <c r="D4" s="2474"/>
      <c r="E4" s="2477"/>
      <c r="F4" s="2474"/>
      <c r="G4" s="459"/>
      <c r="H4" s="459"/>
      <c r="I4" s="459"/>
      <c r="J4" s="459"/>
      <c r="K4" s="459"/>
      <c r="L4" s="459"/>
      <c r="M4" s="459"/>
      <c r="N4" s="459"/>
      <c r="O4" s="459"/>
      <c r="P4" s="459"/>
      <c r="Q4" s="459"/>
      <c r="R4" s="459"/>
      <c r="S4" s="459"/>
    </row>
    <row r="5" spans="1:22">
      <c r="A5" s="2384" t="s">
        <v>1653</v>
      </c>
      <c r="B5" s="3373" t="s">
        <v>1654</v>
      </c>
      <c r="C5" s="3374"/>
      <c r="D5" s="2475"/>
      <c r="E5" s="1731"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4099.6175000000003</v>
      </c>
      <c r="C6" s="1729" t="s">
        <v>1651</v>
      </c>
      <c r="D6" s="2474"/>
      <c r="E6" s="2387">
        <f>IF(OR(A6=0,F6="否"),0,'数据-取费表'!K6+'数据-取费表'!S6)</f>
        <v>887.22</v>
      </c>
      <c r="F6" s="1732"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9" t="s">
        <v>1651</v>
      </c>
      <c r="D7" s="2474"/>
      <c r="E7" s="2387">
        <f>IF(OR(A7=0,F7="否"),0,'数据-取费表'!K7+'数据-取费表'!S7)</f>
        <v>0</v>
      </c>
      <c r="F7" s="1732"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9" t="s">
        <v>1651</v>
      </c>
      <c r="D8" s="2474"/>
      <c r="E8" s="2387">
        <f>IF(OR(A8=0,F8="否"),0,'数据-取费表'!K8+'数据-取费表'!S8)</f>
        <v>0</v>
      </c>
      <c r="F8" s="1732"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9" t="s">
        <v>1651</v>
      </c>
      <c r="D9" s="2474"/>
      <c r="E9" s="2387">
        <f>IF(OR(A9=0,F9="否"),0,'数据-取费表'!K9+'数据-取费表'!S9)</f>
        <v>0</v>
      </c>
      <c r="F9" s="1732"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9" t="s">
        <v>1651</v>
      </c>
      <c r="D10" s="2474"/>
      <c r="E10" s="2387">
        <f>IF(OR(A10=0,F10="否"),0,'数据-取费表'!K10+'数据-取费表'!S10)</f>
        <v>0</v>
      </c>
      <c r="F10" s="1732"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9" t="s">
        <v>1651</v>
      </c>
      <c r="D11" s="2474"/>
      <c r="E11" s="2387">
        <f>IF(OR(A11=0,F11="否"),0,'数据-取费表'!K11+'数据-取费表'!S11)</f>
        <v>0</v>
      </c>
      <c r="F11" s="1732"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9" t="s">
        <v>1651</v>
      </c>
      <c r="D12" s="2474"/>
      <c r="E12" s="2387">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6">
        <f>'数据-取费表'!AN13</f>
        <v>0</v>
      </c>
      <c r="B13" s="2383" t="e">
        <f ca="1">IF(F13="是",'数据-取费表'!AO13,0)</f>
        <v>#REF!</v>
      </c>
      <c r="C13" s="1733" t="s">
        <v>1651</v>
      </c>
      <c r="D13" s="2476"/>
      <c r="E13" s="2387">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19"/>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0"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9"/>
      <c r="M2" s="2480"/>
      <c r="N2" s="2480"/>
      <c r="O2" s="2480"/>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887.22</v>
      </c>
      <c r="E3" s="854"/>
      <c r="F3" s="1743"/>
      <c r="G3" s="854"/>
      <c r="H3" s="854"/>
      <c r="I3" s="854"/>
      <c r="J3" s="854"/>
      <c r="K3" s="1740"/>
      <c r="L3" s="2479"/>
      <c r="M3" s="2480"/>
      <c r="N3" s="2480"/>
      <c r="O3" s="2480"/>
      <c r="P3" s="1741"/>
      <c r="Q3" s="1742"/>
      <c r="R3" s="1742"/>
      <c r="S3" s="1742"/>
      <c r="T3" s="1742"/>
      <c r="U3" s="1742"/>
      <c r="V3" s="1742"/>
      <c r="W3" s="1742"/>
      <c r="X3" s="1742"/>
      <c r="Y3" s="1742"/>
      <c r="Z3" s="1742"/>
      <c r="AA3" s="1742"/>
      <c r="AB3" s="1742"/>
      <c r="AC3" s="998"/>
    </row>
    <row r="4" spans="1:29">
      <c r="A4" s="345" t="s">
        <v>1666</v>
      </c>
      <c r="B4" s="346"/>
      <c r="C4" s="3393" t="s">
        <v>1667</v>
      </c>
      <c r="D4" s="3394"/>
      <c r="E4" s="3395" t="s">
        <v>1668</v>
      </c>
      <c r="F4" s="3396"/>
      <c r="G4" s="3393" t="s">
        <v>1669</v>
      </c>
      <c r="H4" s="3394"/>
      <c r="I4" s="3393" t="s">
        <v>1670</v>
      </c>
      <c r="J4" s="3394"/>
      <c r="K4" s="1744" t="s">
        <v>1671</v>
      </c>
      <c r="L4" s="2481"/>
      <c r="M4" s="2482"/>
      <c r="N4" s="2482"/>
      <c r="O4" s="2482"/>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c r="A5" s="348"/>
      <c r="B5" s="349"/>
      <c r="C5" s="3411" t="s">
        <v>1673</v>
      </c>
      <c r="D5" s="3412"/>
      <c r="E5" s="3418" t="s">
        <v>1674</v>
      </c>
      <c r="F5" s="3419"/>
      <c r="G5" s="3411" t="s">
        <v>1675</v>
      </c>
      <c r="H5" s="3412"/>
      <c r="I5" s="3411" t="s">
        <v>1676</v>
      </c>
      <c r="J5" s="3412"/>
      <c r="K5" s="1745"/>
      <c r="L5" s="2481"/>
      <c r="M5" s="2482"/>
      <c r="N5" s="2482"/>
      <c r="O5" s="2482"/>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1745" t="s">
        <v>1678</v>
      </c>
      <c r="L6" s="2481"/>
      <c r="M6" s="2482"/>
      <c r="N6" s="2482"/>
      <c r="O6" s="2482"/>
      <c r="P6" s="3401"/>
      <c r="Q6" s="3402"/>
      <c r="R6" s="3405"/>
      <c r="S6" s="3406"/>
      <c r="T6" s="3407"/>
      <c r="U6" s="3408"/>
      <c r="V6" s="3379"/>
      <c r="W6" s="3379"/>
      <c r="X6" s="1265"/>
      <c r="Y6" s="3407"/>
      <c r="Z6" s="3408"/>
      <c r="AA6" s="3392"/>
      <c r="AB6" s="3392"/>
      <c r="AC6" s="3392"/>
    </row>
    <row r="7" spans="1:29" s="102" customFormat="1" ht="14.5" thickBot="1">
      <c r="A7" s="352" t="s">
        <v>1679</v>
      </c>
      <c r="B7" s="353"/>
      <c r="C7" s="354">
        <f>'数据-取费表'!B2</f>
        <v>45909</v>
      </c>
      <c r="D7" s="355">
        <v>100</v>
      </c>
      <c r="E7" s="356"/>
      <c r="F7" s="357">
        <f>SUMIF(58:58,YEAR(E7)&amp;"-"&amp;MONTH(E7),59:59)</f>
        <v>0</v>
      </c>
      <c r="G7" s="356"/>
      <c r="H7" s="355">
        <f>SUMIF(58:58,YEAR(G7)&amp;"-"&amp;MONTH(G7),59:59)</f>
        <v>0</v>
      </c>
      <c r="I7" s="356"/>
      <c r="J7" s="355">
        <f>SUMIF(58:58,YEAR(I7)&amp;"-"&amp;MONTH(I7),59:59)</f>
        <v>0</v>
      </c>
      <c r="K7" s="1746"/>
      <c r="L7" s="2483"/>
      <c r="M7" s="2435"/>
      <c r="N7" s="2435"/>
      <c r="O7" s="2435"/>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3"/>
      <c r="M8" s="2435"/>
      <c r="N8" s="2435"/>
      <c r="O8" s="2435"/>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3"/>
      <c r="M9" s="2435"/>
      <c r="N9" s="2435"/>
      <c r="O9" s="2435"/>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6"/>
      <c r="L10" s="2484"/>
      <c r="M10" s="2485"/>
      <c r="N10" s="2485"/>
      <c r="O10" s="2485"/>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389"/>
      <c r="Q11" s="530" t="str">
        <f t="shared" si="6"/>
        <v>容积率</v>
      </c>
      <c r="R11" s="664" t="s">
        <v>18</v>
      </c>
      <c r="S11" s="665" t="e">
        <f t="shared" si="0"/>
        <v>#N/A</v>
      </c>
      <c r="T11" s="664" t="s">
        <v>18</v>
      </c>
      <c r="U11" s="665" t="e">
        <f t="shared" si="1"/>
        <v>#N/A</v>
      </c>
      <c r="V11" s="664" t="s">
        <v>18</v>
      </c>
      <c r="W11" s="665" t="e">
        <f t="shared" si="2"/>
        <v>#N/A</v>
      </c>
      <c r="X11" s="666"/>
      <c r="Y11" s="3253"/>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3"/>
      <c r="M12" s="2435"/>
      <c r="N12" s="2435"/>
      <c r="O12" s="2435"/>
      <c r="P12" s="3389"/>
      <c r="Q12" s="530">
        <f t="shared" si="6"/>
        <v>111</v>
      </c>
      <c r="R12" s="664" t="s">
        <v>18</v>
      </c>
      <c r="S12" s="665">
        <f t="shared" si="0"/>
        <v>100</v>
      </c>
      <c r="T12" s="664" t="s">
        <v>18</v>
      </c>
      <c r="U12" s="665">
        <f t="shared" si="1"/>
        <v>100</v>
      </c>
      <c r="V12" s="664" t="s">
        <v>18</v>
      </c>
      <c r="W12" s="665">
        <f t="shared" si="2"/>
        <v>100</v>
      </c>
      <c r="X12" s="666"/>
      <c r="Y12" s="325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7"/>
      <c r="M13" s="2482"/>
      <c r="N13" s="2482"/>
      <c r="O13" s="2482"/>
      <c r="P13" s="3389"/>
      <c r="Q13" s="530">
        <f t="shared" si="6"/>
        <v>111</v>
      </c>
      <c r="R13" s="664" t="s">
        <v>18</v>
      </c>
      <c r="S13" s="665">
        <f t="shared" si="0"/>
        <v>100</v>
      </c>
      <c r="T13" s="664" t="s">
        <v>18</v>
      </c>
      <c r="U13" s="665">
        <f t="shared" si="1"/>
        <v>100</v>
      </c>
      <c r="V13" s="664" t="s">
        <v>18</v>
      </c>
      <c r="W13" s="665">
        <f t="shared" si="2"/>
        <v>100</v>
      </c>
      <c r="X13" s="666"/>
      <c r="Y13" s="3253"/>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7"/>
      <c r="M14" s="2482"/>
      <c r="N14" s="2482"/>
      <c r="O14" s="2482"/>
      <c r="P14" s="3389"/>
      <c r="Q14" s="530">
        <f t="shared" si="6"/>
        <v>111</v>
      </c>
      <c r="R14" s="664" t="s">
        <v>18</v>
      </c>
      <c r="S14" s="665">
        <f t="shared" si="0"/>
        <v>100</v>
      </c>
      <c r="T14" s="664" t="s">
        <v>18</v>
      </c>
      <c r="U14" s="665">
        <f t="shared" si="1"/>
        <v>100</v>
      </c>
      <c r="V14" s="664" t="s">
        <v>18</v>
      </c>
      <c r="W14" s="665">
        <f t="shared" si="2"/>
        <v>100</v>
      </c>
      <c r="X14" s="666"/>
      <c r="Y14" s="3253"/>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87"/>
      <c r="M16" s="2482"/>
      <c r="N16" s="2482"/>
      <c r="O16" s="2482"/>
      <c r="P16" s="3388"/>
      <c r="Q16" s="1263"/>
      <c r="R16" s="667"/>
      <c r="S16" s="668"/>
      <c r="T16" s="667"/>
      <c r="U16" s="668"/>
      <c r="V16" s="667"/>
      <c r="W16" s="668"/>
      <c r="X16" s="1265"/>
      <c r="Y16" s="338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87"/>
      <c r="M18" s="2482"/>
      <c r="N18" s="2482"/>
      <c r="O18" s="2482"/>
      <c r="P18" s="3388"/>
      <c r="Q18" s="1263"/>
      <c r="R18" s="667"/>
      <c r="S18" s="668"/>
      <c r="T18" s="667"/>
      <c r="U18" s="668"/>
      <c r="V18" s="667"/>
      <c r="W18" s="668"/>
      <c r="X18" s="1265"/>
      <c r="Y18" s="3381"/>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87"/>
      <c r="M20" s="2482"/>
      <c r="N20" s="2482"/>
      <c r="O20" s="2482"/>
      <c r="P20" s="3388"/>
      <c r="Q20" s="1263"/>
      <c r="R20" s="667"/>
      <c r="S20" s="668"/>
      <c r="T20" s="667"/>
      <c r="U20" s="668"/>
      <c r="V20" s="667"/>
      <c r="W20" s="668"/>
      <c r="X20" s="1265"/>
      <c r="Y20" s="3381"/>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87"/>
      <c r="M22" s="2482"/>
      <c r="N22" s="2482"/>
      <c r="O22" s="2482"/>
      <c r="P22" s="3388"/>
      <c r="Q22" s="1263"/>
      <c r="R22" s="667"/>
      <c r="S22" s="668"/>
      <c r="T22" s="667"/>
      <c r="U22" s="668"/>
      <c r="V22" s="667"/>
      <c r="W22" s="668"/>
      <c r="X22" s="1265"/>
      <c r="Y22" s="3381"/>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87"/>
      <c r="M24" s="2482"/>
      <c r="N24" s="2482"/>
      <c r="O24" s="2482"/>
      <c r="P24" s="3388"/>
      <c r="Q24" s="1263"/>
      <c r="R24" s="667"/>
      <c r="S24" s="668"/>
      <c r="T24" s="667"/>
      <c r="U24" s="668"/>
      <c r="V24" s="667"/>
      <c r="W24" s="668"/>
      <c r="X24" s="1265"/>
      <c r="Y24" s="3381"/>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7"/>
      <c r="M25" s="2482"/>
      <c r="N25" s="2482"/>
      <c r="O25" s="2482"/>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7"/>
      <c r="M26" s="2482"/>
      <c r="N26" s="2482"/>
      <c r="O26" s="2482"/>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3"/>
      <c r="M27" s="2435"/>
      <c r="N27" s="2435"/>
      <c r="O27" s="2435"/>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7"/>
      <c r="M28" s="2482"/>
      <c r="N28" s="2482"/>
      <c r="O28" s="2482"/>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7"/>
      <c r="M29" s="2482"/>
      <c r="N29" s="2482"/>
      <c r="O29" s="2482"/>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7"/>
      <c r="M30" s="2482"/>
      <c r="N30" s="2482"/>
      <c r="O30" s="2482"/>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7"/>
      <c r="M31" s="2482"/>
      <c r="N31" s="2482"/>
      <c r="O31" s="2482"/>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7"/>
      <c r="M32" s="2482"/>
      <c r="N32" s="2482"/>
      <c r="O32" s="2482"/>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6"/>
      <c r="M33" s="2488"/>
      <c r="N33" s="2488"/>
      <c r="O33" s="2488"/>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7"/>
      <c r="M34" s="2482"/>
      <c r="N34" s="2482"/>
      <c r="O34" s="2482"/>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7"/>
      <c r="M35" s="2482"/>
      <c r="N35" s="2482"/>
      <c r="O35" s="2482"/>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7"/>
      <c r="M36" s="2482"/>
      <c r="N36" s="2482"/>
      <c r="O36" s="2482"/>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7"/>
      <c r="M38" s="2482"/>
      <c r="N38" s="2482"/>
      <c r="O38" s="2482"/>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7"/>
      <c r="M39" s="2482"/>
      <c r="N39" s="2482"/>
      <c r="O39" s="2482"/>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7"/>
      <c r="M40" s="2482"/>
      <c r="N40" s="2482"/>
      <c r="O40" s="2482"/>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6"/>
      <c r="M41" s="2488"/>
      <c r="N41" s="2488"/>
      <c r="O41" s="2488"/>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7"/>
      <c r="M42" s="2482"/>
      <c r="N42" s="2482"/>
      <c r="O42" s="2482"/>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7"/>
      <c r="M43" s="2482"/>
      <c r="N43" s="2482"/>
      <c r="O43" s="2482"/>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3"/>
      <c r="M44" s="2435"/>
      <c r="N44" s="2435"/>
      <c r="O44" s="2435"/>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7"/>
      <c r="M45" s="2482"/>
      <c r="N45" s="2482"/>
      <c r="O45" s="2482"/>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7"/>
      <c r="M46" s="2482"/>
      <c r="N46" s="2482"/>
      <c r="O46" s="2482"/>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89"/>
      <c r="M47" s="2482"/>
      <c r="N47" s="2482"/>
      <c r="O47" s="2482"/>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89"/>
      <c r="M48" s="2482"/>
      <c r="N48" s="2482"/>
      <c r="O48" s="2482"/>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89"/>
      <c r="M49" s="2482"/>
      <c r="N49" s="2482"/>
      <c r="O49" s="2482"/>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70"/>
    </row>
    <row r="55" spans="1:29" s="437" customFormat="1">
      <c r="A55" s="2492"/>
      <c r="B55" s="2495"/>
      <c r="C55" s="2496"/>
      <c r="D55" s="2492"/>
      <c r="E55" s="2492"/>
      <c r="F55" s="2492"/>
      <c r="G55" s="2492"/>
      <c r="H55" s="2492"/>
      <c r="I55" s="2492"/>
      <c r="J55" s="2492"/>
      <c r="K55" s="2497"/>
      <c r="L55" s="2491"/>
      <c r="M55" s="2492"/>
      <c r="N55" s="2492"/>
      <c r="O55" s="2492"/>
      <c r="P55" s="1770"/>
    </row>
    <row r="56" spans="1:29">
      <c r="A56" s="2482"/>
      <c r="B56" s="2495"/>
      <c r="C56" s="2496"/>
      <c r="D56" s="2482"/>
      <c r="E56" s="2482"/>
      <c r="F56" s="2482"/>
      <c r="G56" s="2482"/>
      <c r="H56" s="2482"/>
      <c r="I56" s="2482"/>
      <c r="J56" s="2482"/>
      <c r="K56" s="2494"/>
      <c r="L56" s="2490"/>
      <c r="M56" s="2482"/>
      <c r="N56" s="2482"/>
      <c r="O56" s="2482"/>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60" zoomScaleNormal="70" workbookViewId="0">
      <selection activeCell="K43" sqref="K43"/>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19" t="s">
        <v>3466</v>
      </c>
      <c r="F1" s="1735" t="s">
        <v>3521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1.1711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13.2</v>
      </c>
      <c r="C3" s="344" t="s">
        <v>1768</v>
      </c>
      <c r="D3" s="343">
        <f>IF(D1="",'数据-汇总表'!E3,SUMIF('数据-汇总表'!$C19:$C33,D1,'数据-汇总表'!$E19:$E33))</f>
        <v>887.22</v>
      </c>
      <c r="E3" s="1805"/>
      <c r="F3" s="856"/>
      <c r="G3" s="855"/>
      <c r="H3" s="855"/>
      <c r="I3" s="855"/>
      <c r="J3" s="855"/>
      <c r="K3" s="857"/>
      <c r="L3" s="2498"/>
      <c r="M3" s="2499"/>
      <c r="N3" s="2499"/>
      <c r="O3" s="2499"/>
      <c r="P3" s="1804"/>
      <c r="Q3" s="859"/>
      <c r="R3" s="859"/>
      <c r="S3" s="859"/>
      <c r="T3" s="859"/>
      <c r="U3" s="859"/>
      <c r="V3" s="859"/>
      <c r="W3" s="859"/>
      <c r="X3" s="859"/>
      <c r="Y3" s="859"/>
      <c r="Z3" s="859"/>
      <c r="AA3" s="859"/>
      <c r="AB3" s="859"/>
      <c r="AC3" s="1805"/>
    </row>
    <row r="4" spans="1:29">
      <c r="A4" s="345" t="s">
        <v>1769</v>
      </c>
      <c r="B4" s="346"/>
      <c r="C4" s="3393" t="s">
        <v>1770</v>
      </c>
      <c r="D4" s="3394"/>
      <c r="E4" s="3395" t="s">
        <v>1771</v>
      </c>
      <c r="F4" s="3396"/>
      <c r="G4" s="3393" t="s">
        <v>1772</v>
      </c>
      <c r="H4" s="3394"/>
      <c r="I4" s="3393" t="s">
        <v>1773</v>
      </c>
      <c r="J4" s="3394"/>
      <c r="K4" s="537" t="s">
        <v>1774</v>
      </c>
      <c r="L4" s="2481"/>
      <c r="M4" s="2482"/>
      <c r="N4" s="2482"/>
      <c r="O4" s="2482"/>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ht="14" customHeight="1">
      <c r="A5" s="348"/>
      <c r="B5" s="349"/>
      <c r="C5" s="3513" t="s">
        <v>3470</v>
      </c>
      <c r="D5" s="3412"/>
      <c r="E5" s="3512" t="s">
        <v>3468</v>
      </c>
      <c r="F5" s="3419"/>
      <c r="G5" s="3512" t="s">
        <v>3468</v>
      </c>
      <c r="H5" s="3419"/>
      <c r="I5" s="3513" t="s">
        <v>3469</v>
      </c>
      <c r="J5" s="3412"/>
      <c r="K5" s="537"/>
      <c r="L5" s="2481"/>
      <c r="M5" s="2482"/>
      <c r="N5" s="2482"/>
      <c r="O5" s="2482"/>
      <c r="P5" s="3399"/>
      <c r="Q5" s="3400"/>
      <c r="R5" s="3405"/>
      <c r="S5" s="3406"/>
      <c r="T5" s="3405"/>
      <c r="U5" s="3406"/>
      <c r="V5" s="3379"/>
      <c r="W5" s="3379"/>
      <c r="X5" s="1265"/>
      <c r="Y5" s="3405"/>
      <c r="Z5" s="3406"/>
      <c r="AA5" s="3391"/>
      <c r="AB5" s="3379"/>
      <c r="AC5" s="3391"/>
    </row>
    <row r="6" spans="1:29" ht="15" thickBot="1">
      <c r="A6" s="350"/>
      <c r="B6" s="351"/>
      <c r="C6" s="3409" t="s">
        <v>1677</v>
      </c>
      <c r="D6" s="3410"/>
      <c r="E6" s="3416" t="s">
        <v>1677</v>
      </c>
      <c r="F6" s="3417"/>
      <c r="G6" s="3409" t="s">
        <v>1677</v>
      </c>
      <c r="H6" s="3410"/>
      <c r="I6" s="3409" t="s">
        <v>1677</v>
      </c>
      <c r="J6" s="3410"/>
      <c r="K6" s="537" t="s">
        <v>1678</v>
      </c>
      <c r="L6" s="2481"/>
      <c r="M6" s="2482"/>
      <c r="N6" s="2482"/>
      <c r="O6" s="2482"/>
      <c r="P6" s="3401"/>
      <c r="Q6" s="3402"/>
      <c r="R6" s="3405"/>
      <c r="S6" s="3406"/>
      <c r="T6" s="3407"/>
      <c r="U6" s="3408"/>
      <c r="V6" s="3379"/>
      <c r="W6" s="3379"/>
      <c r="X6" s="1265"/>
      <c r="Y6" s="3407"/>
      <c r="Z6" s="3408"/>
      <c r="AA6" s="3392"/>
      <c r="AB6" s="3379"/>
      <c r="AC6" s="3392"/>
    </row>
    <row r="7" spans="1:29" s="102" customFormat="1" ht="14.5" thickBot="1">
      <c r="A7" s="352" t="s">
        <v>1679</v>
      </c>
      <c r="B7" s="353"/>
      <c r="C7" s="354">
        <f>'数据-取费表'!B2</f>
        <v>45909</v>
      </c>
      <c r="D7" s="355">
        <v>100</v>
      </c>
      <c r="E7" s="356">
        <f>C7</f>
        <v>45909</v>
      </c>
      <c r="F7" s="357">
        <f>SUMIF(58:58,YEAR(E7)&amp;"-"&amp;MONTH(E7),59:59)</f>
        <v>100</v>
      </c>
      <c r="G7" s="356">
        <f>C7</f>
        <v>45909</v>
      </c>
      <c r="H7" s="355">
        <f>SUMIF(58:58,YEAR(G7)&amp;"-"&amp;MONTH(G7),59:59)</f>
        <v>100</v>
      </c>
      <c r="I7" s="356">
        <f>C7</f>
        <v>45909</v>
      </c>
      <c r="J7" s="355">
        <f>SUMIF(58:58,YEAR(I7)&amp;"-"&amp;MONTH(I7),59:59)</f>
        <v>100</v>
      </c>
      <c r="K7" s="38"/>
      <c r="L7" s="2483"/>
      <c r="M7" s="2435"/>
      <c r="N7" s="2435"/>
      <c r="O7" s="2435"/>
      <c r="P7" s="3413" t="s">
        <v>1680</v>
      </c>
      <c r="Q7" s="3415"/>
      <c r="R7" s="664" t="s">
        <v>14</v>
      </c>
      <c r="S7" s="665">
        <f t="shared" ref="S7:S15" si="0">F7</f>
        <v>100</v>
      </c>
      <c r="T7" s="664" t="s">
        <v>14</v>
      </c>
      <c r="U7" s="665">
        <f t="shared" ref="U7:U15" si="1">H7</f>
        <v>100</v>
      </c>
      <c r="V7" s="664" t="s">
        <v>14</v>
      </c>
      <c r="W7" s="665">
        <f t="shared" ref="W7:W15" si="2">J7</f>
        <v>100</v>
      </c>
      <c r="X7" s="666"/>
      <c r="Y7" s="3413" t="s">
        <v>1680</v>
      </c>
      <c r="Z7" s="3414"/>
      <c r="AA7" s="50">
        <f>D7/F7</f>
        <v>1</v>
      </c>
      <c r="AB7" s="50">
        <f>D7/H7</f>
        <v>1</v>
      </c>
      <c r="AC7" s="50">
        <f>D7/J7</f>
        <v>1</v>
      </c>
    </row>
    <row r="8" spans="1:29" s="102" customFormat="1" ht="14.5" thickBot="1">
      <c r="A8" s="352" t="s">
        <v>1681</v>
      </c>
      <c r="B8" s="353"/>
      <c r="C8" s="358" t="s">
        <v>3471</v>
      </c>
      <c r="D8" s="355">
        <v>100</v>
      </c>
      <c r="E8" s="358" t="s">
        <v>3472</v>
      </c>
      <c r="F8" s="357">
        <f>SUMIF(61:61,E8,62:62)-SUMIF(61:61,C8,62:62)+100</f>
        <v>105</v>
      </c>
      <c r="G8" s="358" t="s">
        <v>3472</v>
      </c>
      <c r="H8" s="355">
        <f>SUMIF(61:61,G8,62:62)-SUMIF(61:61,C8,62:62)+100</f>
        <v>105</v>
      </c>
      <c r="I8" s="358" t="s">
        <v>3472</v>
      </c>
      <c r="J8" s="355">
        <f>SUMIF(61:61,I8,62:62)-SUMIF(61:61,C8,62:62)+100</f>
        <v>105</v>
      </c>
      <c r="K8" s="38"/>
      <c r="L8" s="2483"/>
      <c r="M8" s="2435"/>
      <c r="N8" s="2435"/>
      <c r="O8" s="2435"/>
      <c r="P8" s="3413" t="s">
        <v>1683</v>
      </c>
      <c r="Q8" s="3414"/>
      <c r="R8" s="664" t="s">
        <v>14</v>
      </c>
      <c r="S8" s="665">
        <f t="shared" si="0"/>
        <v>105</v>
      </c>
      <c r="T8" s="664" t="s">
        <v>14</v>
      </c>
      <c r="U8" s="665">
        <f t="shared" si="1"/>
        <v>105</v>
      </c>
      <c r="V8" s="664" t="s">
        <v>14</v>
      </c>
      <c r="W8" s="665">
        <f t="shared" si="2"/>
        <v>105</v>
      </c>
      <c r="X8" s="666"/>
      <c r="Y8" s="3413" t="s">
        <v>1683</v>
      </c>
      <c r="Z8" s="3414"/>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518" t="s">
        <v>3515</v>
      </c>
      <c r="D9" s="59">
        <v>100</v>
      </c>
      <c r="E9" s="361" t="s">
        <v>673</v>
      </c>
      <c r="F9" s="60">
        <f>SUMIF(63:63,E9,64:64)-SUMIF(63:63,C9,64:64)+100</f>
        <v>100</v>
      </c>
      <c r="G9" s="361" t="s">
        <v>673</v>
      </c>
      <c r="H9" s="59">
        <f>SUMIF(63:63,G9,64:64)-SUMIF(63:63,C9,64:64)+100</f>
        <v>100</v>
      </c>
      <c r="I9" s="361" t="s">
        <v>673</v>
      </c>
      <c r="J9" s="59">
        <f>SUMIF(63:63,I9,64:64)-SUMIF(63:63,C9,64:64)+100</f>
        <v>100</v>
      </c>
      <c r="K9" s="38"/>
      <c r="L9" s="2483"/>
      <c r="M9" s="2435"/>
      <c r="N9" s="2435"/>
      <c r="O9" s="2435"/>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
      <c r="A10" s="363"/>
      <c r="B10" s="364" t="s">
        <v>1688</v>
      </c>
      <c r="C10" s="3127" t="s">
        <v>3516</v>
      </c>
      <c r="D10" s="119">
        <v>100</v>
      </c>
      <c r="E10" s="3128" t="s">
        <v>3517</v>
      </c>
      <c r="F10" s="364">
        <f>SUMIF(65:65,E10,66:66)-SUMIF(65:65,C10,66:66)+100</f>
        <v>96</v>
      </c>
      <c r="G10" s="3128" t="s">
        <v>3517</v>
      </c>
      <c r="H10" s="119">
        <f>SUMIF(65:65,G10,66:66)-SUMIF(65:65,C10,66:66)+100</f>
        <v>96</v>
      </c>
      <c r="I10" s="3128" t="s">
        <v>3517</v>
      </c>
      <c r="J10" s="119">
        <f>SUMIF(65:65,I10,66:66)-SUMIF(65:65,C10,66:66)+100</f>
        <v>96</v>
      </c>
      <c r="K10" s="38"/>
      <c r="L10" s="2484"/>
      <c r="M10" s="2485"/>
      <c r="N10" s="2485"/>
      <c r="O10" s="2485"/>
      <c r="P10" s="3389"/>
      <c r="Q10" s="530" t="str">
        <f t="shared" si="6"/>
        <v>土地使用年限（年）</v>
      </c>
      <c r="R10" s="664" t="s">
        <v>14</v>
      </c>
      <c r="S10" s="665">
        <f t="shared" si="0"/>
        <v>96</v>
      </c>
      <c r="T10" s="664" t="s">
        <v>14</v>
      </c>
      <c r="U10" s="665">
        <f t="shared" si="1"/>
        <v>96</v>
      </c>
      <c r="V10" s="664" t="s">
        <v>14</v>
      </c>
      <c r="W10" s="665">
        <f t="shared" si="2"/>
        <v>96</v>
      </c>
      <c r="X10" s="666"/>
      <c r="Y10" s="3253"/>
      <c r="Z10" s="50" t="str">
        <f t="shared" si="7"/>
        <v>土地使用年限（年）</v>
      </c>
      <c r="AA10" s="50">
        <f t="shared" si="3"/>
        <v>1.0416666666666667</v>
      </c>
      <c r="AB10" s="50">
        <f t="shared" si="4"/>
        <v>1.0416666666666667</v>
      </c>
      <c r="AC10" s="50">
        <f t="shared" si="5"/>
        <v>1.0416666666666667</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6"/>
      <c r="M11" s="2482"/>
      <c r="N11" s="2482"/>
      <c r="O11" s="2482"/>
      <c r="P11" s="3389"/>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5">
      <c r="A12" s="370"/>
      <c r="B12" s="447">
        <v>111</v>
      </c>
      <c r="C12" s="371"/>
      <c r="D12" s="372">
        <v>100</v>
      </c>
      <c r="E12" s="3519" t="s">
        <v>3518</v>
      </c>
      <c r="F12" s="364">
        <f>SUMIF(70:70,E12,71:71)-SUMIF(70:70,C12,71:71)+100</f>
        <v>100</v>
      </c>
      <c r="G12" s="373"/>
      <c r="H12" s="119">
        <f>SUMIF(70:70,G12,71:71)-SUMIF(70:70,C12,71:71)+100</f>
        <v>100</v>
      </c>
      <c r="I12" s="3519" t="s">
        <v>3518</v>
      </c>
      <c r="J12" s="119">
        <f>SUMIF(70:70,I12,71:71)-SUMIF(70:70,C12,71:71)+100</f>
        <v>100</v>
      </c>
      <c r="K12" s="539"/>
      <c r="L12" s="2483"/>
      <c r="M12" s="2435"/>
      <c r="N12" s="2435"/>
      <c r="O12" s="2435"/>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5">
      <c r="A13" s="367"/>
      <c r="B13" s="447">
        <v>111</v>
      </c>
      <c r="C13" s="373"/>
      <c r="D13" s="374">
        <v>100</v>
      </c>
      <c r="E13" s="373">
        <v>2004</v>
      </c>
      <c r="F13" s="364">
        <f>SUMIF(72:72,E13,73:73)-SUMIF(72:72,C13,73:73)+100</f>
        <v>100</v>
      </c>
      <c r="G13" s="373"/>
      <c r="H13" s="374">
        <f>SUMIF(72:72,G13,73:73)-SUMIF(72:72,C13,73:73)+100</f>
        <v>100</v>
      </c>
      <c r="I13" s="373">
        <v>2004</v>
      </c>
      <c r="J13" s="374">
        <f>SUMIF(72:72,I13,73:73)-SUMIF(72:72,C13,73:73)+100</f>
        <v>100</v>
      </c>
      <c r="K13" s="539"/>
      <c r="L13" s="2487"/>
      <c r="M13" s="2482"/>
      <c r="N13" s="2482"/>
      <c r="O13" s="2482"/>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6" thickBot="1">
      <c r="A14" s="375"/>
      <c r="B14" s="1749">
        <v>111</v>
      </c>
      <c r="C14" s="376"/>
      <c r="D14" s="377">
        <v>100</v>
      </c>
      <c r="E14" s="373">
        <f>E13-2+40-2025</f>
        <v>17</v>
      </c>
      <c r="F14" s="378">
        <f>SUMIF(74:74,E14,75:75)-SUMIF(74:74,C14,75:75)+100</f>
        <v>100</v>
      </c>
      <c r="G14" s="373"/>
      <c r="H14" s="377">
        <f>SUMIF(74:74,G14,75:75)-SUMIF(74:74,C14,75:75)+100</f>
        <v>100</v>
      </c>
      <c r="I14" s="373">
        <f>I13-2+40-2025</f>
        <v>17</v>
      </c>
      <c r="J14" s="377">
        <f>SUMIF(74:74,I14,75:75)-SUMIF(74:74,C14,75:75)+100</f>
        <v>100</v>
      </c>
      <c r="K14" s="539"/>
      <c r="L14" s="2487"/>
      <c r="M14" s="2482"/>
      <c r="N14" s="2482"/>
      <c r="O14" s="2482"/>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7"/>
      <c r="M15" s="2482"/>
      <c r="N15" s="2482"/>
      <c r="O15" s="2482"/>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5">
      <c r="A16" s="367"/>
      <c r="B16" s="385"/>
      <c r="C16" s="386" t="s">
        <v>3481</v>
      </c>
      <c r="D16" s="387"/>
      <c r="E16" s="386" t="s">
        <v>3481</v>
      </c>
      <c r="F16" s="388"/>
      <c r="G16" s="386" t="s">
        <v>3481</v>
      </c>
      <c r="H16" s="389"/>
      <c r="I16" s="386" t="s">
        <v>3481</v>
      </c>
      <c r="J16" s="387"/>
      <c r="K16" s="541"/>
      <c r="L16" s="2487"/>
      <c r="M16" s="2482"/>
      <c r="N16" s="2482"/>
      <c r="O16" s="2482"/>
      <c r="P16" s="3388"/>
      <c r="Q16" s="1263"/>
      <c r="R16" s="667"/>
      <c r="S16" s="668"/>
      <c r="T16" s="667"/>
      <c r="U16" s="668"/>
      <c r="V16" s="667"/>
      <c r="W16" s="668"/>
      <c r="X16" s="1265"/>
      <c r="Y16" s="3381"/>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7"/>
      <c r="M17" s="2482"/>
      <c r="N17" s="2482"/>
      <c r="O17" s="2482"/>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5">
      <c r="A18" s="367"/>
      <c r="B18" s="395"/>
      <c r="C18" s="1755" t="s">
        <v>3481</v>
      </c>
      <c r="D18" s="389"/>
      <c r="E18" s="1755" t="s">
        <v>3481</v>
      </c>
      <c r="F18" s="392"/>
      <c r="G18" s="1755" t="s">
        <v>3481</v>
      </c>
      <c r="H18" s="387"/>
      <c r="I18" s="1755" t="s">
        <v>3481</v>
      </c>
      <c r="J18" s="387"/>
      <c r="K18" s="541"/>
      <c r="L18" s="2487"/>
      <c r="M18" s="2482"/>
      <c r="N18" s="2482"/>
      <c r="O18" s="2482"/>
      <c r="P18" s="3388"/>
      <c r="Q18" s="1263"/>
      <c r="R18" s="667"/>
      <c r="S18" s="668"/>
      <c r="T18" s="667"/>
      <c r="U18" s="668"/>
      <c r="V18" s="667"/>
      <c r="W18" s="668"/>
      <c r="X18" s="1265"/>
      <c r="Y18" s="3381"/>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7"/>
      <c r="M19" s="2482"/>
      <c r="N19" s="2482"/>
      <c r="O19" s="2482"/>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5">
      <c r="A20" s="367"/>
      <c r="B20" s="395"/>
      <c r="C20" s="1755" t="s">
        <v>3481</v>
      </c>
      <c r="D20" s="387"/>
      <c r="E20" s="1755" t="s">
        <v>3481</v>
      </c>
      <c r="F20" s="388"/>
      <c r="G20" s="1755" t="s">
        <v>3481</v>
      </c>
      <c r="H20" s="387"/>
      <c r="I20" s="1755" t="s">
        <v>3481</v>
      </c>
      <c r="J20" s="387"/>
      <c r="K20" s="541"/>
      <c r="L20" s="2487"/>
      <c r="M20" s="2482"/>
      <c r="N20" s="2482"/>
      <c r="O20" s="2482"/>
      <c r="P20" s="3388"/>
      <c r="Q20" s="1263"/>
      <c r="R20" s="667"/>
      <c r="S20" s="668"/>
      <c r="T20" s="667"/>
      <c r="U20" s="668"/>
      <c r="V20" s="667"/>
      <c r="W20" s="668"/>
      <c r="X20" s="1265"/>
      <c r="Y20" s="3381"/>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7"/>
      <c r="M21" s="2482"/>
      <c r="N21" s="2482"/>
      <c r="O21" s="2482"/>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5">
      <c r="A22" s="367"/>
      <c r="B22" s="586"/>
      <c r="C22" s="1755" t="s">
        <v>3497</v>
      </c>
      <c r="D22" s="387"/>
      <c r="E22" s="1755" t="s">
        <v>3497</v>
      </c>
      <c r="F22" s="388"/>
      <c r="G22" s="1755" t="s">
        <v>3497</v>
      </c>
      <c r="H22" s="387"/>
      <c r="I22" s="1755" t="s">
        <v>3497</v>
      </c>
      <c r="J22" s="387"/>
      <c r="K22" s="1064"/>
      <c r="L22" s="2487"/>
      <c r="M22" s="2482"/>
      <c r="N22" s="2482"/>
      <c r="O22" s="2482"/>
      <c r="P22" s="3388"/>
      <c r="Q22" s="1263"/>
      <c r="R22" s="667"/>
      <c r="S22" s="668"/>
      <c r="T22" s="667"/>
      <c r="U22" s="668"/>
      <c r="V22" s="667"/>
      <c r="W22" s="668"/>
      <c r="X22" s="1265"/>
      <c r="Y22" s="3381"/>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7"/>
      <c r="M23" s="2482"/>
      <c r="N23" s="2482"/>
      <c r="O23" s="2482"/>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5">
      <c r="A24" s="367"/>
      <c r="B24" s="395"/>
      <c r="C24" s="386" t="s">
        <v>3481</v>
      </c>
      <c r="D24" s="387"/>
      <c r="E24" s="386" t="s">
        <v>3481</v>
      </c>
      <c r="F24" s="388"/>
      <c r="G24" s="386" t="s">
        <v>3481</v>
      </c>
      <c r="H24" s="387"/>
      <c r="I24" s="386" t="s">
        <v>3481</v>
      </c>
      <c r="J24" s="387"/>
      <c r="K24" s="541"/>
      <c r="L24" s="2487"/>
      <c r="M24" s="2482"/>
      <c r="N24" s="2482"/>
      <c r="O24" s="2482"/>
      <c r="P24" s="3388"/>
      <c r="Q24" s="1263"/>
      <c r="R24" s="667"/>
      <c r="S24" s="668"/>
      <c r="T24" s="667"/>
      <c r="U24" s="668"/>
      <c r="V24" s="667"/>
      <c r="W24" s="668"/>
      <c r="X24" s="1265"/>
      <c r="Y24" s="3381"/>
      <c r="Z24" s="1264"/>
      <c r="AA24" s="1264">
        <v>1</v>
      </c>
      <c r="AB24" s="1264">
        <v>1</v>
      </c>
      <c r="AC24" s="1264">
        <v>1</v>
      </c>
    </row>
    <row r="25" spans="1:29" ht="15.5">
      <c r="A25" s="367"/>
      <c r="B25" s="364" t="s">
        <v>1780</v>
      </c>
      <c r="C25" s="542" t="s">
        <v>3479</v>
      </c>
      <c r="D25" s="374">
        <v>100</v>
      </c>
      <c r="E25" s="542" t="s">
        <v>3479</v>
      </c>
      <c r="F25" s="400">
        <f>SUMIF(86:86,E25,87:87)-SUMIF(86:86,C25,87:87)+100</f>
        <v>100</v>
      </c>
      <c r="G25" s="542" t="s">
        <v>3479</v>
      </c>
      <c r="H25" s="374">
        <f>SUMIF(86:86,G25,87:87)-SUMIF(86:86,C25,87:87)+100</f>
        <v>100</v>
      </c>
      <c r="I25" s="542" t="s">
        <v>3479</v>
      </c>
      <c r="J25" s="374">
        <f>SUMIF(86:86,I25,87:87)-SUMIF(86:86,C25,87:87)+100</f>
        <v>100</v>
      </c>
      <c r="K25" s="538">
        <v>2</v>
      </c>
      <c r="L25" s="2487"/>
      <c r="M25" s="2482"/>
      <c r="N25" s="2482"/>
      <c r="O25" s="2482"/>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5">
      <c r="A26" s="367"/>
      <c r="B26" s="1066" t="s">
        <v>1781</v>
      </c>
      <c r="C26" s="3519" t="s">
        <v>3482</v>
      </c>
      <c r="D26" s="374">
        <v>100</v>
      </c>
      <c r="E26" s="3519" t="s">
        <v>3482</v>
      </c>
      <c r="F26" s="400">
        <f>SUMIF(88:88,E26,89:89)-SUMIF(88:88,C26,89:89)+100</f>
        <v>100</v>
      </c>
      <c r="G26" s="3519" t="s">
        <v>3482</v>
      </c>
      <c r="H26" s="374">
        <f>SUMIF(88:88,G26,89:89)-SUMIF(88:88,C26,89:89)+100</f>
        <v>100</v>
      </c>
      <c r="I26" s="3519" t="s">
        <v>3482</v>
      </c>
      <c r="J26" s="374">
        <f>SUMIF(88:88,I26,89:89)-SUMIF(88:88,C26,89:89)+100</f>
        <v>100</v>
      </c>
      <c r="K26" s="539"/>
      <c r="L26" s="2487"/>
      <c r="M26" s="2482"/>
      <c r="N26" s="2482"/>
      <c r="O26" s="2482"/>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5">
      <c r="A27" s="370"/>
      <c r="B27" s="390" t="s">
        <v>1782</v>
      </c>
      <c r="C27" s="1807" t="s">
        <v>3486</v>
      </c>
      <c r="D27" s="401">
        <v>100</v>
      </c>
      <c r="E27" s="1807" t="s">
        <v>3488</v>
      </c>
      <c r="F27" s="395">
        <f>SUMIF(90:90,E27,91:91)-SUMIF(90:90,C27,91:91)+100</f>
        <v>97</v>
      </c>
      <c r="G27" s="1807" t="s">
        <v>3488</v>
      </c>
      <c r="H27" s="401">
        <f>SUMIF(90:90,G27,91:91)-SUMIF(90:90,C27,91:91)+100</f>
        <v>97</v>
      </c>
      <c r="I27" s="1807" t="s">
        <v>3484</v>
      </c>
      <c r="J27" s="401">
        <f>SUMIF(90:90,I27,91:91)-SUMIF(90:90,C27,91:91)+100</f>
        <v>103</v>
      </c>
      <c r="K27" s="538">
        <v>3</v>
      </c>
      <c r="L27" s="2483"/>
      <c r="M27" s="2435"/>
      <c r="N27" s="2435"/>
      <c r="O27" s="2435"/>
      <c r="P27" s="3388"/>
      <c r="Q27" s="530" t="str">
        <f t="shared" si="11"/>
        <v>人流量</v>
      </c>
      <c r="R27" s="664" t="s">
        <v>14</v>
      </c>
      <c r="S27" s="665">
        <f>F27</f>
        <v>97</v>
      </c>
      <c r="T27" s="664" t="s">
        <v>14</v>
      </c>
      <c r="U27" s="665">
        <f>H27</f>
        <v>97</v>
      </c>
      <c r="V27" s="664" t="s">
        <v>14</v>
      </c>
      <c r="W27" s="665">
        <f>J27</f>
        <v>103</v>
      </c>
      <c r="X27" s="666"/>
      <c r="Y27" s="3381"/>
      <c r="Z27" s="50" t="str">
        <f>Q27</f>
        <v>人流量</v>
      </c>
      <c r="AA27" s="1264">
        <f>D27/F27</f>
        <v>1.0309278350515463</v>
      </c>
      <c r="AB27" s="1264">
        <f>D27/H27</f>
        <v>1.0309278350515463</v>
      </c>
      <c r="AC27" s="1264">
        <f>D27/J27</f>
        <v>0.970873786407767</v>
      </c>
    </row>
    <row r="28" spans="1:29" ht="15.5">
      <c r="A28" s="367"/>
      <c r="B28" s="364" t="s">
        <v>1783</v>
      </c>
      <c r="C28" s="542" t="s">
        <v>3520</v>
      </c>
      <c r="D28" s="374">
        <v>100</v>
      </c>
      <c r="E28" s="542" t="s">
        <v>3520</v>
      </c>
      <c r="F28" s="400">
        <f>SUMIF(92:92,E28,93:93)-SUMIF(92:92,C28,93:93)+100</f>
        <v>100</v>
      </c>
      <c r="G28" s="542" t="s">
        <v>3520</v>
      </c>
      <c r="H28" s="374">
        <f>SUMIF(92:92,G28,93:93)-SUMIF(92:92,C28,93:93)+100</f>
        <v>100</v>
      </c>
      <c r="I28" s="542" t="s">
        <v>3520</v>
      </c>
      <c r="J28" s="374">
        <f>SUMIF(92:92,I28,93:93)-SUMIF(92:92,C28,93:93)+100</f>
        <v>100</v>
      </c>
      <c r="K28" s="539"/>
      <c r="L28" s="2487"/>
      <c r="M28" s="2482"/>
      <c r="N28" s="2482"/>
      <c r="O28" s="2482"/>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5">
      <c r="A32" s="379" t="s">
        <v>1694</v>
      </c>
      <c r="B32" s="60" t="s">
        <v>1784</v>
      </c>
      <c r="C32" s="1764" t="s">
        <v>3494</v>
      </c>
      <c r="D32" s="405">
        <v>100</v>
      </c>
      <c r="E32" s="1764" t="s">
        <v>3494</v>
      </c>
      <c r="F32" s="400">
        <f>SUMIF(100:100,E32,101:101)-SUMIF(100:100,C32,101:101)+100</f>
        <v>100</v>
      </c>
      <c r="G32" s="1764" t="s">
        <v>3494</v>
      </c>
      <c r="H32" s="374">
        <f>SUMIF(100:100,G32,101:101)-SUMIF(100:100,C32,101:101)+100</f>
        <v>100</v>
      </c>
      <c r="I32" s="1764" t="s">
        <v>3494</v>
      </c>
      <c r="J32" s="405">
        <f>SUMIF(100:100,I32,101:101)-SUMIF(100:100,C32,101:101)+100</f>
        <v>100</v>
      </c>
      <c r="K32" s="538">
        <v>2</v>
      </c>
      <c r="L32" s="2487"/>
      <c r="M32" s="2482"/>
      <c r="N32" s="2482"/>
      <c r="O32" s="2482"/>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5">
      <c r="A33" s="406"/>
      <c r="B33" s="364" t="s">
        <v>1697</v>
      </c>
      <c r="C33" s="407">
        <f>'数据-基础表'!H13</f>
        <v>443.61</v>
      </c>
      <c r="D33" s="119">
        <v>100</v>
      </c>
      <c r="E33" s="369">
        <v>64</v>
      </c>
      <c r="F33" s="364">
        <f>LOOKUP(E33,103:103,104:104)-LOOKUP(C33,103:103,104:104)+100</f>
        <v>103</v>
      </c>
      <c r="G33" s="368">
        <v>98</v>
      </c>
      <c r="H33" s="119">
        <f>LOOKUP(G33,103:103,104:104)-LOOKUP(C33,103:103,104:104)+100</f>
        <v>102</v>
      </c>
      <c r="I33" s="368">
        <v>196.83</v>
      </c>
      <c r="J33" s="119">
        <f>LOOKUP(I33,103:103,104:104)-LOOKUP(C33,103:103,104:104)+100</f>
        <v>101</v>
      </c>
      <c r="K33" s="539"/>
      <c r="L33" s="2486"/>
      <c r="M33" s="2488"/>
      <c r="N33" s="2488"/>
      <c r="O33" s="2488"/>
      <c r="P33" s="3383"/>
      <c r="Q33" s="531" t="str">
        <f t="shared" si="11"/>
        <v>项目建筑规模</v>
      </c>
      <c r="R33" s="669" t="s">
        <v>14</v>
      </c>
      <c r="S33" s="670">
        <f t="shared" si="12"/>
        <v>103</v>
      </c>
      <c r="T33" s="669" t="s">
        <v>14</v>
      </c>
      <c r="U33" s="670">
        <f t="shared" si="13"/>
        <v>102</v>
      </c>
      <c r="V33" s="669" t="s">
        <v>14</v>
      </c>
      <c r="W33" s="670">
        <f t="shared" si="14"/>
        <v>101</v>
      </c>
      <c r="X33" s="671"/>
      <c r="Y33" s="3385"/>
      <c r="Z33" s="672" t="str">
        <f t="shared" si="15"/>
        <v>项目建筑规模</v>
      </c>
      <c r="AA33" s="1264">
        <f t="shared" si="3"/>
        <v>0.970873786407767</v>
      </c>
      <c r="AB33" s="1264">
        <f t="shared" si="4"/>
        <v>0.98039215686274506</v>
      </c>
      <c r="AC33" s="1264">
        <f t="shared" si="5"/>
        <v>0.99009900990099009</v>
      </c>
    </row>
    <row r="34" spans="1:29" ht="15.5">
      <c r="A34" s="409"/>
      <c r="B34" s="364" t="s">
        <v>1698</v>
      </c>
      <c r="C34" s="399" t="s">
        <v>3461</v>
      </c>
      <c r="D34" s="374">
        <v>100</v>
      </c>
      <c r="E34" s="399" t="s">
        <v>3461</v>
      </c>
      <c r="F34" s="400">
        <f>SUMIF(105:105,E34,106:106)-SUMIF(105:105,C34,106:106)+100</f>
        <v>100</v>
      </c>
      <c r="G34" s="399" t="s">
        <v>3461</v>
      </c>
      <c r="H34" s="374">
        <f>SUMIF(105:105,G34,106:106)-SUMIF(105:105,C34,106:106)+100</f>
        <v>100</v>
      </c>
      <c r="I34" s="399" t="s">
        <v>3461</v>
      </c>
      <c r="J34" s="374">
        <f>SUMIF(105:105,I34,106:106)-SUMIF(105:105,C34,106:106)+100</f>
        <v>100</v>
      </c>
      <c r="K34" s="538">
        <v>2</v>
      </c>
      <c r="L34" s="2487"/>
      <c r="M34" s="2482"/>
      <c r="N34" s="2482"/>
      <c r="O34" s="2482"/>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7"/>
      <c r="M35" s="2482"/>
      <c r="N35" s="2482"/>
      <c r="O35" s="2482"/>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5">
      <c r="A36" s="409"/>
      <c r="B36" s="364" t="s">
        <v>1786</v>
      </c>
      <c r="C36" s="411">
        <f>'数据-取费表'!Y6</f>
        <v>0.7</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87"/>
      <c r="M36" s="2482"/>
      <c r="N36" s="2482"/>
      <c r="O36" s="2482"/>
      <c r="P36" s="3383"/>
      <c r="Q36" s="1263" t="str">
        <f t="shared" si="11"/>
        <v>成新度</v>
      </c>
      <c r="R36" s="667" t="s">
        <v>14</v>
      </c>
      <c r="S36" s="668">
        <f t="shared" si="12"/>
        <v>100</v>
      </c>
      <c r="T36" s="667" t="s">
        <v>14</v>
      </c>
      <c r="U36" s="668">
        <f t="shared" si="13"/>
        <v>100</v>
      </c>
      <c r="V36" s="667" t="s">
        <v>14</v>
      </c>
      <c r="W36" s="668">
        <f t="shared" si="14"/>
        <v>100</v>
      </c>
      <c r="X36" s="1265"/>
      <c r="Y36" s="3385"/>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3"/>
      <c r="M37" s="2435"/>
      <c r="N37" s="2435"/>
      <c r="O37" s="2435"/>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5">
      <c r="A38" s="409"/>
      <c r="B38" s="364" t="s">
        <v>1788</v>
      </c>
      <c r="C38" s="1760" t="s">
        <v>3502</v>
      </c>
      <c r="D38" s="374">
        <v>100</v>
      </c>
      <c r="E38" s="1760" t="s">
        <v>3504</v>
      </c>
      <c r="F38" s="400">
        <f>SUMIF(114:114,E38,115:115)-SUMIF(114:114,C38,115:115)+100</f>
        <v>95</v>
      </c>
      <c r="G38" s="1760" t="s">
        <v>3504</v>
      </c>
      <c r="H38" s="374">
        <f>SUMIF(114:114,G38,115:115)-SUMIF(114:114,C38,115:115)+100</f>
        <v>95</v>
      </c>
      <c r="I38" s="1760" t="s">
        <v>3504</v>
      </c>
      <c r="J38" s="374">
        <f>SUMIF(114:114,I38,115:115)-SUMIF(114:114,C38,115:115)+100</f>
        <v>95</v>
      </c>
      <c r="K38" s="538">
        <v>5</v>
      </c>
      <c r="L38" s="2487"/>
      <c r="M38" s="2482"/>
      <c r="N38" s="2482"/>
      <c r="O38" s="2482"/>
      <c r="P38" s="3383" t="s">
        <v>1696</v>
      </c>
      <c r="Q38" s="1263" t="str">
        <f t="shared" si="11"/>
        <v>业态</v>
      </c>
      <c r="R38" s="667" t="s">
        <v>14</v>
      </c>
      <c r="S38" s="668">
        <f t="shared" si="12"/>
        <v>95</v>
      </c>
      <c r="T38" s="667" t="s">
        <v>14</v>
      </c>
      <c r="U38" s="668">
        <f t="shared" si="13"/>
        <v>95</v>
      </c>
      <c r="V38" s="667" t="s">
        <v>14</v>
      </c>
      <c r="W38" s="668">
        <f t="shared" si="14"/>
        <v>95</v>
      </c>
      <c r="X38" s="1265"/>
      <c r="Y38" s="3385" t="s">
        <v>1696</v>
      </c>
      <c r="Z38" s="1264" t="str">
        <f t="shared" si="15"/>
        <v>业态</v>
      </c>
      <c r="AA38" s="1264">
        <f t="shared" si="3"/>
        <v>1.0526315789473684</v>
      </c>
      <c r="AB38" s="1264">
        <f t="shared" si="4"/>
        <v>1.0526315789473684</v>
      </c>
      <c r="AC38" s="1264">
        <f t="shared" si="5"/>
        <v>1.0526315789473684</v>
      </c>
    </row>
    <row r="39" spans="1:29" ht="15.5">
      <c r="A39" s="409"/>
      <c r="B39" s="364" t="s">
        <v>1789</v>
      </c>
      <c r="C39" s="1760" t="s">
        <v>3506</v>
      </c>
      <c r="D39" s="374">
        <v>100</v>
      </c>
      <c r="E39" s="1760" t="s">
        <v>3506</v>
      </c>
      <c r="F39" s="400">
        <f>SUMIF(116:116,E39,117:117)-SUMIF(116:116,C39,117:117)+100</f>
        <v>100</v>
      </c>
      <c r="G39" s="1760" t="s">
        <v>3506</v>
      </c>
      <c r="H39" s="374">
        <f>SUMIF(116:116,G39,117:117)-SUMIF(116:116,C39,117:117)+100</f>
        <v>100</v>
      </c>
      <c r="I39" s="1760" t="s">
        <v>3506</v>
      </c>
      <c r="J39" s="374">
        <f>SUMIF(116:116,I39,117:117)-SUMIF(116:116,C39,117:117)+100</f>
        <v>100</v>
      </c>
      <c r="K39" s="538">
        <v>5</v>
      </c>
      <c r="L39" s="2487"/>
      <c r="M39" s="2482"/>
      <c r="N39" s="2482"/>
      <c r="O39" s="2482"/>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5">
      <c r="A42" s="409"/>
      <c r="B42" s="364" t="s">
        <v>1792</v>
      </c>
      <c r="C42" s="1760" t="s">
        <v>3510</v>
      </c>
      <c r="D42" s="374">
        <v>100</v>
      </c>
      <c r="E42" s="1760" t="s">
        <v>3510</v>
      </c>
      <c r="F42" s="400">
        <f>SUMIF(122:122,E42,123:123)-SUMIF(122:122,C42,123:123)+100</f>
        <v>100</v>
      </c>
      <c r="G42" s="1760" t="s">
        <v>3510</v>
      </c>
      <c r="H42" s="374">
        <f>SUMIF(122:122,G42,123:123)-SUMIF(122:122,C42,123:123)+100</f>
        <v>100</v>
      </c>
      <c r="I42" s="1760" t="s">
        <v>3510</v>
      </c>
      <c r="J42" s="374">
        <f>SUMIF(122:122,I42,123:123)-SUMIF(122:122,C42,123:123)+100</f>
        <v>100</v>
      </c>
      <c r="K42" s="538">
        <v>1</v>
      </c>
      <c r="L42" s="2487"/>
      <c r="M42" s="2482"/>
      <c r="N42" s="2482"/>
      <c r="O42" s="2482"/>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28">
      <c r="A43" s="409"/>
      <c r="B43" s="364" t="s">
        <v>1707</v>
      </c>
      <c r="C43" s="1760" t="s">
        <v>3481</v>
      </c>
      <c r="D43" s="374">
        <v>100</v>
      </c>
      <c r="E43" s="1760" t="s">
        <v>3481</v>
      </c>
      <c r="F43" s="400">
        <f>SUMIF(124:124,E43,125:125)-SUMIF(124:124,C43,125:125)+100</f>
        <v>100</v>
      </c>
      <c r="G43" s="1760" t="s">
        <v>3481</v>
      </c>
      <c r="H43" s="374">
        <f>SUMIF(124:124,G43,125:125)-SUMIF(124:124,C43,125:125)+100</f>
        <v>100</v>
      </c>
      <c r="I43" s="1760" t="s">
        <v>3481</v>
      </c>
      <c r="J43" s="374">
        <f>SUMIF(124:124,I43,125:125)-SUMIF(124:124,C43,125:125)+100</f>
        <v>100</v>
      </c>
      <c r="K43" s="538">
        <v>2</v>
      </c>
      <c r="L43" s="2487"/>
      <c r="M43" s="2482"/>
      <c r="N43" s="2482"/>
      <c r="O43" s="2482"/>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c r="A47" s="416" t="s">
        <v>1708</v>
      </c>
      <c r="B47" s="417"/>
      <c r="C47" s="1081" t="s">
        <v>0</v>
      </c>
      <c r="D47" s="418"/>
      <c r="E47" s="419">
        <v>13.7</v>
      </c>
      <c r="F47" s="420"/>
      <c r="G47" s="421">
        <v>12.58</v>
      </c>
      <c r="H47" s="422"/>
      <c r="I47" s="419">
        <v>11.86</v>
      </c>
      <c r="J47" s="422"/>
      <c r="K47" s="674"/>
      <c r="L47" s="2489"/>
      <c r="M47" s="2482"/>
      <c r="N47" s="2482"/>
      <c r="O47" s="2482"/>
      <c r="P47" s="3378" t="str">
        <f>A47</f>
        <v>成交单价（元/平方米）</v>
      </c>
      <c r="Q47" s="3378"/>
      <c r="R47" s="3379">
        <f>E47</f>
        <v>13.7</v>
      </c>
      <c r="S47" s="3379"/>
      <c r="T47" s="3379">
        <f>G47</f>
        <v>12.58</v>
      </c>
      <c r="U47" s="3379"/>
      <c r="V47" s="3379">
        <f>I47</f>
        <v>11.86</v>
      </c>
      <c r="W47" s="3379"/>
      <c r="X47" s="385"/>
      <c r="Y47" s="673"/>
      <c r="Z47" s="385"/>
      <c r="AA47" s="385"/>
      <c r="AB47" s="385"/>
      <c r="AC47" s="385"/>
    </row>
    <row r="48" spans="1:29" ht="14.5" thickBot="1">
      <c r="A48" s="423" t="s">
        <v>1793</v>
      </c>
      <c r="B48" s="424"/>
      <c r="C48" s="1082">
        <f>R49</f>
        <v>13.2</v>
      </c>
      <c r="D48" s="2141" t="s">
        <v>2138</v>
      </c>
      <c r="E48" s="1083">
        <f>R48</f>
        <v>14.3</v>
      </c>
      <c r="F48" s="2142"/>
      <c r="G48" s="1082">
        <f>T48</f>
        <v>13.3</v>
      </c>
      <c r="H48" s="2142"/>
      <c r="I48" s="1083">
        <f>V48</f>
        <v>11.9</v>
      </c>
      <c r="J48" s="2142"/>
      <c r="K48" s="2144">
        <f>F48+H48+J48</f>
        <v>0</v>
      </c>
      <c r="L48" s="2489"/>
      <c r="M48" s="2482"/>
      <c r="N48" s="2482"/>
      <c r="O48" s="2482"/>
      <c r="P48" s="3378" t="str">
        <f>A48</f>
        <v>比较价值（元/平方米）</v>
      </c>
      <c r="Q48" s="3378"/>
      <c r="R48" s="3379">
        <f>IF(F1="售价",ROUND(PRODUCT(R47,AA7:AA46),0),ROUND(PRODUCT(R47,AA7:AA46),1))</f>
        <v>14.3</v>
      </c>
      <c r="S48" s="3379"/>
      <c r="T48" s="3379">
        <f>IF(F1="售价",ROUND(PRODUCT(T47,AB7:AB46),0),ROUND(PRODUCT(T47,AB7:AB46),1))</f>
        <v>13.3</v>
      </c>
      <c r="U48" s="3379"/>
      <c r="V48" s="3379">
        <f>IF(F1="售价",ROUND(PRODUCT(V47,AC7:AC46),0),ROUND(PRODUCT(V47,AC7:AC46),1))</f>
        <v>11.9</v>
      </c>
      <c r="W48" s="3379"/>
      <c r="X48" s="385"/>
      <c r="Y48" s="385"/>
      <c r="Z48" s="385"/>
      <c r="AA48" s="385"/>
      <c r="AB48" s="385"/>
      <c r="AC48" s="385"/>
    </row>
    <row r="49" spans="1:29" ht="14.5" thickBot="1">
      <c r="A49" s="427" t="s">
        <v>1794</v>
      </c>
      <c r="B49" s="428"/>
      <c r="C49" s="351">
        <f>R49</f>
        <v>13.2</v>
      </c>
      <c r="D49" s="351"/>
      <c r="E49" s="351"/>
      <c r="F49" s="351"/>
      <c r="G49" s="351"/>
      <c r="H49" s="351"/>
      <c r="I49" s="351"/>
      <c r="J49" s="351"/>
      <c r="K49" s="675"/>
      <c r="L49" s="2489"/>
      <c r="M49" s="2482"/>
      <c r="N49" s="2482"/>
      <c r="O49" s="2482"/>
      <c r="P49" s="3375" t="str">
        <f>A49</f>
        <v>估价对象XX用房的比较价值（楼面单价，元/平方米）</v>
      </c>
      <c r="Q49" s="3376"/>
      <c r="R49" s="3377">
        <f>IF(F1="售价",ROUND(IF(D48="简单平均",AVERAGE(R48:V48),R48*F48+T48*H48+V48*J48),0),ROUND(IF(D48="简单平均",AVERAGE(R48:V48),R48*F48+T48*H48+V48*J48),1))</f>
        <v>13.2</v>
      </c>
      <c r="S49" s="3377"/>
      <c r="T49" s="3377"/>
      <c r="U49" s="3377"/>
      <c r="V49" s="3377"/>
      <c r="W49" s="3377"/>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f>IF(E47&lt;E48,E48/E47-1,E47/E48-1)</f>
        <v>4.3795620437956373E-2</v>
      </c>
      <c r="F52" s="435" t="str">
        <f>IF(OR(E52&gt;=0.3,E52&lt;=-0.3),"超过30%","")</f>
        <v/>
      </c>
      <c r="G52" s="434">
        <f>IF(G47&lt;G48,G48/G47-1,G47/G48-1)</f>
        <v>5.7233704292527943E-2</v>
      </c>
      <c r="H52" s="435" t="str">
        <f>IF(OR(G52&gt;=0.3,G52&lt;=-0.3),"超过30%","")</f>
        <v/>
      </c>
      <c r="I52" s="434">
        <f>IF(I47&lt;I48,I48/I47-1,I47/I48-1)</f>
        <v>3.3726812816190499E-3</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f>IF(E48&lt;G48,G48/E48-1,E48/G48-1)</f>
        <v>7.5187969924812137E-2</v>
      </c>
      <c r="F53" s="435" t="str">
        <f>IF(OR(E53&gt;=0.2,E53&lt;=-0.2),"超过20%","")</f>
        <v/>
      </c>
      <c r="G53" s="434">
        <f>IF(G48&lt;I48,I48/G48-1,G48/I48-1)</f>
        <v>0.11764705882352944</v>
      </c>
      <c r="H53" s="435" t="str">
        <f>IF(OR(G53&gt;=0.2,G53&lt;=-0.2),"超过20%","")</f>
        <v/>
      </c>
      <c r="I53" s="434">
        <f>IF(I48&lt;E48,E48/I48-1,I48/E48-1)</f>
        <v>0.20168067226890751</v>
      </c>
      <c r="J53" s="435" t="str">
        <f>IF(OR(I53&gt;=0.2,I53&lt;=-0.2),"超过20%","")</f>
        <v>超过20%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f>IF(E47&lt;G47,G47/E47-1,E47/G47-1)</f>
        <v>8.9030206677265467E-2</v>
      </c>
      <c r="F54" s="435" t="str">
        <f>IF(OR(E54&gt;=0.3,E54&lt;=-0.3),"超过30%","")</f>
        <v/>
      </c>
      <c r="G54" s="434">
        <f>IF(G47&lt;I47,I47/G47-1,G47/I47-1)</f>
        <v>6.0708263069140012E-2</v>
      </c>
      <c r="H54" s="435" t="str">
        <f>IF(OR(G54&gt;=0.3,G54&lt;=-0.3),"超过30%","")</f>
        <v/>
      </c>
      <c r="I54" s="434">
        <f>IF(I47&lt;E47,E47/I47-1,I47/E47-1)</f>
        <v>0.15514333895446875</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5" thickBot="1">
      <c r="A57" s="658" t="s">
        <v>1798</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4"/>
      <c r="Q58" s="2505"/>
      <c r="R58" s="2505"/>
      <c r="S58" s="2505"/>
      <c r="T58" s="2505"/>
      <c r="U58" s="2505"/>
      <c r="V58" s="2505"/>
      <c r="W58" s="2505"/>
      <c r="X58" s="2505"/>
      <c r="Y58" s="2505"/>
      <c r="Z58" s="2505"/>
      <c r="AA58" s="2505"/>
      <c r="AB58" s="2505"/>
      <c r="AC58" s="2505"/>
    </row>
    <row r="59" spans="1:29" s="102" customFormat="1">
      <c r="A59" s="443"/>
      <c r="B59" s="444"/>
      <c r="C59" s="1102">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4.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c r="A61" s="455" t="s">
        <v>1681</v>
      </c>
      <c r="B61" s="444"/>
      <c r="C61" s="456" t="s">
        <v>1776</v>
      </c>
      <c r="D61" s="3514" t="s">
        <v>3473</v>
      </c>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5" thickBot="1">
      <c r="A62" s="455"/>
      <c r="B62" s="444"/>
      <c r="C62" s="445">
        <v>100</v>
      </c>
      <c r="D62" s="446">
        <v>105</v>
      </c>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1719</v>
      </c>
      <c r="B63" s="460" t="s">
        <v>1685</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8.5" thickTop="1">
      <c r="A65" s="367"/>
      <c r="B65" s="469" t="s">
        <v>1688</v>
      </c>
      <c r="C65" s="513" t="s">
        <v>3474</v>
      </c>
      <c r="D65" s="513" t="s">
        <v>3475</v>
      </c>
      <c r="E65" s="513" t="s">
        <v>3476</v>
      </c>
      <c r="F65" s="513" t="s">
        <v>3477</v>
      </c>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5" thickBot="1">
      <c r="A66" s="367"/>
      <c r="B66" s="474"/>
      <c r="C66" s="467">
        <f t="shared" ref="C66:D66" si="17">D66-4</f>
        <v>88</v>
      </c>
      <c r="D66" s="467">
        <f t="shared" si="17"/>
        <v>92</v>
      </c>
      <c r="E66" s="467">
        <f>F66-4</f>
        <v>96</v>
      </c>
      <c r="F66" s="467">
        <v>100</v>
      </c>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v>0</v>
      </c>
      <c r="D68" s="480">
        <v>3</v>
      </c>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17"/>
      <c r="O69" s="2517"/>
      <c r="P69" s="2508"/>
      <c r="Q69" s="2503"/>
      <c r="R69" s="2482"/>
      <c r="S69" s="2482"/>
      <c r="T69" s="2482"/>
      <c r="U69" s="2482"/>
      <c r="V69" s="2482"/>
      <c r="W69" s="2482"/>
      <c r="X69" s="2482"/>
      <c r="Y69" s="2482"/>
      <c r="Z69" s="2482"/>
      <c r="AA69" s="2482"/>
      <c r="AB69" s="2482"/>
      <c r="AC69" s="2482"/>
    </row>
    <row r="70" spans="1:29" s="408" customFormat="1" ht="14.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5" thickBot="1">
      <c r="A77" s="367"/>
      <c r="B77" s="474"/>
      <c r="C77" s="475">
        <v>100</v>
      </c>
      <c r="D77" s="475">
        <f>C77-$K15</f>
        <v>97</v>
      </c>
      <c r="E77" s="475">
        <f>D77-$K15</f>
        <v>94</v>
      </c>
      <c r="F77" s="475">
        <f>E77-$K15</f>
        <v>91</v>
      </c>
      <c r="G77" s="475">
        <f>F77-$K15</f>
        <v>88</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4.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5"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4.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5" thickBot="1">
      <c r="A81" s="367"/>
      <c r="B81" s="474"/>
      <c r="C81" s="475">
        <v>100</v>
      </c>
      <c r="D81" s="475">
        <f>C81-$K19</f>
        <v>98</v>
      </c>
      <c r="E81" s="475">
        <f>D81-$K19</f>
        <v>96</v>
      </c>
      <c r="F81" s="475">
        <f>E81-$K19</f>
        <v>94</v>
      </c>
      <c r="G81" s="475">
        <f>F81-$K19</f>
        <v>92</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4.5" thickTop="1">
      <c r="A82" s="367"/>
      <c r="B82" s="477" t="s">
        <v>1779</v>
      </c>
      <c r="C82" s="581" t="s">
        <v>1799</v>
      </c>
      <c r="D82" s="581" t="s">
        <v>1800</v>
      </c>
      <c r="E82" s="581" t="s">
        <v>1801</v>
      </c>
      <c r="F82" s="581" t="s">
        <v>1802</v>
      </c>
      <c r="G82" s="581" t="s">
        <v>1803</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4.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5" thickBot="1">
      <c r="A85" s="367"/>
      <c r="B85" s="474"/>
      <c r="C85" s="475">
        <v>100</v>
      </c>
      <c r="D85" s="475">
        <f>C85-$K23</f>
        <v>98</v>
      </c>
      <c r="E85" s="475">
        <f>D85-$K23</f>
        <v>96</v>
      </c>
      <c r="F85" s="475">
        <f>E85-$K23</f>
        <v>94</v>
      </c>
      <c r="G85" s="475">
        <f>F85-$K23</f>
        <v>92</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4.5" thickTop="1">
      <c r="A86" s="370"/>
      <c r="B86" s="469" t="s">
        <v>1804</v>
      </c>
      <c r="C86" s="3515" t="s">
        <v>3478</v>
      </c>
      <c r="D86" s="3515" t="s">
        <v>3480</v>
      </c>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5"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17"/>
      <c r="O87" s="2517"/>
      <c r="P87" s="2508"/>
      <c r="Q87" s="2503"/>
      <c r="R87" s="2435"/>
      <c r="S87" s="2435"/>
      <c r="T87" s="2435"/>
      <c r="U87" s="2435"/>
      <c r="V87" s="2435"/>
      <c r="W87" s="2435"/>
      <c r="X87" s="2435"/>
      <c r="Y87" s="2435"/>
      <c r="Z87" s="2435"/>
      <c r="AA87" s="2435"/>
      <c r="AB87" s="2435"/>
      <c r="AC87" s="2435"/>
    </row>
    <row r="88" spans="1:29" s="102" customFormat="1" ht="14.5" thickTop="1">
      <c r="A88" s="370"/>
      <c r="B88" s="469" t="str">
        <f>B26</f>
        <v>平面位置/可视性</v>
      </c>
      <c r="C88" s="3515" t="s">
        <v>3482</v>
      </c>
      <c r="D88" s="485"/>
      <c r="E88" s="485"/>
      <c r="F88" s="1780"/>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5" thickBot="1">
      <c r="A89" s="370"/>
      <c r="B89" s="474"/>
      <c r="C89" s="491">
        <v>100</v>
      </c>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4.5" thickTop="1">
      <c r="A90" s="484"/>
      <c r="B90" s="469" t="str">
        <f>B27</f>
        <v>人流量</v>
      </c>
      <c r="C90" s="3515" t="s">
        <v>3483</v>
      </c>
      <c r="D90" s="3515" t="s">
        <v>3485</v>
      </c>
      <c r="E90" s="3515" t="s">
        <v>3487</v>
      </c>
      <c r="F90" s="3515" t="s">
        <v>3489</v>
      </c>
      <c r="G90" s="3515" t="s">
        <v>3490</v>
      </c>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18"/>
      <c r="O91" s="2518"/>
      <c r="P91" s="2509"/>
      <c r="Q91" s="2510"/>
      <c r="R91" s="2488"/>
      <c r="S91" s="2488"/>
      <c r="T91" s="2488"/>
      <c r="U91" s="2488"/>
      <c r="V91" s="2488"/>
      <c r="W91" s="2488"/>
      <c r="X91" s="2488"/>
      <c r="Y91" s="2488"/>
      <c r="Z91" s="2488"/>
      <c r="AA91" s="2488"/>
      <c r="AB91" s="2488"/>
      <c r="AC91" s="2488"/>
    </row>
    <row r="92" spans="1:29" ht="15" thickTop="1">
      <c r="A92" s="367"/>
      <c r="B92" s="469" t="str">
        <f>B28</f>
        <v>楼层</v>
      </c>
      <c r="C92" s="485" t="s">
        <v>3492</v>
      </c>
      <c r="D92" s="485" t="s">
        <v>3493</v>
      </c>
      <c r="E92" s="485" t="s">
        <v>3491</v>
      </c>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5" thickBot="1">
      <c r="A93" s="367"/>
      <c r="B93" s="474"/>
      <c r="C93" s="467">
        <f>'信息+租赁合同'!O12</f>
        <v>100</v>
      </c>
      <c r="D93" s="467">
        <v>80</v>
      </c>
      <c r="E93" s="467">
        <f>ROUND((C93+D93)/2,2)</f>
        <v>90</v>
      </c>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1694</v>
      </c>
      <c r="B100" s="460" t="s">
        <v>1805</v>
      </c>
      <c r="C100" s="3516" t="s">
        <v>3495</v>
      </c>
      <c r="D100" s="3516"/>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7"/>
      <c r="O101" s="2517"/>
      <c r="P101" s="2508"/>
      <c r="Q101" s="2503"/>
      <c r="R101" s="2482"/>
      <c r="S101" s="2482"/>
      <c r="T101" s="2482"/>
      <c r="U101" s="2482"/>
      <c r="V101" s="2482"/>
      <c r="W101" s="2482"/>
      <c r="X101" s="2482"/>
      <c r="Y101" s="2482"/>
      <c r="Z101" s="2482"/>
      <c r="AA101" s="2482"/>
      <c r="AB101" s="2482"/>
      <c r="AC101" s="2482"/>
    </row>
    <row r="102" spans="1:29" ht="14.5" thickTop="1">
      <c r="A102" s="367"/>
      <c r="B102" s="469" t="s">
        <v>1737</v>
      </c>
      <c r="C102" s="509" t="str">
        <f>C103&amp;"(含)"&amp;"-"&amp;D103</f>
        <v>0(含)-80</v>
      </c>
      <c r="D102" s="509" t="str">
        <f t="shared" ref="D102:L102" si="24">D103&amp;"(含)"&amp;"-"&amp;E103</f>
        <v>80(含)-150</v>
      </c>
      <c r="E102" s="509" t="str">
        <f t="shared" si="24"/>
        <v>150(含)-300</v>
      </c>
      <c r="F102" s="509" t="str">
        <f t="shared" si="24"/>
        <v>300(含)-500</v>
      </c>
      <c r="G102" s="509" t="str">
        <f t="shared" si="24"/>
        <v>500(含)-700</v>
      </c>
      <c r="H102" s="509" t="str">
        <f t="shared" si="24"/>
        <v>700(含)-1000</v>
      </c>
      <c r="I102" s="509" t="str">
        <f t="shared" si="24"/>
        <v>1000(含)-</v>
      </c>
      <c r="J102" s="509" t="str">
        <f t="shared" si="24"/>
        <v>(含)-</v>
      </c>
      <c r="K102" s="509" t="str">
        <f t="shared" si="24"/>
        <v>(含)-</v>
      </c>
      <c r="L102" s="509" t="str">
        <f t="shared" si="24"/>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v>0</v>
      </c>
      <c r="D103" s="6">
        <v>80</v>
      </c>
      <c r="E103" s="6">
        <v>150</v>
      </c>
      <c r="F103" s="6">
        <v>300</v>
      </c>
      <c r="G103" s="6">
        <v>500</v>
      </c>
      <c r="H103" s="6">
        <v>700</v>
      </c>
      <c r="I103" s="6">
        <v>1000</v>
      </c>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5" thickBot="1">
      <c r="A104" s="484"/>
      <c r="B104" s="474"/>
      <c r="C104" s="491">
        <v>100</v>
      </c>
      <c r="D104" s="467">
        <f>C104-1</f>
        <v>99</v>
      </c>
      <c r="E104" s="467">
        <f t="shared" ref="E104:J104" si="25">D104-1</f>
        <v>98</v>
      </c>
      <c r="F104" s="467">
        <f t="shared" si="25"/>
        <v>97</v>
      </c>
      <c r="G104" s="467">
        <f t="shared" si="25"/>
        <v>96</v>
      </c>
      <c r="H104" s="467">
        <f t="shared" si="25"/>
        <v>95</v>
      </c>
      <c r="I104" s="467">
        <f t="shared" si="25"/>
        <v>94</v>
      </c>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4.5" thickTop="1">
      <c r="A105" s="409"/>
      <c r="B105" s="469" t="s">
        <v>1738</v>
      </c>
      <c r="C105" s="3515" t="s">
        <v>3496</v>
      </c>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7"/>
      <c r="O106" s="2517"/>
      <c r="P106" s="2508"/>
      <c r="Q106" s="2503"/>
      <c r="R106" s="2482"/>
      <c r="S106" s="2482"/>
      <c r="T106" s="2482"/>
      <c r="U106" s="2482"/>
      <c r="V106" s="2482"/>
      <c r="W106" s="2482"/>
      <c r="X106" s="2482"/>
      <c r="Y106" s="2482"/>
      <c r="Z106" s="2482"/>
      <c r="AA106" s="2482"/>
      <c r="AB106" s="2482"/>
      <c r="AC106" s="2482"/>
    </row>
    <row r="107" spans="1:29" ht="14.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7"/>
      <c r="O108" s="2517"/>
      <c r="P108" s="2508"/>
      <c r="Q108" s="2503"/>
      <c r="R108" s="2482"/>
      <c r="S108" s="2482"/>
      <c r="T108" s="2482"/>
      <c r="U108" s="2482"/>
      <c r="V108" s="2482"/>
      <c r="W108" s="2482"/>
      <c r="X108" s="2482"/>
      <c r="Y108" s="2482"/>
      <c r="Z108" s="2482"/>
      <c r="AA108" s="2482"/>
      <c r="AB108" s="2482"/>
      <c r="AC108" s="2482"/>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7"/>
      <c r="O111" s="2517"/>
      <c r="P111" s="2508"/>
      <c r="Q111" s="2503"/>
      <c r="R111" s="2482"/>
      <c r="S111" s="2482"/>
      <c r="T111" s="2482"/>
      <c r="U111" s="2482"/>
      <c r="V111" s="2482"/>
      <c r="W111" s="2482"/>
      <c r="X111" s="2482"/>
      <c r="Y111" s="2482"/>
      <c r="Z111" s="2482"/>
      <c r="AA111" s="2482"/>
      <c r="AB111" s="2482"/>
      <c r="AC111" s="2482"/>
    </row>
    <row r="112" spans="1:29" s="408" customFormat="1" ht="14.5" thickTop="1">
      <c r="A112" s="406"/>
      <c r="B112" s="469" t="s">
        <v>1742</v>
      </c>
      <c r="C112" s="3515" t="s">
        <v>3498</v>
      </c>
      <c r="D112" s="3515" t="s">
        <v>3499</v>
      </c>
      <c r="E112" s="3515" t="s">
        <v>3500</v>
      </c>
      <c r="F112" s="3515" t="s">
        <v>3501</v>
      </c>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8"/>
      <c r="O113" s="2518"/>
      <c r="P113" s="2509"/>
      <c r="Q113" s="2510"/>
      <c r="R113" s="2488"/>
      <c r="S113" s="2488"/>
      <c r="T113" s="2488"/>
      <c r="U113" s="2488"/>
      <c r="V113" s="2488"/>
      <c r="W113" s="2488"/>
      <c r="X113" s="2488"/>
      <c r="Y113" s="2488"/>
      <c r="Z113" s="2488"/>
      <c r="AA113" s="2488"/>
      <c r="AB113" s="2488"/>
      <c r="AC113" s="2488"/>
    </row>
    <row r="114" spans="1:29" ht="14.5" thickTop="1">
      <c r="A114" s="409"/>
      <c r="B114" s="469" t="s">
        <v>1806</v>
      </c>
      <c r="C114" s="3515" t="s">
        <v>3503</v>
      </c>
      <c r="D114" s="3515" t="s">
        <v>3505</v>
      </c>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7"/>
      <c r="O115" s="2517"/>
      <c r="P115" s="2508"/>
      <c r="Q115" s="2503"/>
      <c r="R115" s="2482"/>
      <c r="S115" s="2482"/>
      <c r="T115" s="2482"/>
      <c r="U115" s="2482"/>
      <c r="V115" s="2482"/>
      <c r="W115" s="2482"/>
      <c r="X115" s="2482"/>
      <c r="Y115" s="2482"/>
      <c r="Z115" s="2482"/>
      <c r="AA115" s="2482"/>
      <c r="AB115" s="2482"/>
      <c r="AC115" s="2482"/>
    </row>
    <row r="116" spans="1:29" ht="14.5" thickTop="1">
      <c r="A116" s="409"/>
      <c r="B116" s="469" t="s">
        <v>1807</v>
      </c>
      <c r="C116" s="3515" t="s">
        <v>3507</v>
      </c>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4.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4.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8"/>
      <c r="O121" s="2518"/>
      <c r="P121" s="2509"/>
      <c r="Q121" s="2510"/>
      <c r="R121" s="2488"/>
      <c r="S121" s="2488"/>
      <c r="T121" s="2488"/>
      <c r="U121" s="2488"/>
      <c r="V121" s="2488"/>
      <c r="W121" s="2488"/>
      <c r="X121" s="2488"/>
      <c r="Y121" s="2488"/>
      <c r="Z121" s="2488"/>
      <c r="AA121" s="2488"/>
      <c r="AB121" s="2488"/>
      <c r="AC121" s="2488"/>
    </row>
    <row r="122" spans="1:29" ht="14.5" thickTop="1">
      <c r="A122" s="409"/>
      <c r="B122" s="469" t="s">
        <v>1744</v>
      </c>
      <c r="C122" s="3515" t="s">
        <v>3509</v>
      </c>
      <c r="D122" s="3515" t="s">
        <v>3511</v>
      </c>
      <c r="E122" s="3515" t="s">
        <v>3513</v>
      </c>
      <c r="F122" s="3517" t="s">
        <v>3514</v>
      </c>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7"/>
      <c r="O123" s="2517"/>
      <c r="P123" s="2508"/>
      <c r="Q123" s="2503"/>
      <c r="R123" s="2482"/>
      <c r="S123" s="2482"/>
      <c r="T123" s="2482"/>
      <c r="U123" s="2482"/>
      <c r="V123" s="2482"/>
      <c r="W123" s="2482"/>
      <c r="X123" s="2482"/>
      <c r="Y123" s="2482"/>
      <c r="Z123" s="2482"/>
      <c r="AA123" s="2482"/>
      <c r="AB123" s="2482"/>
      <c r="AC123" s="2482"/>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887.22</v>
      </c>
      <c r="E3" s="1805"/>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c r="A4" s="345" t="s">
        <v>1769</v>
      </c>
      <c r="B4" s="346"/>
      <c r="C4" s="3393" t="s">
        <v>1770</v>
      </c>
      <c r="D4" s="3394"/>
      <c r="E4" s="3395" t="s">
        <v>1771</v>
      </c>
      <c r="F4" s="3396"/>
      <c r="G4" s="3393" t="s">
        <v>1772</v>
      </c>
      <c r="H4" s="3394"/>
      <c r="I4" s="3393" t="s">
        <v>1773</v>
      </c>
      <c r="J4" s="3394"/>
      <c r="K4" s="537" t="s">
        <v>1774</v>
      </c>
      <c r="L4" s="2481"/>
      <c r="M4" s="2482"/>
      <c r="N4" s="2482"/>
      <c r="O4" s="2482"/>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c r="A5" s="348"/>
      <c r="B5" s="349"/>
      <c r="C5" s="3411" t="s">
        <v>1673</v>
      </c>
      <c r="D5" s="3412"/>
      <c r="E5" s="3418" t="s">
        <v>1674</v>
      </c>
      <c r="F5" s="3419"/>
      <c r="G5" s="3411" t="s">
        <v>1675</v>
      </c>
      <c r="H5" s="3412"/>
      <c r="I5" s="3411" t="s">
        <v>1676</v>
      </c>
      <c r="J5" s="3412"/>
      <c r="K5" s="537"/>
      <c r="L5" s="2481"/>
      <c r="M5" s="2482"/>
      <c r="N5" s="2482"/>
      <c r="O5" s="2482"/>
      <c r="P5" s="3428"/>
      <c r="Q5" s="3400"/>
      <c r="R5" s="3405"/>
      <c r="S5" s="3406"/>
      <c r="T5" s="3405"/>
      <c r="U5" s="3406"/>
      <c r="V5" s="3379"/>
      <c r="W5" s="3379"/>
      <c r="X5" s="1265"/>
      <c r="Y5" s="3405"/>
      <c r="Z5" s="3406"/>
      <c r="AA5" s="3391"/>
      <c r="AB5" s="3391"/>
      <c r="AC5" s="3424"/>
    </row>
    <row r="6" spans="1:29" ht="15" thickBot="1">
      <c r="A6" s="350"/>
      <c r="B6" s="351"/>
      <c r="C6" s="3409" t="s">
        <v>1677</v>
      </c>
      <c r="D6" s="3410"/>
      <c r="E6" s="3416" t="s">
        <v>1677</v>
      </c>
      <c r="F6" s="3417"/>
      <c r="G6" s="3409" t="s">
        <v>1677</v>
      </c>
      <c r="H6" s="3410"/>
      <c r="I6" s="3409" t="s">
        <v>1677</v>
      </c>
      <c r="J6" s="3410"/>
      <c r="K6" s="537" t="s">
        <v>1678</v>
      </c>
      <c r="L6" s="2481"/>
      <c r="M6" s="2482"/>
      <c r="N6" s="2482"/>
      <c r="O6" s="2482"/>
      <c r="P6" s="3429"/>
      <c r="Q6" s="3402"/>
      <c r="R6" s="3405"/>
      <c r="S6" s="3406"/>
      <c r="T6" s="3407"/>
      <c r="U6" s="3408"/>
      <c r="V6" s="3379"/>
      <c r="W6" s="3379"/>
      <c r="X6" s="1265"/>
      <c r="Y6" s="3407"/>
      <c r="Z6" s="3408"/>
      <c r="AA6" s="3392"/>
      <c r="AB6" s="3392"/>
      <c r="AC6" s="3425"/>
    </row>
    <row r="7" spans="1:29" s="102" customFormat="1" ht="14.5" thickBot="1">
      <c r="A7" s="352" t="s">
        <v>1679</v>
      </c>
      <c r="B7" s="353"/>
      <c r="C7" s="354">
        <f>'数据-取费表'!B2</f>
        <v>45909</v>
      </c>
      <c r="D7" s="355">
        <v>100</v>
      </c>
      <c r="E7" s="356"/>
      <c r="F7" s="357">
        <f>SUMIF(59:59,YEAR(E7)&amp;"-"&amp;MONTH(E7),60:60)</f>
        <v>0</v>
      </c>
      <c r="G7" s="356"/>
      <c r="H7" s="355">
        <f>SUMIF(59:59,YEAR(G7)&amp;"-"&amp;MONTH(G7),60:60)</f>
        <v>0</v>
      </c>
      <c r="I7" s="356"/>
      <c r="J7" s="355">
        <f>SUMIF(59:59,YEAR(I7)&amp;"-"&amp;MONTH(I7),60:60)</f>
        <v>0</v>
      </c>
      <c r="K7" s="38"/>
      <c r="L7" s="2483"/>
      <c r="M7" s="2435"/>
      <c r="N7" s="2435"/>
      <c r="O7" s="2435"/>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802">
        <f t="shared" si="5"/>
        <v>1</v>
      </c>
    </row>
    <row r="10" spans="1:29" s="366" customFormat="1" ht="28">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389"/>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3"/>
      <c r="M12" s="2435"/>
      <c r="N12" s="2435"/>
      <c r="O12" s="2435"/>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7"/>
      <c r="M13" s="2482"/>
      <c r="N13" s="2482"/>
      <c r="O13" s="2482"/>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7"/>
      <c r="M14" s="2482"/>
      <c r="N14" s="2482"/>
      <c r="O14" s="2482"/>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87"/>
      <c r="M16" s="2482"/>
      <c r="N16" s="2482"/>
      <c r="O16" s="2482"/>
      <c r="P16" s="3388"/>
      <c r="Q16" s="1263"/>
      <c r="R16" s="667"/>
      <c r="S16" s="668"/>
      <c r="T16" s="667"/>
      <c r="U16" s="668"/>
      <c r="V16" s="667"/>
      <c r="W16" s="668"/>
      <c r="X16" s="1265"/>
      <c r="Y16" s="3381"/>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87"/>
      <c r="M18" s="2482"/>
      <c r="N18" s="2482"/>
      <c r="O18" s="2482"/>
      <c r="P18" s="3388"/>
      <c r="Q18" s="1263"/>
      <c r="R18" s="667"/>
      <c r="S18" s="668"/>
      <c r="T18" s="667"/>
      <c r="U18" s="668"/>
      <c r="V18" s="667"/>
      <c r="W18" s="668"/>
      <c r="X18" s="1265"/>
      <c r="Y18" s="3381"/>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87"/>
      <c r="M20" s="2482"/>
      <c r="N20" s="2482"/>
      <c r="O20" s="2482"/>
      <c r="P20" s="3388"/>
      <c r="Q20" s="1263"/>
      <c r="R20" s="667"/>
      <c r="S20" s="668"/>
      <c r="T20" s="667"/>
      <c r="U20" s="668"/>
      <c r="V20" s="667"/>
      <c r="W20" s="668"/>
      <c r="X20" s="1265"/>
      <c r="Y20" s="3381"/>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87"/>
      <c r="M22" s="2482"/>
      <c r="N22" s="2482"/>
      <c r="O22" s="2482"/>
      <c r="P22" s="3388"/>
      <c r="Q22" s="1263"/>
      <c r="R22" s="667"/>
      <c r="S22" s="668"/>
      <c r="T22" s="667"/>
      <c r="U22" s="668"/>
      <c r="V22" s="667"/>
      <c r="W22" s="668"/>
      <c r="X22" s="1265"/>
      <c r="Y22" s="3381"/>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87"/>
      <c r="M24" s="2482"/>
      <c r="N24" s="2482"/>
      <c r="O24" s="2482"/>
      <c r="P24" s="3388"/>
      <c r="Q24" s="1263"/>
      <c r="R24" s="667"/>
      <c r="S24" s="668"/>
      <c r="T24" s="667"/>
      <c r="U24" s="668"/>
      <c r="V24" s="667"/>
      <c r="W24" s="668"/>
      <c r="X24" s="1265"/>
      <c r="Y24" s="3381"/>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7"/>
      <c r="M25" s="2482"/>
      <c r="N25" s="2482"/>
      <c r="O25" s="2482"/>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87"/>
      <c r="M26" s="2482"/>
      <c r="N26" s="2482"/>
      <c r="O26" s="2482"/>
      <c r="P26" s="3388"/>
      <c r="Q26" s="1263"/>
      <c r="R26" s="667"/>
      <c r="S26" s="668"/>
      <c r="T26" s="667"/>
      <c r="U26" s="668"/>
      <c r="V26" s="667"/>
      <c r="W26" s="668"/>
      <c r="X26" s="1265"/>
      <c r="Y26" s="3381"/>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3"/>
      <c r="M28" s="2435"/>
      <c r="N28" s="2435"/>
      <c r="O28" s="2435"/>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7"/>
      <c r="M29" s="2482"/>
      <c r="N29" s="2482"/>
      <c r="O29" s="2482"/>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7"/>
      <c r="M30" s="2482"/>
      <c r="N30" s="2482"/>
      <c r="O30" s="2482"/>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7"/>
      <c r="M31" s="2482"/>
      <c r="N31" s="2482"/>
      <c r="O31" s="2482"/>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7"/>
      <c r="M32" s="2482"/>
      <c r="N32" s="2482"/>
      <c r="O32" s="2482"/>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7"/>
      <c r="M33" s="2482"/>
      <c r="N33" s="2482"/>
      <c r="O33" s="2482"/>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7"/>
      <c r="M44" s="2482"/>
      <c r="N44" s="2482"/>
      <c r="O44" s="2482"/>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89"/>
      <c r="M48" s="2482"/>
      <c r="N48" s="2482"/>
      <c r="O48" s="2482"/>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89"/>
      <c r="M49" s="2482"/>
      <c r="N49" s="2482"/>
      <c r="O49" s="2482"/>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89"/>
      <c r="M50" s="2482"/>
      <c r="N50" s="2482"/>
      <c r="O50" s="2482"/>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5" thickBot="1">
      <c r="A58" s="658" t="s">
        <v>1798</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2"/>
      <c r="Q59" s="2505"/>
      <c r="R59" s="2505"/>
      <c r="S59" s="2505"/>
      <c r="T59" s="2505"/>
      <c r="U59" s="2505"/>
      <c r="V59" s="2505"/>
      <c r="W59" s="2505"/>
      <c r="X59" s="2505"/>
      <c r="Y59" s="2505"/>
      <c r="Z59" s="2505"/>
      <c r="AA59" s="2505"/>
      <c r="AB59" s="2505"/>
      <c r="AC59" s="2505"/>
    </row>
    <row r="60" spans="1:29" s="102" customFormat="1">
      <c r="A60" s="443"/>
      <c r="B60" s="444"/>
      <c r="C60" s="1102">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4.5" thickBot="1">
      <c r="A61" s="449" t="s">
        <v>1716</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c r="A62" s="455" t="s">
        <v>1681</v>
      </c>
      <c r="B62" s="444"/>
      <c r="C62" s="456" t="s">
        <v>1776</v>
      </c>
      <c r="D62" s="31"/>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4.5" thickBot="1">
      <c r="A63" s="455"/>
      <c r="B63" s="444"/>
      <c r="C63" s="445">
        <v>100</v>
      </c>
      <c r="D63" s="446"/>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8.5" thickTop="1">
      <c r="A66" s="367"/>
      <c r="B66" s="469" t="s">
        <v>1688</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4.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4.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4.5" thickTop="1">
      <c r="A83" s="367"/>
      <c r="B83" s="477" t="s">
        <v>1813</v>
      </c>
      <c r="C83" s="581" t="s">
        <v>1799</v>
      </c>
      <c r="D83" s="581" t="s">
        <v>1800</v>
      </c>
      <c r="E83" s="581" t="s">
        <v>1801</v>
      </c>
      <c r="F83" s="581" t="s">
        <v>1802</v>
      </c>
      <c r="G83" s="581" t="s">
        <v>1803</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4.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8.5" thickTop="1">
      <c r="A87" s="370"/>
      <c r="B87" s="469" t="s">
        <v>1823</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5"/>
      <c r="S88" s="2435"/>
      <c r="T88" s="2435"/>
      <c r="U88" s="2435"/>
      <c r="V88" s="2435"/>
      <c r="W88" s="2435"/>
      <c r="X88" s="2435"/>
      <c r="Y88" s="2435"/>
      <c r="Z88" s="2435"/>
      <c r="AA88" s="2435"/>
      <c r="AB88" s="2435"/>
      <c r="AC88" s="2435"/>
    </row>
    <row r="89" spans="1:29" s="102" customFormat="1" ht="14.5" thickTop="1">
      <c r="A89" s="370"/>
      <c r="B89" s="469" t="str">
        <f>B27</f>
        <v>楼层</v>
      </c>
      <c r="C89" s="485"/>
      <c r="D89" s="485"/>
      <c r="E89" s="485"/>
      <c r="F89" s="1780"/>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5"/>
      <c r="S90" s="2435"/>
      <c r="T90" s="2435"/>
      <c r="U90" s="2435"/>
      <c r="V90" s="2435"/>
      <c r="W90" s="2435"/>
      <c r="X90" s="2435"/>
      <c r="Y90" s="2435"/>
      <c r="Z90" s="2435"/>
      <c r="AA90" s="2435"/>
      <c r="AB90" s="2435"/>
      <c r="AC90" s="2435"/>
    </row>
    <row r="91" spans="1:29" s="408" customFormat="1" ht="14.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1694</v>
      </c>
      <c r="B101" s="460" t="s">
        <v>1736</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5"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4.5" thickTop="1">
      <c r="A106" s="409"/>
      <c r="B106" s="469" t="s">
        <v>1738</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4.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4.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4.5" thickTop="1">
      <c r="A115" s="409"/>
      <c r="B115" s="469" t="s">
        <v>1741</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4.5" thickTop="1">
      <c r="A117" s="409"/>
      <c r="B117" s="469" t="s">
        <v>1742</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4.5" thickTop="1">
      <c r="A119" s="409"/>
      <c r="B119" s="560" t="s">
        <v>1825</v>
      </c>
      <c r="C119" s="513"/>
      <c r="D119" s="513"/>
      <c r="E119" s="513"/>
      <c r="F119" s="513"/>
      <c r="G119" s="513"/>
      <c r="H119" s="513"/>
      <c r="I119" s="513"/>
      <c r="J119" s="513"/>
      <c r="K119" s="513"/>
      <c r="L119" s="1816"/>
      <c r="M119" s="1817"/>
      <c r="N119" s="2517"/>
      <c r="O119" s="2517"/>
      <c r="P119" s="2530"/>
      <c r="Q119" s="2531"/>
      <c r="R119" s="2482"/>
      <c r="S119" s="2482"/>
      <c r="T119" s="2482"/>
      <c r="U119" s="2482"/>
      <c r="V119" s="2482"/>
      <c r="W119" s="2482"/>
      <c r="X119" s="2482"/>
      <c r="Y119" s="2482"/>
      <c r="Z119" s="2482"/>
      <c r="AA119" s="2482"/>
      <c r="AB119" s="2482"/>
      <c r="AC119" s="2482"/>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4.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4.5" thickTop="1">
      <c r="A123" s="409"/>
      <c r="B123" s="469" t="s">
        <v>1744</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887.22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4.5" thickBot="1">
      <c r="A7" s="352" t="s">
        <v>1679</v>
      </c>
      <c r="B7" s="353"/>
      <c r="C7" s="354">
        <f>'数据-取费表'!B2</f>
        <v>45909</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3"/>
      <c r="O54" s="2534"/>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受贵公司委托，我公司对北京市海淀区蓝靛厂晨月园甲3号楼1层01层等[2]套房地产抵押价值进行了预评估。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晨月园甲3号楼1层01层等[2]套房地产，为北京美丽德装饰工程有限责任公司所有。根据《国有土地使用证》[]，估价对象（分摊）出让国有建设用地使用权面积为0平方米，建筑面积为887.22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晨月园甲3号楼1层01层等[2]套房地产,属北京美丽德装饰工程有限责任公司开发建设的商业项目，该项目尚在开发建设中。根据《国有土地使用证》[]，估价对象（分摊）出让国有建设用地使用权面积为0平方米，规划建筑面积为887.22平方米。</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为估价委托人在向华夏银行办理贷款手续过程中，确定房地产抵押贷款额度提供参考依据而评估房地产抵押价值。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2025年9月9日（评估专业人员实地查勘之日）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6"/>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2481"/>
      <c r="M4" s="2482"/>
      <c r="N4" s="2482"/>
      <c r="O4" s="2482"/>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1"/>
      <c r="M5" s="2482"/>
      <c r="N5" s="2482"/>
      <c r="O5" s="2482"/>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1"/>
      <c r="M6" s="2482"/>
      <c r="N6" s="2482"/>
      <c r="O6" s="2482"/>
      <c r="P6" s="3401"/>
      <c r="Q6" s="3402"/>
      <c r="R6" s="3405"/>
      <c r="S6" s="3406"/>
      <c r="T6" s="3407"/>
      <c r="U6" s="3408"/>
      <c r="V6" s="3379"/>
      <c r="W6" s="3379"/>
      <c r="X6" s="1265"/>
      <c r="Y6" s="3407"/>
      <c r="Z6" s="3408"/>
      <c r="AA6" s="3392"/>
      <c r="AB6" s="3392"/>
      <c r="AC6" s="3392"/>
    </row>
    <row r="7" spans="1:29" s="102" customFormat="1" ht="14.5" thickBot="1">
      <c r="A7" s="352" t="s">
        <v>1679</v>
      </c>
      <c r="B7" s="353"/>
      <c r="C7" s="354">
        <f>'数据-取费表'!B2</f>
        <v>45909</v>
      </c>
      <c r="D7" s="355">
        <v>100</v>
      </c>
      <c r="E7" s="356"/>
      <c r="F7" s="357">
        <f>SUMIF(48:48,YEAR(E7)&amp;"-"&amp;MONTH(E7),49:49)</f>
        <v>0</v>
      </c>
      <c r="G7" s="356"/>
      <c r="H7" s="355">
        <f>SUMIF(48:48,YEAR(G7)&amp;"-"&amp;MONTH(G7),49:49)</f>
        <v>0</v>
      </c>
      <c r="I7" s="356"/>
      <c r="J7" s="355">
        <f>SUMIF(48:48,YEAR(I7)&amp;"-"&amp;MONTH(I7),49:49)</f>
        <v>0</v>
      </c>
      <c r="K7" s="38"/>
      <c r="L7" s="2483"/>
      <c r="M7" s="2435"/>
      <c r="N7" s="2435"/>
      <c r="O7" s="2435"/>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87"/>
      <c r="M15" s="2482"/>
      <c r="N15" s="2482"/>
      <c r="O15" s="2482"/>
      <c r="P15" s="3381"/>
      <c r="Q15" s="1263"/>
      <c r="R15" s="667"/>
      <c r="S15" s="668"/>
      <c r="T15" s="667"/>
      <c r="U15" s="668"/>
      <c r="V15" s="667"/>
      <c r="W15" s="668"/>
      <c r="X15" s="1265"/>
      <c r="Y15" s="3381"/>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87"/>
      <c r="M17" s="2482"/>
      <c r="N17" s="2482"/>
      <c r="O17" s="2482"/>
      <c r="P17" s="3381"/>
      <c r="Q17" s="1263"/>
      <c r="R17" s="667"/>
      <c r="S17" s="668"/>
      <c r="T17" s="667"/>
      <c r="U17" s="668"/>
      <c r="V17" s="667"/>
      <c r="W17" s="668"/>
      <c r="X17" s="1265"/>
      <c r="Y17" s="3381"/>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87"/>
      <c r="M19" s="2482"/>
      <c r="N19" s="2482"/>
      <c r="O19" s="2482"/>
      <c r="P19" s="3381"/>
      <c r="Q19" s="1263"/>
      <c r="R19" s="667"/>
      <c r="S19" s="668"/>
      <c r="T19" s="667"/>
      <c r="U19" s="668"/>
      <c r="V19" s="667"/>
      <c r="W19" s="668"/>
      <c r="X19" s="1265"/>
      <c r="Y19" s="3381"/>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87"/>
      <c r="M21" s="2482"/>
      <c r="N21" s="2482"/>
      <c r="O21" s="2482"/>
      <c r="P21" s="3381"/>
      <c r="Q21" s="1263"/>
      <c r="R21" s="667"/>
      <c r="S21" s="668"/>
      <c r="T21" s="667"/>
      <c r="U21" s="668"/>
      <c r="V21" s="667"/>
      <c r="W21" s="668"/>
      <c r="X21" s="1265"/>
      <c r="Y21" s="3381"/>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89"/>
      <c r="M37" s="2482"/>
      <c r="N37" s="2482"/>
      <c r="O37" s="2482"/>
      <c r="P37" s="3378" t="str">
        <f>A37</f>
        <v>成交单价</v>
      </c>
      <c r="Q37" s="3378"/>
      <c r="R37" s="3379">
        <f>E37</f>
        <v>0</v>
      </c>
      <c r="S37" s="3379"/>
      <c r="T37" s="3379">
        <f>G37</f>
        <v>0</v>
      </c>
      <c r="U37" s="3379"/>
      <c r="V37" s="3379">
        <f>I37</f>
        <v>0</v>
      </c>
      <c r="W37" s="3379"/>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89"/>
      <c r="M38" s="2482"/>
      <c r="N38" s="2482"/>
      <c r="O38" s="2482"/>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89"/>
      <c r="M39" s="2482"/>
      <c r="N39" s="2482"/>
      <c r="O39" s="2482"/>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5" thickBot="1">
      <c r="A47" s="1087" t="s">
        <v>1850</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2"/>
      <c r="Q48" s="2505"/>
      <c r="R48" s="2505"/>
      <c r="S48" s="2505"/>
      <c r="T48" s="2505"/>
      <c r="U48" s="2505"/>
      <c r="V48" s="2505"/>
      <c r="W48" s="2505"/>
      <c r="X48" s="2505"/>
      <c r="Y48" s="2505"/>
      <c r="Z48" s="2505"/>
      <c r="AA48" s="2505"/>
      <c r="AB48" s="2505"/>
      <c r="AC48" s="2505"/>
    </row>
    <row r="49" spans="1:29" s="102" customFormat="1">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4.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5"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8.5"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4.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4.5" thickTop="1">
      <c r="A67" s="367"/>
      <c r="B67" s="477" t="s">
        <v>1813</v>
      </c>
      <c r="C67" s="581" t="s">
        <v>1799</v>
      </c>
      <c r="D67" s="581" t="s">
        <v>1800</v>
      </c>
      <c r="E67" s="581" t="s">
        <v>1801</v>
      </c>
      <c r="F67" s="581" t="s">
        <v>1802</v>
      </c>
      <c r="G67" s="581" t="s">
        <v>1803</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4.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4.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5"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5"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5"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5"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8.5"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4.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4.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4.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4.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4.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2481"/>
      <c r="M4" s="2482"/>
      <c r="N4" s="2482"/>
      <c r="O4" s="2482"/>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1"/>
      <c r="M5" s="2482"/>
      <c r="N5" s="2482"/>
      <c r="O5" s="2482"/>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1"/>
      <c r="M6" s="2482"/>
      <c r="N6" s="2482"/>
      <c r="O6" s="2482"/>
      <c r="P6" s="3401"/>
      <c r="Q6" s="3402"/>
      <c r="R6" s="3405"/>
      <c r="S6" s="3406"/>
      <c r="T6" s="3407"/>
      <c r="U6" s="3408"/>
      <c r="V6" s="3379"/>
      <c r="W6" s="3379"/>
      <c r="X6" s="1265"/>
      <c r="Y6" s="3407"/>
      <c r="Z6" s="3408"/>
      <c r="AA6" s="3392"/>
      <c r="AB6" s="3392"/>
      <c r="AC6" s="3392"/>
    </row>
    <row r="7" spans="1:29" s="102" customFormat="1" ht="14.5" thickBot="1">
      <c r="A7" s="352" t="s">
        <v>1679</v>
      </c>
      <c r="B7" s="353"/>
      <c r="C7" s="354">
        <f>'数据-取费表'!B2</f>
        <v>45909</v>
      </c>
      <c r="D7" s="355">
        <v>100</v>
      </c>
      <c r="E7" s="356"/>
      <c r="F7" s="357">
        <f>SUMIF(46:46,YEAR(E7)&amp;"-"&amp;MONTH(E7),47:47)</f>
        <v>0</v>
      </c>
      <c r="G7" s="1822"/>
      <c r="H7" s="355">
        <f>SUMIF(46:46,YEAR(G7)&amp;"-"&amp;MONTH(G7),47:47)</f>
        <v>0</v>
      </c>
      <c r="I7" s="356"/>
      <c r="J7" s="355">
        <f>SUMIF(46:46,YEAR(I7)&amp;"-"&amp;MONTH(I7),47:47)</f>
        <v>0</v>
      </c>
      <c r="K7" s="38"/>
      <c r="L7" s="2483"/>
      <c r="M7" s="2435"/>
      <c r="N7" s="2435"/>
      <c r="O7" s="2435"/>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7"/>
      <c r="M13" s="2482"/>
      <c r="N13" s="2482"/>
      <c r="O13" s="2537"/>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87"/>
      <c r="M15" s="2482"/>
      <c r="N15" s="2482"/>
      <c r="O15" s="2537"/>
      <c r="P15" s="3381"/>
      <c r="Q15" s="1263"/>
      <c r="R15" s="667"/>
      <c r="S15" s="668"/>
      <c r="T15" s="667"/>
      <c r="U15" s="668"/>
      <c r="V15" s="667"/>
      <c r="W15" s="668"/>
      <c r="X15" s="1265"/>
      <c r="Y15" s="3381"/>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87"/>
      <c r="M17" s="2482"/>
      <c r="N17" s="2482"/>
      <c r="O17" s="2537"/>
      <c r="P17" s="3381"/>
      <c r="Q17" s="1263"/>
      <c r="R17" s="667"/>
      <c r="S17" s="668"/>
      <c r="T17" s="667"/>
      <c r="U17" s="668"/>
      <c r="V17" s="667"/>
      <c r="W17" s="668"/>
      <c r="X17" s="1265"/>
      <c r="Y17" s="3381"/>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87"/>
      <c r="M19" s="2482"/>
      <c r="N19" s="2482"/>
      <c r="O19" s="2537"/>
      <c r="P19" s="3381"/>
      <c r="Q19" s="1263"/>
      <c r="R19" s="667"/>
      <c r="S19" s="668"/>
      <c r="T19" s="667"/>
      <c r="U19" s="668"/>
      <c r="V19" s="667"/>
      <c r="W19" s="668"/>
      <c r="X19" s="1265"/>
      <c r="Y19" s="3381"/>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87"/>
      <c r="M21" s="2482"/>
      <c r="N21" s="2482"/>
      <c r="O21" s="2537"/>
      <c r="P21" s="3381"/>
      <c r="Q21" s="1263"/>
      <c r="R21" s="667"/>
      <c r="S21" s="668"/>
      <c r="T21" s="667"/>
      <c r="U21" s="668"/>
      <c r="V21" s="667"/>
      <c r="W21" s="668"/>
      <c r="X21" s="1265"/>
      <c r="Y21" s="3381"/>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3"/>
      <c r="M25" s="2435"/>
      <c r="N25" s="2435"/>
      <c r="O25" s="2535"/>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7"/>
      <c r="M26" s="2482"/>
      <c r="N26" s="2482"/>
      <c r="O26" s="2537"/>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7"/>
      <c r="M34" s="2482"/>
      <c r="N34" s="2482"/>
      <c r="O34" s="2537"/>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89"/>
      <c r="M35" s="2482"/>
      <c r="N35" s="2482"/>
      <c r="O35" s="2482"/>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89"/>
      <c r="M36" s="2482"/>
      <c r="N36" s="2482"/>
      <c r="O36" s="2482"/>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89"/>
      <c r="M37" s="2482"/>
      <c r="N37" s="2482"/>
      <c r="O37" s="2482"/>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5"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5"/>
      <c r="Q46" s="2505"/>
      <c r="R46" s="2505"/>
      <c r="S46" s="2505"/>
      <c r="T46" s="2505"/>
      <c r="U46" s="2505"/>
      <c r="V46" s="2505"/>
      <c r="W46" s="2505"/>
      <c r="X46" s="2505"/>
      <c r="Y46" s="2505"/>
      <c r="Z46" s="2505"/>
      <c r="AA46" s="2505"/>
      <c r="AB46" s="2505"/>
      <c r="AC46" s="2505"/>
      <c r="AD46" s="2505"/>
    </row>
    <row r="47" spans="1:30" s="102" customFormat="1">
      <c r="A47" s="443"/>
      <c r="B47" s="444"/>
      <c r="C47" s="1102">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4.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5"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8.5"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8.5"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4.5" thickTop="1">
      <c r="A65" s="367"/>
      <c r="B65" s="477" t="s">
        <v>1813</v>
      </c>
      <c r="C65" s="581" t="s">
        <v>1799</v>
      </c>
      <c r="D65" s="581" t="s">
        <v>1800</v>
      </c>
      <c r="E65" s="581" t="s">
        <v>1801</v>
      </c>
      <c r="F65" s="581" t="s">
        <v>1802</v>
      </c>
      <c r="G65" s="581" t="s">
        <v>1803</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4.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4.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5"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5"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5"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5"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4.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4.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4.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4.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5"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2481"/>
      <c r="M4" s="2482"/>
      <c r="N4" s="2482"/>
      <c r="O4" s="2482"/>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1"/>
      <c r="M5" s="2482"/>
      <c r="N5" s="2482"/>
      <c r="O5" s="2482"/>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1"/>
      <c r="M6" s="2482"/>
      <c r="N6" s="2482"/>
      <c r="O6" s="2482"/>
      <c r="P6" s="3401"/>
      <c r="Q6" s="3402"/>
      <c r="R6" s="3405"/>
      <c r="S6" s="3406"/>
      <c r="T6" s="3407"/>
      <c r="U6" s="3408"/>
      <c r="V6" s="3379"/>
      <c r="W6" s="3379"/>
      <c r="X6" s="1265"/>
      <c r="Y6" s="3407"/>
      <c r="Z6" s="3408"/>
      <c r="AA6" s="3392"/>
      <c r="AB6" s="3392"/>
      <c r="AC6" s="3392"/>
    </row>
    <row r="7" spans="1:29" s="102" customFormat="1" ht="14.5" thickBot="1">
      <c r="A7" s="352" t="s">
        <v>1679</v>
      </c>
      <c r="B7" s="353"/>
      <c r="C7" s="354">
        <f>'数据-取费表'!B2</f>
        <v>45909</v>
      </c>
      <c r="D7" s="355">
        <v>100</v>
      </c>
      <c r="E7" s="356"/>
      <c r="F7" s="357">
        <f>SUMIF(69:69,YEAR(E7)&amp;"-"&amp;INT((MONTH(E7)+2)/3),70:70)</f>
        <v>0</v>
      </c>
      <c r="G7" s="1822"/>
      <c r="H7" s="355">
        <f>SUMIF(69:69,YEAR(G7)&amp;"-"&amp;INT((MONTH(G7)+2)/3),70:70)</f>
        <v>0</v>
      </c>
      <c r="I7" s="1822"/>
      <c r="J7" s="355">
        <f>SUMIF(69:69,YEAR(I7)&amp;"-"&amp;INT((MONTH(I7)+2)/3),70:70)</f>
        <v>0</v>
      </c>
      <c r="K7" s="38"/>
      <c r="L7" s="2483"/>
      <c r="M7" s="2435"/>
      <c r="N7" s="2435"/>
      <c r="O7" s="2435"/>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3"/>
      <c r="M9" s="2435"/>
      <c r="N9" s="2435"/>
      <c r="O9" s="2535"/>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4"/>
      <c r="M10" s="2485"/>
      <c r="N10" s="2485"/>
      <c r="O10" s="2536"/>
      <c r="P10" s="3378"/>
      <c r="Q10" s="530" t="str">
        <f t="shared" si="6"/>
        <v>土地使用年限（年）</v>
      </c>
      <c r="R10" s="664" t="s">
        <v>14</v>
      </c>
      <c r="S10" s="665" t="e">
        <f t="shared" si="0"/>
        <v>#DIV/0!</v>
      </c>
      <c r="T10" s="664" t="s">
        <v>14</v>
      </c>
      <c r="U10" s="665" t="e">
        <f t="shared" si="1"/>
        <v>#DIV/0!</v>
      </c>
      <c r="V10" s="664" t="s">
        <v>14</v>
      </c>
      <c r="W10" s="665" t="e">
        <f t="shared" si="2"/>
        <v>#DIV/0!</v>
      </c>
      <c r="X10" s="666"/>
      <c r="Y10" s="3253"/>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378"/>
      <c r="Q12" s="530" t="str">
        <f t="shared" si="6"/>
        <v>配建</v>
      </c>
      <c r="R12" s="664" t="s">
        <v>14</v>
      </c>
      <c r="S12" s="665">
        <f t="shared" si="0"/>
        <v>100</v>
      </c>
      <c r="T12" s="664" t="s">
        <v>14</v>
      </c>
      <c r="U12" s="665">
        <f t="shared" si="1"/>
        <v>100</v>
      </c>
      <c r="V12" s="664" t="s">
        <v>14</v>
      </c>
      <c r="W12" s="665">
        <f t="shared" si="2"/>
        <v>100</v>
      </c>
      <c r="X12" s="666"/>
      <c r="Y12" s="3253"/>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87"/>
      <c r="M16" s="2482"/>
      <c r="N16" s="2482"/>
      <c r="O16" s="2537"/>
      <c r="P16" s="3381"/>
      <c r="Q16" s="1263"/>
      <c r="R16" s="667"/>
      <c r="S16" s="668"/>
      <c r="T16" s="667"/>
      <c r="U16" s="668"/>
      <c r="V16" s="667"/>
      <c r="W16" s="668"/>
      <c r="X16" s="1265"/>
      <c r="Y16" s="3381"/>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87"/>
      <c r="M18" s="2482"/>
      <c r="N18" s="2482"/>
      <c r="O18" s="2537"/>
      <c r="P18" s="3381"/>
      <c r="Q18" s="1263"/>
      <c r="R18" s="667"/>
      <c r="S18" s="668"/>
      <c r="T18" s="667"/>
      <c r="U18" s="668"/>
      <c r="V18" s="667"/>
      <c r="W18" s="668"/>
      <c r="X18" s="1265"/>
      <c r="Y18" s="3381"/>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87"/>
      <c r="M20" s="2482"/>
      <c r="N20" s="2482"/>
      <c r="O20" s="2537"/>
      <c r="P20" s="3381"/>
      <c r="Q20" s="1263"/>
      <c r="R20" s="667"/>
      <c r="S20" s="668"/>
      <c r="T20" s="667"/>
      <c r="U20" s="668"/>
      <c r="V20" s="667"/>
      <c r="W20" s="668"/>
      <c r="X20" s="1265"/>
      <c r="Y20" s="3381"/>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87"/>
      <c r="M22" s="2482"/>
      <c r="N22" s="2482"/>
      <c r="O22" s="2537"/>
      <c r="P22" s="3381"/>
      <c r="Q22" s="1263"/>
      <c r="R22" s="667"/>
      <c r="S22" s="668"/>
      <c r="T22" s="667"/>
      <c r="U22" s="668"/>
      <c r="V22" s="667"/>
      <c r="W22" s="668"/>
      <c r="X22" s="1265"/>
      <c r="Y22" s="3381"/>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87"/>
      <c r="M24" s="2482"/>
      <c r="N24" s="2482"/>
      <c r="O24" s="2537"/>
      <c r="P24" s="3381"/>
      <c r="Q24" s="1263"/>
      <c r="R24" s="667"/>
      <c r="S24" s="668"/>
      <c r="T24" s="667"/>
      <c r="U24" s="668"/>
      <c r="V24" s="667"/>
      <c r="W24" s="668"/>
      <c r="X24" s="1265"/>
      <c r="Y24" s="3381"/>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87"/>
      <c r="M26" s="2482"/>
      <c r="N26" s="2482"/>
      <c r="O26" s="2537"/>
      <c r="P26" s="3381"/>
      <c r="Q26" s="1263"/>
      <c r="R26" s="667"/>
      <c r="S26" s="668"/>
      <c r="T26" s="667"/>
      <c r="U26" s="668"/>
      <c r="V26" s="667"/>
      <c r="W26" s="668"/>
      <c r="X26" s="1265"/>
      <c r="Y26" s="3381"/>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3"/>
      <c r="M28" s="2435"/>
      <c r="N28" s="2435"/>
      <c r="O28" s="2535"/>
      <c r="P28" s="3381"/>
      <c r="Q28" s="530"/>
      <c r="R28" s="664"/>
      <c r="S28" s="665"/>
      <c r="T28" s="664"/>
      <c r="U28" s="665"/>
      <c r="V28" s="664"/>
      <c r="W28" s="665"/>
      <c r="X28" s="666"/>
      <c r="Y28" s="3381"/>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3"/>
      <c r="M30" s="2435"/>
      <c r="N30" s="2435"/>
      <c r="O30" s="2535"/>
      <c r="P30" s="3381"/>
      <c r="Q30" s="530"/>
      <c r="R30" s="664"/>
      <c r="S30" s="665"/>
      <c r="T30" s="664"/>
      <c r="U30" s="665"/>
      <c r="V30" s="664"/>
      <c r="W30" s="665"/>
      <c r="X30" s="666"/>
      <c r="Y30" s="3381"/>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87"/>
      <c r="M33" s="2482"/>
      <c r="N33" s="2482"/>
      <c r="O33" s="2537"/>
      <c r="P33" s="3381"/>
      <c r="Q33" s="1263"/>
      <c r="R33" s="667"/>
      <c r="S33" s="668"/>
      <c r="T33" s="667"/>
      <c r="U33" s="668"/>
      <c r="V33" s="667"/>
      <c r="W33" s="668"/>
      <c r="X33" s="1265"/>
      <c r="Y33" s="3381"/>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7"/>
      <c r="M39" s="2482"/>
      <c r="N39" s="2482"/>
      <c r="O39" s="2537"/>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7"/>
      <c r="M40" s="2482"/>
      <c r="N40" s="2482"/>
      <c r="O40" s="2537"/>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3"/>
      <c r="M41" s="2435"/>
      <c r="N41" s="2435"/>
      <c r="O41" s="2535"/>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7"/>
      <c r="M42" s="2482"/>
      <c r="N42" s="2482"/>
      <c r="O42" s="2537"/>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89"/>
      <c r="M46" s="2482"/>
      <c r="N46" s="2482"/>
      <c r="O46" s="2482"/>
      <c r="P46" s="3378" t="str">
        <f>A46</f>
        <v>成交单价</v>
      </c>
      <c r="Q46" s="3378"/>
      <c r="R46" s="3379">
        <f>E46</f>
        <v>0</v>
      </c>
      <c r="S46" s="3379"/>
      <c r="T46" s="3379">
        <f>G46</f>
        <v>0</v>
      </c>
      <c r="U46" s="3379"/>
      <c r="V46" s="3379">
        <f>I46</f>
        <v>0</v>
      </c>
      <c r="W46" s="3379"/>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89"/>
      <c r="M47" s="2482"/>
      <c r="N47" s="2482"/>
      <c r="O47" s="2482"/>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89"/>
      <c r="M48" s="2482"/>
      <c r="N48" s="2482"/>
      <c r="O48" s="2482"/>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90">
        <v>1</v>
      </c>
      <c r="E56" s="610">
        <f>'数据-汇总表'!E8+'数据-汇总表'!E9</f>
        <v>887.22</v>
      </c>
      <c r="F56" s="833" t="e">
        <f t="shared" ref="F56:F64" si="15">ROUND(B56*E56/10000,0)</f>
        <v>#DIV/0!</v>
      </c>
      <c r="G56" s="3389"/>
      <c r="H56" s="3378"/>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v>
      </c>
      <c r="D57" s="891">
        <v>0.25</v>
      </c>
      <c r="E57" s="614"/>
      <c r="F57" s="833" t="e">
        <f t="shared" si="15"/>
        <v>#DIV/0!</v>
      </c>
      <c r="G57" s="2745" t="s">
        <v>1892</v>
      </c>
      <c r="H57" s="834">
        <f>项目基本情况!B37</f>
        <v>0</v>
      </c>
      <c r="I57" s="838">
        <f>SUMIF(修正!A59:A70,H57,修正!B59:B70)</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v>
      </c>
      <c r="D58" s="891">
        <v>0.25</v>
      </c>
      <c r="E58" s="614"/>
      <c r="F58" s="833" t="e">
        <f t="shared" si="15"/>
        <v>#DIV/0!</v>
      </c>
      <c r="G58" s="2746"/>
      <c r="H58" s="834">
        <f>项目基本情况!B37</f>
        <v>0</v>
      </c>
      <c r="I58" s="838">
        <f>SUMIF(修正!A59:A70,H58,修正!C59:C70)</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v>
      </c>
      <c r="D59" s="891">
        <v>0.25</v>
      </c>
      <c r="E59" s="614"/>
      <c r="F59" s="833" t="e">
        <f t="shared" si="15"/>
        <v>#DIV/0!</v>
      </c>
      <c r="G59" s="2746"/>
      <c r="H59" s="834">
        <f>项目基本情况!B37</f>
        <v>0</v>
      </c>
      <c r="I59" s="838">
        <f>SUMIF(修正!A59:A70,H59,修正!D59:D70)</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887.22</v>
      </c>
      <c r="F65" s="617" t="e">
        <f>IF(B46="楼面地价",SUM(F56:F64),ROUND(C48*E65/10000,0))</f>
        <v>#DIV/0!</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2"/>
      <c r="Q67" s="2482"/>
      <c r="R67" s="2482"/>
      <c r="S67" s="2482"/>
      <c r="T67" s="2482"/>
      <c r="U67" s="2482"/>
      <c r="V67" s="2482"/>
      <c r="W67" s="2482"/>
      <c r="X67" s="2482"/>
      <c r="Y67" s="2482"/>
      <c r="Z67" s="2482"/>
      <c r="AA67" s="2482"/>
      <c r="AB67" s="2482"/>
      <c r="AC67" s="2482"/>
    </row>
    <row r="68" spans="1:29" ht="21.5" thickBot="1">
      <c r="A68" s="658" t="s">
        <v>1798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5"/>
      <c r="Q69" s="2505"/>
      <c r="R69" s="2505"/>
      <c r="S69" s="2505"/>
      <c r="T69" s="2505"/>
      <c r="U69" s="2505"/>
      <c r="V69" s="2505"/>
      <c r="W69" s="2505"/>
      <c r="X69" s="2505"/>
      <c r="Y69" s="2505"/>
      <c r="Z69" s="2505"/>
      <c r="AA69" s="2505"/>
      <c r="AB69" s="2505"/>
      <c r="AC69" s="2505"/>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3"/>
      <c r="Q70" s="2435"/>
      <c r="R70" s="2435"/>
      <c r="S70" s="2435"/>
      <c r="T70" s="2435"/>
      <c r="U70" s="2435"/>
      <c r="V70" s="2435"/>
      <c r="W70" s="2435"/>
      <c r="X70" s="2435"/>
      <c r="Y70" s="2435"/>
      <c r="Z70" s="2435"/>
      <c r="AA70" s="2435"/>
      <c r="AB70" s="2435"/>
      <c r="AC70" s="2435"/>
    </row>
    <row r="71" spans="1:29" s="102" customFormat="1" ht="14.5" thickBot="1">
      <c r="A71" s="449" t="s">
        <v>1716</v>
      </c>
      <c r="B71" s="450"/>
      <c r="C71" s="451"/>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5"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8.5"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4.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4.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4.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8.5"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4.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5"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4.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4.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4.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4.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c r="A4" s="345" t="s">
        <v>1769</v>
      </c>
      <c r="B4" s="346"/>
      <c r="C4" s="3393" t="s">
        <v>1770</v>
      </c>
      <c r="D4" s="3394"/>
      <c r="E4" s="3395" t="s">
        <v>1771</v>
      </c>
      <c r="F4" s="3396"/>
      <c r="G4" s="3393" t="s">
        <v>1772</v>
      </c>
      <c r="H4" s="3394"/>
      <c r="I4" s="3393" t="s">
        <v>1773</v>
      </c>
      <c r="J4" s="3394"/>
      <c r="K4" s="537" t="s">
        <v>1774</v>
      </c>
      <c r="L4" s="2481"/>
      <c r="M4" s="2482"/>
      <c r="N4" s="2482"/>
      <c r="O4" s="2482"/>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1"/>
      <c r="M5" s="2482"/>
      <c r="N5" s="2482"/>
      <c r="O5" s="2482"/>
      <c r="P5" s="3399"/>
      <c r="Q5" s="3400"/>
      <c r="R5" s="3405"/>
      <c r="S5" s="3406"/>
      <c r="T5" s="3405"/>
      <c r="U5" s="3406"/>
      <c r="V5" s="3379"/>
      <c r="W5" s="3379"/>
      <c r="X5" s="1265"/>
      <c r="Y5" s="3405"/>
      <c r="Z5" s="3406"/>
      <c r="AA5" s="3391"/>
      <c r="AB5" s="3391"/>
      <c r="AC5" s="3391"/>
    </row>
    <row r="6" spans="1:29" ht="15" thickBot="1">
      <c r="A6" s="350"/>
      <c r="B6" s="351"/>
      <c r="C6" s="3440" t="s">
        <v>1919</v>
      </c>
      <c r="D6" s="3441"/>
      <c r="E6" s="3442" t="s">
        <v>1919</v>
      </c>
      <c r="F6" s="3443"/>
      <c r="G6" s="3440" t="s">
        <v>1919</v>
      </c>
      <c r="H6" s="3441"/>
      <c r="I6" s="3440" t="s">
        <v>1919</v>
      </c>
      <c r="J6" s="3441"/>
      <c r="K6" s="537" t="s">
        <v>1678</v>
      </c>
      <c r="L6" s="2481"/>
      <c r="M6" s="2482"/>
      <c r="N6" s="2482"/>
      <c r="O6" s="2482"/>
      <c r="P6" s="3401"/>
      <c r="Q6" s="3402"/>
      <c r="R6" s="3405"/>
      <c r="S6" s="3406"/>
      <c r="T6" s="3407"/>
      <c r="U6" s="3408"/>
      <c r="V6" s="3379"/>
      <c r="W6" s="3379"/>
      <c r="X6" s="1265"/>
      <c r="Y6" s="3407"/>
      <c r="Z6" s="3408"/>
      <c r="AA6" s="3392"/>
      <c r="AB6" s="3392"/>
      <c r="AC6" s="3392"/>
    </row>
    <row r="7" spans="1:29" s="102" customFormat="1" ht="14.5" thickBot="1">
      <c r="A7" s="352" t="s">
        <v>1679</v>
      </c>
      <c r="B7" s="353"/>
      <c r="C7" s="354">
        <f>'数据-取费表'!B2</f>
        <v>45909</v>
      </c>
      <c r="D7" s="355">
        <v>100</v>
      </c>
      <c r="E7" s="356"/>
      <c r="F7" s="357">
        <f>SUMIF(65:65,YEAR(E7)&amp;"-"&amp;INT((MONTH(E7)+2)/3),66:66)</f>
        <v>0</v>
      </c>
      <c r="G7" s="1822"/>
      <c r="H7" s="355">
        <f>SUMIF(65:65,YEAR(G7)&amp;"-"&amp;INT((MONTH(G7)+2)/3),66:66)</f>
        <v>0</v>
      </c>
      <c r="I7" s="1822"/>
      <c r="J7" s="355">
        <f>SUMIF(65:65,YEAR(I7)&amp;"-"&amp;INT((MONTH(I7)+2)/3),66:66)</f>
        <v>0</v>
      </c>
      <c r="K7" s="38"/>
      <c r="L7" s="2483"/>
      <c r="M7" s="2435"/>
      <c r="N7" s="2435"/>
      <c r="O7" s="2435"/>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3"/>
      <c r="M9" s="2435"/>
      <c r="N9" s="2435"/>
      <c r="O9" s="2535"/>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4"/>
      <c r="M10" s="2485"/>
      <c r="N10" s="2485"/>
      <c r="O10" s="2536"/>
      <c r="P10" s="3378"/>
      <c r="Q10" s="530" t="str">
        <f t="shared" si="6"/>
        <v>土地使用年限（年）</v>
      </c>
      <c r="R10" s="664" t="s">
        <v>14</v>
      </c>
      <c r="S10" s="665" t="e">
        <f t="shared" si="0"/>
        <v>#DIV/0!</v>
      </c>
      <c r="T10" s="664" t="s">
        <v>14</v>
      </c>
      <c r="U10" s="665" t="e">
        <f t="shared" si="1"/>
        <v>#DIV/0!</v>
      </c>
      <c r="V10" s="664" t="s">
        <v>14</v>
      </c>
      <c r="W10" s="665" t="e">
        <f t="shared" si="2"/>
        <v>#DIV/0!</v>
      </c>
      <c r="X10" s="666"/>
      <c r="Y10" s="3253"/>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87"/>
      <c r="M16" s="2482"/>
      <c r="N16" s="2482"/>
      <c r="O16" s="2537"/>
      <c r="P16" s="3381"/>
      <c r="Q16" s="1263"/>
      <c r="R16" s="667"/>
      <c r="S16" s="668"/>
      <c r="T16" s="667"/>
      <c r="U16" s="668"/>
      <c r="V16" s="667"/>
      <c r="W16" s="668"/>
      <c r="X16" s="1265"/>
      <c r="Y16" s="3381"/>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87"/>
      <c r="M18" s="2482"/>
      <c r="N18" s="2482"/>
      <c r="O18" s="2537"/>
      <c r="P18" s="3381"/>
      <c r="Q18" s="1263"/>
      <c r="R18" s="667"/>
      <c r="S18" s="668"/>
      <c r="T18" s="667"/>
      <c r="U18" s="668"/>
      <c r="V18" s="667"/>
      <c r="W18" s="668"/>
      <c r="X18" s="1265"/>
      <c r="Y18" s="3381"/>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87"/>
      <c r="M20" s="2482"/>
      <c r="N20" s="2482"/>
      <c r="O20" s="2537"/>
      <c r="P20" s="3381"/>
      <c r="Q20" s="1263"/>
      <c r="R20" s="667"/>
      <c r="S20" s="668"/>
      <c r="T20" s="667"/>
      <c r="U20" s="668"/>
      <c r="V20" s="667"/>
      <c r="W20" s="668"/>
      <c r="X20" s="1265"/>
      <c r="Y20" s="3381"/>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87"/>
      <c r="M22" s="2482"/>
      <c r="N22" s="2482"/>
      <c r="O22" s="2537"/>
      <c r="P22" s="3381"/>
      <c r="Q22" s="1263"/>
      <c r="R22" s="667"/>
      <c r="S22" s="668"/>
      <c r="T22" s="667"/>
      <c r="U22" s="668"/>
      <c r="V22" s="667"/>
      <c r="W22" s="668"/>
      <c r="X22" s="1265"/>
      <c r="Y22" s="3381"/>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3"/>
      <c r="M24" s="2435"/>
      <c r="N24" s="2435"/>
      <c r="O24" s="2535"/>
      <c r="P24" s="3381"/>
      <c r="Q24" s="530"/>
      <c r="R24" s="664"/>
      <c r="S24" s="665"/>
      <c r="T24" s="664"/>
      <c r="U24" s="665"/>
      <c r="V24" s="664"/>
      <c r="W24" s="665"/>
      <c r="X24" s="666"/>
      <c r="Y24" s="3381"/>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3"/>
      <c r="M26" s="2435"/>
      <c r="N26" s="2435"/>
      <c r="O26" s="2535"/>
      <c r="P26" s="3381"/>
      <c r="Q26" s="530"/>
      <c r="R26" s="664"/>
      <c r="S26" s="665"/>
      <c r="T26" s="664"/>
      <c r="U26" s="665"/>
      <c r="V26" s="664"/>
      <c r="W26" s="665"/>
      <c r="X26" s="666"/>
      <c r="Y26" s="3381"/>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87"/>
      <c r="M29" s="2482"/>
      <c r="N29" s="2482"/>
      <c r="O29" s="2537"/>
      <c r="P29" s="3381"/>
      <c r="Q29" s="1263"/>
      <c r="R29" s="667"/>
      <c r="S29" s="668"/>
      <c r="T29" s="667"/>
      <c r="U29" s="668"/>
      <c r="V29" s="667"/>
      <c r="W29" s="668"/>
      <c r="X29" s="1265"/>
      <c r="Y29" s="3381"/>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7"/>
      <c r="M35" s="2482"/>
      <c r="N35" s="2482"/>
      <c r="O35" s="2537"/>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3"/>
      <c r="M36" s="2435"/>
      <c r="N36" s="2435"/>
      <c r="O36" s="2535"/>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7"/>
      <c r="M37" s="2482"/>
      <c r="N37" s="2482"/>
      <c r="O37" s="2537"/>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89"/>
      <c r="M41" s="2482"/>
      <c r="N41" s="2482"/>
      <c r="O41" s="2482"/>
      <c r="P41" s="3378" t="str">
        <f>A41</f>
        <v>成交单价</v>
      </c>
      <c r="Q41" s="3378"/>
      <c r="R41" s="3379">
        <f>E41</f>
        <v>0</v>
      </c>
      <c r="S41" s="3379"/>
      <c r="T41" s="3379">
        <f>G41</f>
        <v>0</v>
      </c>
      <c r="U41" s="3379"/>
      <c r="V41" s="3379">
        <f>I41</f>
        <v>0</v>
      </c>
      <c r="W41" s="3379"/>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89"/>
      <c r="M42" s="2482"/>
      <c r="N42" s="2482"/>
      <c r="O42" s="2482"/>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89"/>
      <c r="M43" s="2482"/>
      <c r="N43" s="2482"/>
      <c r="O43" s="2482"/>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90">
        <v>1</v>
      </c>
      <c r="E51" s="610">
        <f>'数据-汇总表'!E8+'数据-汇总表'!E9</f>
        <v>887.22</v>
      </c>
      <c r="F51" s="611" t="e">
        <f t="shared" ref="F51:F60" si="15">ROUND(B51*E51/10000,0)</f>
        <v>#DIV/0!</v>
      </c>
      <c r="G51" s="3389"/>
      <c r="H51" s="3378"/>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v>
      </c>
      <c r="D52" s="891">
        <v>0.25</v>
      </c>
      <c r="E52" s="614"/>
      <c r="F52" s="611" t="e">
        <f t="shared" si="15"/>
        <v>#DIV/0!</v>
      </c>
      <c r="G52" s="2745" t="s">
        <v>1892</v>
      </c>
      <c r="H52" s="834">
        <f>项目基本情况!B37</f>
        <v>0</v>
      </c>
      <c r="I52" s="727">
        <f>SUMIF(修正!A59:A70,H52,修正!B59:B70)</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v>
      </c>
      <c r="D53" s="891">
        <v>0.25</v>
      </c>
      <c r="E53" s="614"/>
      <c r="F53" s="611" t="e">
        <f t="shared" si="15"/>
        <v>#DIV/0!</v>
      </c>
      <c r="G53" s="2746"/>
      <c r="H53" s="834">
        <f>项目基本情况!B37</f>
        <v>0</v>
      </c>
      <c r="I53" s="727">
        <f>SUMIF(修正!A59:A70,H53,修正!C59:C70)</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v>
      </c>
      <c r="D54" s="891">
        <v>0.25</v>
      </c>
      <c r="E54" s="614"/>
      <c r="F54" s="611" t="e">
        <f t="shared" si="15"/>
        <v>#DIV/0!</v>
      </c>
      <c r="G54" s="2746"/>
      <c r="H54" s="834">
        <f>项目基本情况!B37</f>
        <v>0</v>
      </c>
      <c r="I54" s="727">
        <f>SUMIF(修正!A59:A70,H54,修正!D59:D70)</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2"/>
      <c r="Q63" s="2482"/>
      <c r="R63" s="2482"/>
      <c r="S63" s="2482"/>
      <c r="T63" s="2482"/>
      <c r="U63" s="2482"/>
      <c r="V63" s="2482"/>
      <c r="W63" s="2482"/>
      <c r="X63" s="2482"/>
      <c r="Y63" s="2482"/>
      <c r="Z63" s="2482"/>
      <c r="AA63" s="2482"/>
      <c r="AB63" s="2482"/>
      <c r="AC63" s="2482"/>
      <c r="AD63" s="2482"/>
      <c r="AE63" s="2482"/>
    </row>
    <row r="64" spans="1:31" ht="21.5" thickBot="1">
      <c r="A64" s="658" t="s">
        <v>1798</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3"/>
      <c r="Q66" s="2435"/>
      <c r="R66" s="2435"/>
      <c r="S66" s="2435"/>
      <c r="T66" s="2435"/>
      <c r="U66" s="2435"/>
      <c r="V66" s="2435"/>
      <c r="W66" s="2435"/>
      <c r="X66" s="2435"/>
      <c r="Y66" s="2435"/>
      <c r="Z66" s="2435"/>
      <c r="AA66" s="2435"/>
      <c r="AB66" s="2435"/>
      <c r="AC66" s="2435"/>
      <c r="AD66" s="2435"/>
      <c r="AE66" s="2435"/>
    </row>
    <row r="67" spans="1:31" s="102" customFormat="1" ht="14.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5"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8.5"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4.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8.5"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4.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4.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4.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4.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39"/>
      <c r="G1" s="2539"/>
      <c r="H1" s="2539"/>
      <c r="I1" s="2539"/>
      <c r="J1" s="2539"/>
      <c r="K1" s="2539"/>
      <c r="L1" s="2539"/>
      <c r="M1" s="2539"/>
      <c r="N1" s="2539"/>
      <c r="O1" s="2539"/>
      <c r="P1" s="2539"/>
    </row>
    <row r="2" spans="1:16" ht="15.5">
      <c r="A2" s="1984" t="s">
        <v>2073</v>
      </c>
      <c r="B2" s="2383" t="e">
        <f ca="1">SUMIF(B6:B13,"&lt;&gt;#ref!",B6:B13)</f>
        <v>#DIV/0!</v>
      </c>
      <c r="C2" s="1984" t="s">
        <v>2074</v>
      </c>
      <c r="D2" s="1984" t="s">
        <v>2075</v>
      </c>
      <c r="E2" s="2393">
        <f ca="1">SUMIF(E6:E13,"&lt;&gt;#ref!",E6:E13)</f>
        <v>0</v>
      </c>
      <c r="F2" s="2539"/>
      <c r="G2" s="2539"/>
      <c r="H2" s="2539"/>
      <c r="I2" s="2539"/>
      <c r="J2" s="2539"/>
      <c r="K2" s="2539"/>
      <c r="L2" s="2539"/>
      <c r="M2" s="2539"/>
      <c r="N2" s="2539"/>
      <c r="O2" s="2539"/>
      <c r="P2" s="2539"/>
    </row>
    <row r="3" spans="1:16" ht="15.5">
      <c r="A3" s="1984" t="s">
        <v>2076</v>
      </c>
      <c r="B3" s="2383" t="e">
        <f ca="1">ROUND(B2*10000/E2,0)</f>
        <v>#DIV/0!</v>
      </c>
      <c r="C3" s="1984" t="s">
        <v>2082</v>
      </c>
      <c r="D3" s="2539"/>
      <c r="E3" s="2539"/>
      <c r="F3" s="2539"/>
      <c r="G3" s="2539"/>
      <c r="H3" s="2539"/>
      <c r="I3" s="2539"/>
      <c r="J3" s="2539"/>
      <c r="K3" s="2539"/>
      <c r="L3" s="2539"/>
      <c r="M3" s="2539"/>
      <c r="N3" s="2539"/>
      <c r="O3" s="2539"/>
      <c r="P3" s="2539"/>
    </row>
    <row r="4" spans="1:16" ht="15.5">
      <c r="A4" s="2551"/>
      <c r="B4" s="2539"/>
      <c r="C4" s="2539"/>
      <c r="D4" s="2539"/>
      <c r="E4" s="2539"/>
      <c r="F4" s="2539"/>
      <c r="G4" s="2539"/>
      <c r="H4" s="2539"/>
      <c r="I4" s="2539"/>
      <c r="J4" s="2539"/>
      <c r="K4" s="2539"/>
      <c r="L4" s="2539"/>
      <c r="M4" s="2539"/>
      <c r="N4" s="2539"/>
      <c r="O4" s="2539"/>
      <c r="P4" s="2539"/>
    </row>
    <row r="5" spans="1:16" ht="30">
      <c r="A5" s="2389" t="s">
        <v>2077</v>
      </c>
      <c r="B5" s="2391" t="s">
        <v>2078</v>
      </c>
      <c r="C5" s="1985"/>
      <c r="D5" s="2539"/>
      <c r="E5" s="2392" t="s">
        <v>2079</v>
      </c>
      <c r="F5" s="2539"/>
      <c r="G5" s="2539"/>
      <c r="H5" s="2539"/>
      <c r="I5" s="2539"/>
      <c r="J5" s="2539"/>
      <c r="K5" s="2539"/>
      <c r="L5" s="2539"/>
      <c r="M5" s="2539"/>
      <c r="N5" s="2539"/>
      <c r="O5" s="2539"/>
      <c r="P5" s="2539"/>
    </row>
    <row r="6" spans="1:16" ht="15.5">
      <c r="A6" s="2390" t="s">
        <v>2080</v>
      </c>
      <c r="B6" s="2383" t="e">
        <f ca="1">SUMIF(INDIRECT("'"&amp;A6&amp;"'"&amp;"!A:A"),"总价",INDIRECT("'"&amp;A6&amp;"'"&amp;"!B:B"))</f>
        <v>#DIV/0!</v>
      </c>
      <c r="C6" s="1984" t="s">
        <v>2074</v>
      </c>
      <c r="D6" s="2539"/>
      <c r="E6" s="2393">
        <f ca="1">SUMIF(INDIRECT("'"&amp;A6&amp;"'"&amp;"!C:C"),"建筑面积",INDIRECT("'"&amp;A6&amp;"'"&amp;"!D:D"))</f>
        <v>0</v>
      </c>
      <c r="F6" s="2539"/>
      <c r="G6" s="2539"/>
      <c r="H6" s="2539"/>
      <c r="I6" s="2539"/>
      <c r="J6" s="2539"/>
      <c r="K6" s="2539"/>
      <c r="L6" s="2539"/>
      <c r="M6" s="2539"/>
      <c r="N6" s="2539"/>
      <c r="O6" s="2539"/>
      <c r="P6" s="2539"/>
    </row>
    <row r="7" spans="1:16" ht="15.5">
      <c r="A7" s="2390"/>
      <c r="B7" s="2383" t="e">
        <f ca="1">SUMIF(INDIRECT("'"&amp;A7&amp;"'"&amp;"!A:A"),"总价",INDIRECT("'"&amp;A7&amp;"'"&amp;"!B:B"))</f>
        <v>#REF!</v>
      </c>
      <c r="C7" s="1984"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5">
      <c r="A8" s="2390"/>
      <c r="B8" s="2383" t="e">
        <f t="shared" ref="B8:B13" ca="1" si="1">SUMIF(INDIRECT("'"&amp;A8&amp;"'"&amp;"!A:A"),"总价",INDIRECT("'"&amp;A8&amp;"'"&amp;"!B:B"))</f>
        <v>#REF!</v>
      </c>
      <c r="C8" s="1984" t="s">
        <v>2074</v>
      </c>
      <c r="D8" s="2539"/>
      <c r="E8" s="2393" t="e">
        <f t="shared" ca="1" si="0"/>
        <v>#REF!</v>
      </c>
      <c r="F8" s="2539"/>
      <c r="G8" s="2539"/>
      <c r="H8" s="2539"/>
      <c r="I8" s="2539"/>
      <c r="J8" s="2539"/>
      <c r="K8" s="2539"/>
      <c r="L8" s="2539"/>
      <c r="M8" s="2539"/>
      <c r="N8" s="2539"/>
      <c r="O8" s="2539"/>
      <c r="P8" s="2539"/>
    </row>
    <row r="9" spans="1:16" ht="15.5">
      <c r="A9" s="2390"/>
      <c r="B9" s="2383" t="e">
        <f t="shared" ca="1" si="1"/>
        <v>#REF!</v>
      </c>
      <c r="C9" s="1984" t="s">
        <v>2074</v>
      </c>
      <c r="D9" s="2539"/>
      <c r="E9" s="2393" t="e">
        <f t="shared" ca="1" si="0"/>
        <v>#REF!</v>
      </c>
      <c r="F9" s="2539"/>
      <c r="G9" s="2539"/>
      <c r="H9" s="2539"/>
      <c r="I9" s="2539"/>
      <c r="J9" s="2539"/>
      <c r="K9" s="2539"/>
      <c r="L9" s="2539"/>
      <c r="M9" s="2539"/>
      <c r="N9" s="2539"/>
      <c r="O9" s="2539"/>
      <c r="P9" s="2539"/>
    </row>
    <row r="10" spans="1:16" ht="15.5">
      <c r="A10" s="2390"/>
      <c r="B10" s="2383" t="e">
        <f t="shared" ca="1" si="1"/>
        <v>#REF!</v>
      </c>
      <c r="C10" s="1984" t="s">
        <v>2074</v>
      </c>
      <c r="D10" s="2539"/>
      <c r="E10" s="2393" t="e">
        <f t="shared" ca="1" si="0"/>
        <v>#REF!</v>
      </c>
      <c r="F10" s="2539"/>
      <c r="G10" s="2539"/>
      <c r="H10" s="2539"/>
      <c r="I10" s="2539"/>
      <c r="J10" s="2539"/>
      <c r="K10" s="2539"/>
      <c r="L10" s="2539"/>
      <c r="M10" s="2539"/>
      <c r="N10" s="2539"/>
      <c r="O10" s="2539"/>
      <c r="P10" s="2539"/>
    </row>
    <row r="11" spans="1:16" ht="15.5">
      <c r="A11" s="2390"/>
      <c r="B11" s="2383" t="e">
        <f t="shared" ca="1" si="1"/>
        <v>#REF!</v>
      </c>
      <c r="C11" s="1984" t="s">
        <v>2074</v>
      </c>
      <c r="D11" s="2539"/>
      <c r="E11" s="2393" t="e">
        <f t="shared" ca="1" si="0"/>
        <v>#REF!</v>
      </c>
      <c r="F11" s="2539"/>
      <c r="G11" s="2539"/>
      <c r="H11" s="2539"/>
      <c r="I11" s="2539"/>
      <c r="J11" s="2539"/>
      <c r="K11" s="2539"/>
      <c r="L11" s="2539"/>
      <c r="M11" s="2539"/>
      <c r="N11" s="2539"/>
      <c r="O11" s="2539"/>
      <c r="P11" s="2539"/>
    </row>
    <row r="12" spans="1:16" ht="15.5">
      <c r="A12" s="2390"/>
      <c r="B12" s="2383" t="e">
        <f t="shared" ca="1" si="1"/>
        <v>#REF!</v>
      </c>
      <c r="C12" s="1984" t="s">
        <v>2074</v>
      </c>
      <c r="D12" s="2539"/>
      <c r="E12" s="2393" t="e">
        <f t="shared" ca="1" si="0"/>
        <v>#REF!</v>
      </c>
      <c r="F12" s="2539"/>
      <c r="G12" s="2539"/>
      <c r="H12" s="2539"/>
      <c r="I12" s="2539"/>
      <c r="J12" s="2539"/>
      <c r="K12" s="2539"/>
      <c r="L12" s="2539"/>
      <c r="M12" s="2539"/>
      <c r="N12" s="2539"/>
      <c r="O12" s="2539"/>
      <c r="P12" s="2539"/>
    </row>
    <row r="13" spans="1:16" ht="15.5">
      <c r="A13" s="2390"/>
      <c r="B13" s="2383" t="e">
        <f t="shared" ca="1" si="1"/>
        <v>#REF!</v>
      </c>
      <c r="C13" s="1984"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F31F5-18DE-43E5-94EB-92383F59FC96}">
  <sheetPr>
    <tabColor rgb="FF7030A0"/>
  </sheetPr>
  <dimension ref="A1:S23"/>
  <sheetViews>
    <sheetView workbookViewId="0">
      <selection activeCell="K19" sqref="K19"/>
    </sheetView>
  </sheetViews>
  <sheetFormatPr defaultRowHeight="14"/>
  <cols>
    <col min="1" max="1" width="9.26953125" bestFit="1" customWidth="1"/>
    <col min="2" max="2" width="10.26953125" bestFit="1" customWidth="1"/>
    <col min="8" max="8" width="19.1796875" customWidth="1"/>
    <col min="16" max="16" width="15.1796875" customWidth="1"/>
    <col min="17" max="17" width="8.90625" customWidth="1"/>
  </cols>
  <sheetData>
    <row r="1" spans="1:19">
      <c r="A1" s="1405" t="s">
        <v>3417</v>
      </c>
    </row>
    <row r="2" spans="1:19">
      <c r="A2" s="1405" t="s">
        <v>3418</v>
      </c>
      <c r="B2">
        <v>5532</v>
      </c>
      <c r="C2" s="1405" t="s">
        <v>3419</v>
      </c>
      <c r="E2" s="1405" t="s">
        <v>3542</v>
      </c>
      <c r="F2">
        <f>ROUND(B2*10000/B6,0)</f>
        <v>62352</v>
      </c>
      <c r="G2" s="1405" t="s">
        <v>3442</v>
      </c>
    </row>
    <row r="4" spans="1:19">
      <c r="A4" s="1405" t="s">
        <v>3420</v>
      </c>
    </row>
    <row r="5" spans="1:19">
      <c r="A5" s="3501">
        <v>44927</v>
      </c>
      <c r="B5" s="3501">
        <v>48638</v>
      </c>
      <c r="M5" s="1405" t="s">
        <v>3522</v>
      </c>
      <c r="N5">
        <v>443.61</v>
      </c>
    </row>
    <row r="6" spans="1:19">
      <c r="A6" s="1405" t="s">
        <v>3421</v>
      </c>
      <c r="B6">
        <v>887.22</v>
      </c>
      <c r="M6" s="1405" t="s">
        <v>3523</v>
      </c>
      <c r="N6">
        <v>443.61</v>
      </c>
    </row>
    <row r="7" spans="1:19">
      <c r="A7" s="1405" t="s">
        <v>3422</v>
      </c>
      <c r="B7">
        <v>443.61</v>
      </c>
      <c r="M7" s="1405" t="s">
        <v>3540</v>
      </c>
    </row>
    <row r="8" spans="1:19">
      <c r="A8" s="1405" t="s">
        <v>3423</v>
      </c>
      <c r="B8">
        <v>2</v>
      </c>
      <c r="C8" s="1405" t="s">
        <v>3424</v>
      </c>
    </row>
    <row r="9" spans="1:19">
      <c r="A9" s="1405" t="s">
        <v>3429</v>
      </c>
      <c r="B9">
        <v>50</v>
      </c>
      <c r="C9" s="1405" t="s">
        <v>3419</v>
      </c>
    </row>
    <row r="10" spans="1:19">
      <c r="A10" s="1405" t="s">
        <v>3425</v>
      </c>
      <c r="B10" s="1405" t="s">
        <v>3426</v>
      </c>
      <c r="M10" s="1405" t="s">
        <v>3387</v>
      </c>
      <c r="N10" s="1405" t="s">
        <v>3541</v>
      </c>
      <c r="O10" s="1405" t="s">
        <v>3525</v>
      </c>
      <c r="Q10" s="1405" t="s">
        <v>654</v>
      </c>
    </row>
    <row r="11" spans="1:19">
      <c r="A11" s="1405" t="s">
        <v>3427</v>
      </c>
      <c r="B11" s="1405">
        <v>480</v>
      </c>
      <c r="C11" s="1405" t="s">
        <v>3419</v>
      </c>
      <c r="M11">
        <v>443.61</v>
      </c>
      <c r="N11" s="1405" t="s">
        <v>3526</v>
      </c>
      <c r="O11">
        <v>50</v>
      </c>
      <c r="Q11">
        <f>Q12*O11/100</f>
        <v>6.5</v>
      </c>
    </row>
    <row r="12" spans="1:19">
      <c r="A12" s="1405" t="s">
        <v>3428</v>
      </c>
      <c r="M12">
        <v>443.61</v>
      </c>
      <c r="N12" s="1405" t="s">
        <v>3522</v>
      </c>
      <c r="O12">
        <v>100</v>
      </c>
      <c r="P12">
        <f>ROUND(O12*P14/O14,0)</f>
        <v>111</v>
      </c>
      <c r="Q12" s="3153">
        <v>13</v>
      </c>
      <c r="R12" s="1405" t="s">
        <v>3539</v>
      </c>
      <c r="S12">
        <f>'比较法-商业租金'!C49</f>
        <v>13.2</v>
      </c>
    </row>
    <row r="13" spans="1:19">
      <c r="M13">
        <v>443.61</v>
      </c>
      <c r="N13" s="1405" t="s">
        <v>3523</v>
      </c>
      <c r="O13">
        <v>80</v>
      </c>
      <c r="P13">
        <f>ROUND(O13*P14/O14,0)</f>
        <v>89</v>
      </c>
      <c r="Q13">
        <f>Q12*O13/100</f>
        <v>10.4</v>
      </c>
    </row>
    <row r="14" spans="1:19">
      <c r="A14" s="3501">
        <v>44986</v>
      </c>
      <c r="B14" s="3501">
        <v>45350</v>
      </c>
      <c r="C14" s="1405" t="s">
        <v>3430</v>
      </c>
      <c r="D14">
        <v>480</v>
      </c>
      <c r="E14" s="1405" t="s">
        <v>3419</v>
      </c>
      <c r="N14" s="1405" t="s">
        <v>3524</v>
      </c>
      <c r="O14">
        <f>ROUND((O12+O13)/2,2)</f>
        <v>90</v>
      </c>
      <c r="P14">
        <v>100</v>
      </c>
    </row>
    <row r="15" spans="1:19">
      <c r="A15" s="3501">
        <v>45352</v>
      </c>
      <c r="B15" s="3501">
        <v>45716</v>
      </c>
      <c r="C15" s="1405" t="s">
        <v>3431</v>
      </c>
      <c r="D15">
        <v>480</v>
      </c>
      <c r="E15" s="1405" t="s">
        <v>3419</v>
      </c>
      <c r="P15" s="1405" t="s">
        <v>3527</v>
      </c>
      <c r="Q15">
        <f>(Q13+Q12+Q11)/3</f>
        <v>9.9666666666666668</v>
      </c>
    </row>
    <row r="16" spans="1:19">
      <c r="A16" s="3503">
        <v>45717</v>
      </c>
      <c r="B16" s="3503">
        <v>46081</v>
      </c>
      <c r="C16" s="3504" t="s">
        <v>3432</v>
      </c>
      <c r="D16" s="3153">
        <f>D15*(1+F16)</f>
        <v>508.8</v>
      </c>
      <c r="E16" s="3504" t="s">
        <v>3419</v>
      </c>
      <c r="F16" s="3505">
        <v>0.06</v>
      </c>
      <c r="H16" s="1405" t="s">
        <v>3440</v>
      </c>
      <c r="I16">
        <f>ROUND(D16*10000/(B6+B7)/365,2)</f>
        <v>10.47</v>
      </c>
      <c r="J16" s="1405" t="s">
        <v>3442</v>
      </c>
      <c r="P16" s="1405" t="s">
        <v>3524</v>
      </c>
      <c r="Q16" s="3153">
        <f>ROUND((Q13+Q12)/2,2)</f>
        <v>11.7</v>
      </c>
    </row>
    <row r="17" spans="1:13">
      <c r="A17" s="3501">
        <v>46082</v>
      </c>
      <c r="B17" s="3501">
        <v>46446</v>
      </c>
      <c r="C17" s="1405" t="s">
        <v>3433</v>
      </c>
      <c r="D17" s="1405">
        <f>D16</f>
        <v>508.8</v>
      </c>
      <c r="E17" s="1405" t="s">
        <v>3419</v>
      </c>
      <c r="H17" s="1405" t="s">
        <v>3441</v>
      </c>
      <c r="I17">
        <f>ROUND(D16*10000/B6/365,2)</f>
        <v>15.71</v>
      </c>
      <c r="J17" s="1405" t="s">
        <v>3442</v>
      </c>
    </row>
    <row r="18" spans="1:13">
      <c r="A18" s="3501">
        <v>46447</v>
      </c>
      <c r="B18" s="3501">
        <v>46811</v>
      </c>
      <c r="C18" s="1405" t="s">
        <v>3434</v>
      </c>
      <c r="D18">
        <f>D17*(1+F18)</f>
        <v>539.32800000000009</v>
      </c>
      <c r="E18" s="1405" t="s">
        <v>3419</v>
      </c>
      <c r="F18" s="3502">
        <v>0.06</v>
      </c>
    </row>
    <row r="19" spans="1:13">
      <c r="A19" s="3501">
        <v>46813</v>
      </c>
      <c r="B19" s="3501">
        <v>47177</v>
      </c>
      <c r="C19" s="1405" t="s">
        <v>3435</v>
      </c>
      <c r="D19">
        <f>D18</f>
        <v>539.32800000000009</v>
      </c>
      <c r="E19" s="1405" t="s">
        <v>3419</v>
      </c>
    </row>
    <row r="20" spans="1:13">
      <c r="A20" s="3501">
        <v>47178</v>
      </c>
      <c r="B20" s="3501">
        <v>47542</v>
      </c>
      <c r="C20" s="1405" t="s">
        <v>3436</v>
      </c>
      <c r="D20">
        <f>D19*(1+F20)</f>
        <v>571.68768000000011</v>
      </c>
      <c r="E20" s="1405" t="s">
        <v>3419</v>
      </c>
      <c r="F20" s="3502">
        <v>0.06</v>
      </c>
      <c r="M20" s="3504" t="s">
        <v>3544</v>
      </c>
    </row>
    <row r="21" spans="1:13">
      <c r="A21" s="3501">
        <v>47543</v>
      </c>
      <c r="B21" s="3501">
        <v>47907</v>
      </c>
      <c r="C21" s="1405" t="s">
        <v>3437</v>
      </c>
      <c r="D21">
        <f>D20</f>
        <v>571.68768000000011</v>
      </c>
      <c r="E21" s="1405" t="s">
        <v>3419</v>
      </c>
    </row>
    <row r="22" spans="1:13">
      <c r="A22" s="3501">
        <v>47908</v>
      </c>
      <c r="B22" s="3501">
        <v>48272</v>
      </c>
      <c r="C22" s="1405" t="s">
        <v>3438</v>
      </c>
      <c r="D22">
        <f>D21*(1+F22)</f>
        <v>605.98894080000014</v>
      </c>
      <c r="E22" s="1405" t="s">
        <v>3419</v>
      </c>
      <c r="F22" s="3502">
        <v>0.06</v>
      </c>
    </row>
    <row r="23" spans="1:13">
      <c r="A23" s="3501">
        <v>48274</v>
      </c>
      <c r="B23" s="3501">
        <v>48638</v>
      </c>
      <c r="C23" s="1405" t="s">
        <v>3439</v>
      </c>
      <c r="D23">
        <f>D22</f>
        <v>605.98894080000014</v>
      </c>
      <c r="E23" s="1405" t="s">
        <v>3419</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22D0-12BA-49AF-AEA3-56438918ABCF}">
  <sheetPr>
    <tabColor rgb="FF7030A0"/>
  </sheetPr>
  <dimension ref="O3:S88"/>
  <sheetViews>
    <sheetView topLeftCell="A91" workbookViewId="0">
      <selection activeCell="O88" sqref="O88:Q88"/>
    </sheetView>
  </sheetViews>
  <sheetFormatPr defaultRowHeight="14"/>
  <sheetData>
    <row r="3" spans="15:19">
      <c r="S3" s="1405" t="s">
        <v>3543</v>
      </c>
    </row>
    <row r="10" spans="15:19">
      <c r="O10" s="1405" t="s">
        <v>3522</v>
      </c>
      <c r="P10" s="1405" t="s">
        <v>3545</v>
      </c>
      <c r="Q10" s="1405" t="s">
        <v>3546</v>
      </c>
    </row>
    <row r="51" spans="15:17">
      <c r="O51" s="1405" t="s">
        <v>3522</v>
      </c>
      <c r="P51" s="1405" t="s">
        <v>3545</v>
      </c>
      <c r="Q51" s="1405" t="s">
        <v>3546</v>
      </c>
    </row>
    <row r="88" spans="15:17">
      <c r="O88" s="1405" t="s">
        <v>3522</v>
      </c>
      <c r="P88" s="1405" t="s">
        <v>3545</v>
      </c>
      <c r="Q88" s="1405" t="s">
        <v>3546</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81B34-C03D-4A55-AAF6-07BC7B00C8B9}">
  <sheetPr>
    <tabColor rgb="FF7030A0"/>
  </sheetPr>
  <dimension ref="O4:Q91"/>
  <sheetViews>
    <sheetView workbookViewId="0">
      <selection activeCell="O91" sqref="O91:Q91"/>
    </sheetView>
  </sheetViews>
  <sheetFormatPr defaultRowHeight="14"/>
  <sheetData>
    <row r="4" spans="15:17">
      <c r="O4" s="1405" t="s">
        <v>3522</v>
      </c>
      <c r="P4" s="1405" t="s">
        <v>3545</v>
      </c>
      <c r="Q4" s="1405" t="s">
        <v>3546</v>
      </c>
    </row>
    <row r="48" spans="15:17">
      <c r="O48" s="1405" t="s">
        <v>3522</v>
      </c>
      <c r="P48" s="1405" t="s">
        <v>3545</v>
      </c>
      <c r="Q48" s="1405" t="s">
        <v>3546</v>
      </c>
    </row>
    <row r="91" spans="15:17">
      <c r="O91" s="1405" t="s">
        <v>3522</v>
      </c>
      <c r="P91" s="1405" t="s">
        <v>3545</v>
      </c>
      <c r="Q91" s="1405" t="s">
        <v>3546</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7">
        <f ca="1">ROUND(IF(D2="——",C52/10000,C52/10000-E2),4)</f>
        <v>263.91390000000001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2975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177444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177444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177444</v>
      </c>
      <c r="D10" s="795">
        <f ca="1">IF(B1="",'数据-汇总表'!E6,IF(INDIRECT("'数据-取费表'!c"&amp;$G$1)="住宅",INDIRECT("'数据-取费表'!s"&amp;$G$1),INDIRECT("'数据-取费表'!k"&amp;$G$1)+INDIRECT("'数据-取费表'!s"&amp;$G$1)))</f>
        <v>887.22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177444</v>
      </c>
      <c r="D19" s="204">
        <f ca="1">D9+D10</f>
        <v>887.22</v>
      </c>
      <c r="E19" s="203">
        <f>'数据-取费表'!B31</f>
        <v>200</v>
      </c>
      <c r="F19" s="223"/>
      <c r="G19" s="1714"/>
    </row>
    <row r="20" spans="1:7" s="206" customFormat="1" ht="13.5" customHeight="1">
      <c r="A20" s="247" t="s">
        <v>1574</v>
      </c>
      <c r="B20" s="202" t="s">
        <v>1575</v>
      </c>
      <c r="C20" s="224">
        <f ca="1">ROUND((C5+C19)*F20,0)</f>
        <v>7098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10752</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5323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5323</v>
      </c>
      <c r="D24" s="230"/>
      <c r="E24" s="230"/>
      <c r="F24" s="231"/>
      <c r="G24" s="232" t="s">
        <v>1586</v>
      </c>
    </row>
    <row r="25" spans="1:7" s="206" customFormat="1" ht="26">
      <c r="A25" s="734" t="s">
        <v>1476</v>
      </c>
      <c r="B25" s="207" t="s">
        <v>1587</v>
      </c>
      <c r="C25" s="230">
        <f ca="1">ROUND(IF('数据-取费表'!B22&lt;=1,C20*F22*'数据-取费表'!B22/2,C20*(POWER((1+F22),'数据-取费表'!B22/2)-1)),0)</f>
        <v>106</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f ca="1">C28</f>
        <v>36199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36199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442381</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2550758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2218050</v>
      </c>
      <c r="D34" s="209"/>
      <c r="E34" s="212"/>
      <c r="F34" s="249"/>
      <c r="G34" s="211"/>
    </row>
    <row r="35" spans="1:7" ht="13.5" customHeight="1">
      <c r="A35" s="734" t="s">
        <v>351</v>
      </c>
      <c r="B35" s="207" t="s">
        <v>1527</v>
      </c>
      <c r="C35" s="212">
        <f ca="1">ROUND(C34*F35,0)</f>
        <v>110903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177444</v>
      </c>
      <c r="D37" s="209">
        <f ca="1">D19</f>
        <v>887.22</v>
      </c>
      <c r="E37" s="241">
        <f>'数据-取费表'!B35</f>
        <v>200</v>
      </c>
      <c r="F37" s="251"/>
      <c r="G37" s="253"/>
    </row>
    <row r="38" spans="1:7" ht="13.5" customHeight="1">
      <c r="A38" s="734" t="s">
        <v>354</v>
      </c>
      <c r="B38" s="207" t="s">
        <v>1533</v>
      </c>
      <c r="C38" s="212">
        <f ca="1">ROUND(C34*F38,0)</f>
        <v>44361</v>
      </c>
      <c r="D38" s="212"/>
      <c r="E38" s="212"/>
      <c r="F38" s="251">
        <f>'数据-取费表'!B36</f>
        <v>0.02</v>
      </c>
      <c r="G38" s="211" t="s">
        <v>1528</v>
      </c>
    </row>
    <row r="39" spans="1:7" s="206" customFormat="1" ht="13.5" customHeight="1">
      <c r="A39" s="247" t="s">
        <v>1534</v>
      </c>
      <c r="B39" s="202" t="s">
        <v>1535</v>
      </c>
      <c r="C39" s="224">
        <f ca="1">ROUND(C33*F20,0)</f>
        <v>51015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39026</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38261</v>
      </c>
      <c r="D42" s="230"/>
      <c r="E42" s="230"/>
      <c r="F42" s="231"/>
      <c r="G42" s="3346" t="s">
        <v>1591</v>
      </c>
    </row>
    <row r="43" spans="1:7" ht="13.5" customHeight="1">
      <c r="A43" s="734" t="s">
        <v>347</v>
      </c>
      <c r="B43" s="207" t="s">
        <v>1545</v>
      </c>
      <c r="C43" s="230">
        <f ca="1">ROUND(IF('数据-取费表'!B22&lt;=1,C39*F22*'数据-取费表'!B20/2,C39*(POWER((1+F22),'数据-取费表'!B20/2)-1)),0)</f>
        <v>765</v>
      </c>
      <c r="D43" s="230"/>
      <c r="E43" s="230"/>
      <c r="F43" s="231"/>
      <c r="G43" s="3347"/>
    </row>
    <row r="44" spans="1:7" ht="13.5" customHeight="1">
      <c r="A44" s="734" t="s">
        <v>348</v>
      </c>
      <c r="B44" s="207" t="s">
        <v>1546</v>
      </c>
      <c r="C44" s="230">
        <f ca="1">ROUND(IF('数据-取费表'!B22&lt;=1,C40*F22*'数据-取费表'!B20/2,C40*(POWER((1+F22),'数据-取费表'!B20/2)-1)),4)</f>
        <v>2.9999999999999997E-4</v>
      </c>
      <c r="D44" s="230"/>
      <c r="E44" s="230"/>
      <c r="F44" s="231"/>
      <c r="G44" s="3348"/>
    </row>
    <row r="45" spans="1:7" s="206" customFormat="1" ht="13.5" customHeight="1">
      <c r="A45" s="247" t="s">
        <v>1547</v>
      </c>
      <c r="B45" s="236" t="s">
        <v>1513</v>
      </c>
      <c r="C45" s="237">
        <f ca="1">C46</f>
        <v>260177</v>
      </c>
      <c r="D45" s="227">
        <f ca="1">C47</f>
        <v>2E-3</v>
      </c>
      <c r="E45" s="228" t="s">
        <v>1539</v>
      </c>
      <c r="F45" s="238">
        <f ca="1">F27</f>
        <v>0.1</v>
      </c>
      <c r="G45" s="239" t="s">
        <v>1548</v>
      </c>
    </row>
    <row r="46" spans="1:7" s="206" customFormat="1" ht="13.5" customHeight="1">
      <c r="A46" s="734" t="s">
        <v>346</v>
      </c>
      <c r="B46" s="240" t="s">
        <v>1549</v>
      </c>
      <c r="C46" s="241">
        <f ca="1">ROUND((C33+C39)*F27,0)</f>
        <v>260177</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3138226</v>
      </c>
      <c r="D49" s="224"/>
      <c r="E49" s="224"/>
      <c r="F49" s="256"/>
      <c r="G49" s="226" t="s">
        <v>1554</v>
      </c>
    </row>
    <row r="50" spans="1:7" s="250" customFormat="1" ht="13.5">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2196758</v>
      </c>
      <c r="D51" s="224"/>
      <c r="E51" s="224"/>
      <c r="F51" s="256"/>
      <c r="G51" s="226" t="s">
        <v>1560</v>
      </c>
    </row>
    <row r="52" spans="1:7" s="200" customFormat="1" ht="16.5" thickBot="1">
      <c r="A52" s="257" t="s">
        <v>1561</v>
      </c>
      <c r="B52" s="258"/>
      <c r="C52" s="259">
        <f ca="1">C31+C51</f>
        <v>2639139</v>
      </c>
      <c r="D52" s="258"/>
      <c r="E52" s="258"/>
      <c r="F52" s="258"/>
      <c r="G52" s="260"/>
    </row>
    <row r="55" spans="1:7" ht="15.5">
      <c r="B55" s="262" t="s">
        <v>1562</v>
      </c>
      <c r="C55" s="263"/>
    </row>
    <row r="56" spans="1:7" ht="13">
      <c r="B56" s="265" t="s">
        <v>802</v>
      </c>
      <c r="C56" s="267">
        <f ca="1">1-C57</f>
        <v>0.16800000000000004</v>
      </c>
    </row>
    <row r="57" spans="1:7" ht="13">
      <c r="B57" s="265" t="s">
        <v>803</v>
      </c>
      <c r="C57" s="266">
        <f ca="1">ROUND(C51/C52,3)</f>
        <v>0.83199999999999996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8.5" thickBot="1">
      <c r="A4" s="1391"/>
      <c r="B4" s="3168" t="s">
        <v>917</v>
      </c>
      <c r="C4" s="3168"/>
      <c r="D4" s="3168"/>
      <c r="E4" s="1391"/>
    </row>
    <row r="5" spans="1:5" ht="16" thickTop="1">
      <c r="B5" s="3166" t="s">
        <v>909</v>
      </c>
      <c r="C5" s="1392" t="s">
        <v>910</v>
      </c>
      <c r="D5" s="797">
        <f ca="1">结果表!H101</f>
        <v>5151.8203999999996</v>
      </c>
    </row>
    <row r="6" spans="1:5" ht="15.5">
      <c r="B6" s="3166"/>
      <c r="C6" s="1392" t="s">
        <v>911</v>
      </c>
      <c r="D6" s="797" t="str">
        <f ca="1">NUMBERSTRING(INT(D5*10000),2)&amp;"元整"</f>
        <v>伍仟壹佰伍拾壹万捌仟贰佰零肆元整</v>
      </c>
    </row>
    <row r="7" spans="1:5" ht="15.5">
      <c r="B7" s="3171"/>
      <c r="C7" s="1393" t="s">
        <v>912</v>
      </c>
      <c r="D7" s="798">
        <f ca="1">结果表!H102</f>
        <v>58067</v>
      </c>
    </row>
    <row r="8" spans="1:5" ht="15.5">
      <c r="B8" s="3172" t="str">
        <f>结果表!E103</f>
        <v>2.估价师知悉的法定优先受偿款</v>
      </c>
      <c r="C8" s="1394" t="s">
        <v>913</v>
      </c>
      <c r="D8" s="798">
        <f>结果表!H103</f>
        <v>0</v>
      </c>
    </row>
    <row r="9" spans="1:5" ht="15.5">
      <c r="B9" s="3174"/>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5" t="str">
        <f>结果表!E107</f>
        <v>3.房地产抵押价值</v>
      </c>
      <c r="C13" s="1397" t="s">
        <v>910</v>
      </c>
      <c r="D13" s="800">
        <f ca="1">结果表!H107</f>
        <v>5151.8203999999996</v>
      </c>
    </row>
    <row r="14" spans="1:5" ht="15.5">
      <c r="B14" s="3166"/>
      <c r="C14" s="1392" t="s">
        <v>911</v>
      </c>
      <c r="D14" s="797" t="str">
        <f ca="1">NUMBERSTRING(INT(D13*10000),2)&amp;"元整"</f>
        <v>伍仟壹佰伍拾壹万捌仟贰佰零肆元整</v>
      </c>
    </row>
    <row r="15" spans="1:5" ht="15.5">
      <c r="B15" s="3171"/>
      <c r="C15" s="1393" t="s">
        <v>921</v>
      </c>
      <c r="D15" s="806">
        <f ca="1">结果表!H108</f>
        <v>58067</v>
      </c>
    </row>
    <row r="16" spans="1:5" ht="15">
      <c r="B16" s="3172" t="str">
        <f>结果表!E109</f>
        <v>——</v>
      </c>
      <c r="C16" s="1397" t="s">
        <v>922</v>
      </c>
      <c r="D16" s="1398" t="str">
        <f>结果表!H109</f>
        <v>——</v>
      </c>
    </row>
    <row r="17" spans="1:5" ht="15.5">
      <c r="B17" s="3173"/>
      <c r="C17" s="1392" t="s">
        <v>923</v>
      </c>
      <c r="D17" s="797" t="e">
        <f>NUMBERSTRING(INT(D16*10000),2)&amp;"元整"</f>
        <v>#VALUE!</v>
      </c>
    </row>
    <row r="18" spans="1:5" ht="15.5">
      <c r="B18" s="3174"/>
      <c r="C18" s="1393" t="s">
        <v>912</v>
      </c>
      <c r="D18" s="806" t="str">
        <f>结果表!H110</f>
        <v>——</v>
      </c>
    </row>
    <row r="19" spans="1:5" ht="15.5">
      <c r="B19" s="3165" t="str">
        <f>结果表!E111</f>
        <v>4.抵押净值</v>
      </c>
      <c r="C19" s="1397" t="s">
        <v>910</v>
      </c>
      <c r="D19" s="798">
        <f ca="1">结果表!H111</f>
        <v>5149.2444999999998</v>
      </c>
    </row>
    <row r="20" spans="1:5" ht="15.5">
      <c r="B20" s="3166"/>
      <c r="C20" s="1392" t="s">
        <v>923</v>
      </c>
      <c r="D20" s="797" t="str">
        <f ca="1">NUMBERSTRING(INT(D19*10000),2)&amp;"元整"</f>
        <v>伍仟壹佰肆拾玖万贰仟肆佰肆拾伍元整</v>
      </c>
    </row>
    <row r="21" spans="1:5" ht="16" thickBot="1">
      <c r="B21" s="3167"/>
      <c r="C21" s="1399" t="s">
        <v>921</v>
      </c>
      <c r="D21" s="807">
        <f ca="1">结果表!H112</f>
        <v>58038</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5"/>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8">
        <f>ROUND(SUMPRODUCT((B106:B110=R2)*(C105:N105=G2)*(C106:N110)),4)</f>
        <v>0</v>
      </c>
      <c r="T2" s="3058" t="e">
        <f t="shared" ref="T2:T16" si="0">ROUND($C$5*$C$22*$C$23*$C$24*S2*$C$28,0)</f>
        <v>#DIV/0!</v>
      </c>
      <c r="U2" s="1130"/>
      <c r="V2" s="3058"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3"/>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8">
        <f>ROUND(SUMPRODUCT((B106:B110=R3)*(C105:N105=G2)*(C106:N110)),4)</f>
        <v>0</v>
      </c>
      <c r="T3" s="3058" t="e">
        <f t="shared" si="0"/>
        <v>#DIV/0!</v>
      </c>
      <c r="U3" s="1130"/>
      <c r="V3" s="3058" t="e">
        <f t="shared" ref="V3:V16" si="1">ROUND(T3*U3/10000,0)</f>
        <v>#DIV/0!</v>
      </c>
      <c r="W3" s="1133"/>
      <c r="X3" s="1133"/>
      <c r="Y3" s="1133"/>
      <c r="Z3" s="1133"/>
      <c r="AA3" s="1133"/>
      <c r="AB3" s="1133"/>
      <c r="AC3" s="1134"/>
      <c r="AD3" s="1135"/>
      <c r="AE3" s="1135"/>
      <c r="AF3" s="1135"/>
      <c r="AG3" s="1135"/>
      <c r="AH3" s="1135"/>
      <c r="AI3" s="1135"/>
      <c r="AJ3" s="1136"/>
    </row>
    <row r="4" spans="1:36" ht="15.5">
      <c r="A4" s="3457"/>
      <c r="B4" s="3458"/>
      <c r="C4" s="3458"/>
      <c r="D4" s="3459"/>
      <c r="E4" s="3459"/>
      <c r="F4" s="3459"/>
      <c r="G4" s="3459"/>
      <c r="H4" s="3459"/>
      <c r="I4" s="3459"/>
      <c r="J4" s="34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8">
        <f>ROUND(SUMPRODUCT((B106:B110=R4)*(C105:N105=G2)*(C106:N110)),4)</f>
        <v>0</v>
      </c>
      <c r="T4" s="3058" t="e">
        <f t="shared" si="0"/>
        <v>#DIV/0!</v>
      </c>
      <c r="U4" s="1130"/>
      <c r="V4" s="3058"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8">
        <f>ROUND(SUMPRODUCT((B106:B110=R5)*(C105:N105=G2)*(C106:N110)),4)</f>
        <v>0</v>
      </c>
      <c r="T5" s="3058" t="e">
        <f t="shared" si="0"/>
        <v>#DIV/0!</v>
      </c>
      <c r="U5" s="1130"/>
      <c r="V5" s="3058"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8">
        <f>ROUND(SUMPRODUCT((B106:B110=R6)*(C105:N105=G2)*(C106:N110)),4)</f>
        <v>0</v>
      </c>
      <c r="T6" s="3058" t="e">
        <f t="shared" si="0"/>
        <v>#DIV/0!</v>
      </c>
      <c r="U6" s="1130"/>
      <c r="V6" s="3058" t="e">
        <f t="shared" si="1"/>
        <v>#DIV/0!</v>
      </c>
      <c r="W6" s="1133"/>
      <c r="X6" s="1133"/>
      <c r="Y6" s="1133"/>
      <c r="Z6" s="1133"/>
      <c r="AA6" s="1133"/>
      <c r="AB6" s="1133"/>
      <c r="AC6" s="1855"/>
      <c r="AD6" s="1856"/>
      <c r="AE6" s="1856"/>
      <c r="AF6" s="1856"/>
      <c r="AG6" s="1856"/>
      <c r="AH6" s="1856"/>
      <c r="AI6" s="1856"/>
      <c r="AJ6" s="1857"/>
    </row>
    <row r="7" spans="1:36" ht="26.5" thickBot="1">
      <c r="A7" s="3007"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2"/>
      <c r="T7" s="3058" t="e">
        <f t="shared" si="0"/>
        <v>#DIV/0!</v>
      </c>
      <c r="U7" s="1130"/>
      <c r="V7" s="3058"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4"/>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8" t="e">
        <f t="shared" si="0"/>
        <v>#DIV/0!</v>
      </c>
      <c r="U8" s="1130"/>
      <c r="V8" s="3058" t="e">
        <f t="shared" si="1"/>
        <v>#DIV/0!</v>
      </c>
      <c r="W8" s="3454" t="s">
        <v>1960</v>
      </c>
      <c r="X8" s="34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4"/>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8" t="e">
        <f t="shared" si="0"/>
        <v>#DIV/0!</v>
      </c>
      <c r="U9" s="1130"/>
      <c r="V9" s="3058" t="e">
        <f t="shared" si="1"/>
        <v>#DIV/0!</v>
      </c>
      <c r="W9" s="3456"/>
      <c r="X9" s="3059" t="s">
        <v>3266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5">
      <c r="A10" s="3004"/>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8" t="e">
        <f t="shared" si="0"/>
        <v>#DIV/0!</v>
      </c>
      <c r="U10" s="1130"/>
      <c r="V10" s="3058" t="e">
        <f t="shared" si="1"/>
        <v>#DIV/0!</v>
      </c>
      <c r="W10" s="345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6" thickBot="1">
      <c r="A11" s="3006"/>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8" t="e">
        <f t="shared" si="0"/>
        <v>#DIV/0!</v>
      </c>
      <c r="U11" s="1130"/>
      <c r="V11" s="3058" t="e">
        <f t="shared" si="1"/>
        <v>#DIV/0!</v>
      </c>
      <c r="W11" s="1133"/>
      <c r="X11" s="1133"/>
      <c r="Y11" s="1133"/>
      <c r="Z11" s="1133"/>
      <c r="AA11" s="1133"/>
      <c r="AB11" s="1133"/>
      <c r="AC11" s="1134"/>
      <c r="AD11" s="2548"/>
      <c r="AE11" s="2548"/>
      <c r="AF11" s="2548"/>
      <c r="AG11" s="2548"/>
      <c r="AH11" s="2548"/>
      <c r="AI11" s="2548"/>
      <c r="AJ11" s="2549"/>
    </row>
    <row r="12" spans="1:36" ht="27" thickBot="1">
      <c r="A12" s="3007" t="s">
        <v>3238</v>
      </c>
      <c r="B12" s="3008" t="s">
        <v>3239</v>
      </c>
      <c r="C12" s="3009"/>
      <c r="D12" s="3010" t="s">
        <v>3240</v>
      </c>
      <c r="E12" s="3011" t="s">
        <v>3241</v>
      </c>
      <c r="F12" s="3012"/>
      <c r="G12" s="3013"/>
      <c r="H12" s="3013"/>
      <c r="I12" s="3013"/>
      <c r="J12" s="3014"/>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8" t="e">
        <f t="shared" si="0"/>
        <v>#DIV/0!</v>
      </c>
      <c r="U12" s="1130"/>
      <c r="V12" s="3058" t="e">
        <f t="shared" si="1"/>
        <v>#DIV/0!</v>
      </c>
      <c r="W12" s="1133"/>
      <c r="X12" s="1133"/>
      <c r="Y12" s="1133"/>
      <c r="Z12" s="1133"/>
      <c r="AA12" s="1133"/>
      <c r="AB12" s="1133"/>
      <c r="AC12" s="1134"/>
      <c r="AD12" s="2548"/>
      <c r="AE12" s="2548"/>
      <c r="AF12" s="2548"/>
      <c r="AG12" s="2548"/>
      <c r="AH12" s="2548"/>
      <c r="AI12" s="2548"/>
      <c r="AJ12" s="2549"/>
    </row>
    <row r="13" spans="1:36" ht="26.5" thickBot="1">
      <c r="A13" s="3007" t="s">
        <v>3242</v>
      </c>
      <c r="B13" s="1878" t="s">
        <v>1982</v>
      </c>
      <c r="C13" s="711">
        <f>ROUND(C16*D16*E16*F16*G16*H16*I16*J16,4)</f>
        <v>0</v>
      </c>
      <c r="D13" s="1879" t="s">
        <v>1983</v>
      </c>
      <c r="E13" s="1880"/>
      <c r="F13" s="1880"/>
      <c r="G13" s="1881"/>
      <c r="H13" s="1881"/>
      <c r="I13" s="1881"/>
      <c r="J13" s="1882"/>
      <c r="K13" s="1056"/>
      <c r="L13" s="3"/>
      <c r="M13" s="4"/>
      <c r="N13" s="3005"/>
      <c r="O13" s="1056"/>
      <c r="P13" s="1056"/>
      <c r="Q13" s="1056"/>
      <c r="R13" s="1129">
        <v>12</v>
      </c>
      <c r="S13" s="1130"/>
      <c r="T13" s="3058" t="e">
        <f t="shared" si="0"/>
        <v>#DIV/0!</v>
      </c>
      <c r="U13" s="1130"/>
      <c r="V13" s="3058" t="e">
        <f t="shared" si="1"/>
        <v>#DIV/0!</v>
      </c>
      <c r="W13" s="1133"/>
      <c r="X13" s="1133"/>
      <c r="Y13" s="1133"/>
      <c r="Z13" s="1133"/>
      <c r="AA13" s="1133"/>
      <c r="AB13" s="1133"/>
      <c r="AC13" s="1134"/>
      <c r="AD13" s="2548"/>
      <c r="AE13" s="2548"/>
      <c r="AF13" s="2548"/>
      <c r="AG13" s="2548"/>
      <c r="AH13" s="2548"/>
      <c r="AI13" s="2548"/>
      <c r="AJ13" s="2549"/>
    </row>
    <row r="14" spans="1:36" ht="26">
      <c r="A14" s="3003"/>
      <c r="B14" s="1883" t="s">
        <v>1985</v>
      </c>
      <c r="C14" s="1884" t="s">
        <v>1986</v>
      </c>
      <c r="D14" s="1261" t="s">
        <v>1987</v>
      </c>
      <c r="E14" s="27" t="s">
        <v>1988</v>
      </c>
      <c r="F14" s="3015" t="s">
        <v>3243</v>
      </c>
      <c r="G14" s="3015" t="s">
        <v>3243</v>
      </c>
      <c r="H14" s="3015" t="s">
        <v>3243</v>
      </c>
      <c r="I14" s="3015" t="s">
        <v>3243</v>
      </c>
      <c r="J14" s="3015" t="s">
        <v>3243</v>
      </c>
      <c r="K14" s="1056"/>
      <c r="L14" s="1056"/>
      <c r="M14" s="1056"/>
      <c r="N14" s="1056"/>
      <c r="O14" s="1056"/>
      <c r="P14" s="1056"/>
      <c r="Q14" s="1056"/>
      <c r="R14" s="1129">
        <v>13</v>
      </c>
      <c r="S14" s="1130"/>
      <c r="T14" s="3058" t="e">
        <f t="shared" si="0"/>
        <v>#DIV/0!</v>
      </c>
      <c r="U14" s="1130"/>
      <c r="V14" s="3058" t="e">
        <f t="shared" si="1"/>
        <v>#DIV/0!</v>
      </c>
      <c r="W14" s="1133"/>
      <c r="X14" s="1133"/>
      <c r="Y14" s="1133"/>
      <c r="Z14" s="1133"/>
      <c r="AA14" s="1133"/>
      <c r="AB14" s="1133"/>
      <c r="AC14" s="1134"/>
      <c r="AD14" s="2548"/>
      <c r="AE14" s="2548"/>
      <c r="AF14" s="2548"/>
      <c r="AG14" s="2548"/>
      <c r="AH14" s="2548"/>
      <c r="AI14" s="2548"/>
      <c r="AJ14" s="2549"/>
    </row>
    <row r="15" spans="1:36" ht="15.5">
      <c r="A15" s="3003"/>
      <c r="B15" s="1885"/>
      <c r="C15" s="1886"/>
      <c r="D15" s="1887"/>
      <c r="E15" s="1888"/>
      <c r="F15" s="1470" t="s">
        <v>3244</v>
      </c>
      <c r="G15" s="1928"/>
      <c r="H15" s="3016"/>
      <c r="I15" s="3017"/>
      <c r="J15" s="3018"/>
      <c r="K15" s="1056"/>
      <c r="L15" s="1056"/>
      <c r="M15" s="1056"/>
      <c r="N15" s="1056"/>
      <c r="O15" s="1056"/>
      <c r="P15" s="1056"/>
      <c r="Q15" s="1056"/>
      <c r="R15" s="1129">
        <v>14</v>
      </c>
      <c r="S15" s="1130"/>
      <c r="T15" s="3058" t="e">
        <f t="shared" si="0"/>
        <v>#DIV/0!</v>
      </c>
      <c r="U15" s="1130"/>
      <c r="V15" s="3058" t="e">
        <f t="shared" si="1"/>
        <v>#DIV/0!</v>
      </c>
      <c r="W15" s="1133"/>
      <c r="X15" s="1133"/>
      <c r="Y15" s="1133"/>
      <c r="Z15" s="1133"/>
      <c r="AA15" s="1133"/>
      <c r="AB15" s="1133"/>
      <c r="AC15" s="1134"/>
      <c r="AD15" s="2548"/>
      <c r="AE15" s="2548"/>
      <c r="AF15" s="2548"/>
      <c r="AG15" s="2548"/>
      <c r="AH15" s="2548"/>
      <c r="AI15" s="2548"/>
      <c r="AJ15" s="2549"/>
    </row>
    <row r="16" spans="1:36" ht="16" thickBot="1">
      <c r="A16" s="3003"/>
      <c r="B16" s="3021" t="s">
        <v>1989</v>
      </c>
      <c r="C16" s="3019"/>
      <c r="D16" s="3019"/>
      <c r="E16" s="3019"/>
      <c r="F16" s="3019">
        <v>1</v>
      </c>
      <c r="G16" s="3019">
        <v>1</v>
      </c>
      <c r="H16" s="3019">
        <v>1</v>
      </c>
      <c r="I16" s="3019">
        <v>1</v>
      </c>
      <c r="J16" s="3020">
        <v>1</v>
      </c>
      <c r="K16" s="1056"/>
      <c r="L16" s="1844"/>
      <c r="M16" s="1844"/>
      <c r="N16" s="1844"/>
      <c r="O16" s="1844"/>
      <c r="P16" s="1844"/>
      <c r="Q16" s="1056"/>
      <c r="R16" s="1129">
        <v>15</v>
      </c>
      <c r="S16" s="1130"/>
      <c r="T16" s="3058" t="e">
        <f t="shared" si="0"/>
        <v>#DIV/0!</v>
      </c>
      <c r="U16" s="1130"/>
      <c r="V16" s="3058" t="e">
        <f t="shared" si="1"/>
        <v>#DIV/0!</v>
      </c>
      <c r="W16" s="1133"/>
      <c r="X16" s="1133"/>
      <c r="Y16" s="1133"/>
      <c r="Z16" s="1133"/>
      <c r="AA16" s="1133"/>
      <c r="AB16" s="1133"/>
      <c r="AC16" s="1134"/>
      <c r="AD16" s="2548"/>
      <c r="AE16" s="2548"/>
      <c r="AF16" s="2548"/>
      <c r="AG16" s="2548"/>
      <c r="AH16" s="2548"/>
      <c r="AI16" s="2548"/>
      <c r="AJ16" s="2549"/>
    </row>
    <row r="17" spans="1:37" ht="26">
      <c r="A17" s="3030" t="s">
        <v>3245</v>
      </c>
      <c r="B17" s="3022" t="s">
        <v>3246</v>
      </c>
      <c r="C17" s="3031">
        <f>ROUND(IF(OR(E2="工业",E2="公共服务"),1,IF(AND(E18=0,E19=0),1,IF(AND(E18=J24,E19=G19),0.8,IF(E19=0,1+E17*(-0.2),1+E17*G17*(-0.2))))),4)</f>
        <v>1</v>
      </c>
      <c r="D17" s="3023" t="s">
        <v>3247</v>
      </c>
      <c r="E17" s="3031" t="e">
        <f>ROUND(G18/I18,2)</f>
        <v>#DIV/0!</v>
      </c>
      <c r="F17" s="3023" t="s">
        <v>3250</v>
      </c>
      <c r="G17" s="3031" t="e">
        <f>ROUND(E19/G19,2)</f>
        <v>#DIV/0!</v>
      </c>
      <c r="H17" s="3031"/>
      <c r="I17" s="3031"/>
      <c r="J17" s="3032"/>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3"/>
      <c r="B18" s="2308"/>
      <c r="C18" s="3029"/>
      <c r="D18" s="3024" t="s">
        <v>3248</v>
      </c>
      <c r="E18" s="2352"/>
      <c r="F18" s="3025" t="s">
        <v>3251</v>
      </c>
      <c r="G18" s="3029">
        <f>ROUND(1-(1/(POWER(1+G24,E18))),4)</f>
        <v>0</v>
      </c>
      <c r="H18" s="3025" t="s">
        <v>3253</v>
      </c>
      <c r="I18" s="3029">
        <f>ROUND(1-(1/(POWER(1+G24,J24))),4)</f>
        <v>0</v>
      </c>
      <c r="J18" s="3034"/>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7"/>
    </row>
    <row r="19" spans="1:37" s="1858" customFormat="1" ht="14.5" thickBot="1">
      <c r="A19" s="3035"/>
      <c r="B19" s="3036"/>
      <c r="C19" s="3037"/>
      <c r="D19" s="3037" t="s">
        <v>3249</v>
      </c>
      <c r="E19" s="3038"/>
      <c r="F19" s="3039" t="s">
        <v>3252</v>
      </c>
      <c r="G19" s="3038"/>
      <c r="H19" s="3037"/>
      <c r="I19" s="3037"/>
      <c r="J19" s="3040"/>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0"/>
      <c r="AH19" s="1980"/>
      <c r="AI19" s="561"/>
      <c r="AJ19" s="561"/>
      <c r="AK19" s="1899"/>
    </row>
    <row r="20" spans="1:37" s="1858" customFormat="1" ht="14">
      <c r="A20" s="3461" t="s">
        <v>3254</v>
      </c>
      <c r="B20" s="159" t="s">
        <v>1994</v>
      </c>
      <c r="C20" s="3026" t="e">
        <f>ROUND(IF(F21="与级别开发程度一致",0,(G21-E21)/C21),0)</f>
        <v>#DIV/0!</v>
      </c>
      <c r="D20" s="3041" t="s">
        <v>1998</v>
      </c>
      <c r="E20" s="3042"/>
      <c r="F20" s="3467" t="s">
        <v>1995</v>
      </c>
      <c r="G20" s="3468"/>
      <c r="H20" s="3027"/>
      <c r="I20" s="3027"/>
      <c r="J20" s="3028"/>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8" customFormat="1" ht="14.5" thickBot="1">
      <c r="A21" s="346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8" customFormat="1" ht="14.5" thickBot="1">
      <c r="A22" s="1996" t="s">
        <v>363</v>
      </c>
      <c r="B22" s="1997" t="s">
        <v>2000</v>
      </c>
      <c r="C22" s="1998">
        <f>SUMIF(修正!C20:C53,E3,修正!E20:E53)</f>
        <v>0</v>
      </c>
      <c r="D22" s="1999"/>
      <c r="E22" s="2000"/>
      <c r="F22" s="2000"/>
      <c r="G22" s="2000"/>
      <c r="H22" s="2000"/>
      <c r="I22" s="2000"/>
      <c r="J22" s="2001"/>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45909</v>
      </c>
      <c r="H23" s="3043"/>
      <c r="I23" s="3044" t="str">
        <f>IF(H23="季度增幅（自定义）",SUMIF(N25:N28,E2,O25:O28),"")</f>
        <v/>
      </c>
      <c r="J23" s="3136"/>
      <c r="K23" s="1061"/>
      <c r="L23" s="1897" t="s">
        <v>2004</v>
      </c>
      <c r="M23" s="1241">
        <f>ROUND(SUMIF(地价!B2:G2,E2,地价!B16:G16),0)</f>
        <v>0</v>
      </c>
      <c r="N23" s="1898" t="s">
        <v>2005</v>
      </c>
      <c r="O23" s="719">
        <f>ROUNDDOWN(DATEDIF(E23,G23,"M")/3,0)</f>
        <v>18</v>
      </c>
      <c r="P23" s="1057"/>
      <c r="Q23" s="2547"/>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4">
      <c r="A25" s="1907" t="s">
        <v>366</v>
      </c>
      <c r="B25" s="1908" t="s">
        <v>3333</v>
      </c>
      <c r="C25" s="461">
        <f>IF(B25="容积率修正",IF(G3&lt;10,D26,J26),C27)</f>
        <v>0</v>
      </c>
      <c r="D25" s="1909"/>
      <c r="E25" s="1909"/>
      <c r="F25" s="1909"/>
      <c r="G25" s="1909"/>
      <c r="H25" s="1909"/>
      <c r="I25" s="1909"/>
      <c r="J25" s="1910"/>
      <c r="K25" s="1061"/>
      <c r="L25" s="2547"/>
      <c r="M25" s="2547"/>
      <c r="N25" s="1911" t="s">
        <v>2013</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47"/>
      <c r="M26" s="2547"/>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47"/>
      <c r="M28" s="2547"/>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4" t="s">
        <v>2023</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0" t="s">
        <v>1936</v>
      </c>
      <c r="M30" s="3051" t="s">
        <v>1990</v>
      </c>
      <c r="N30" s="3051" t="s">
        <v>1991</v>
      </c>
      <c r="O30" s="3051" t="s">
        <v>1992</v>
      </c>
      <c r="P30" s="3051" t="s">
        <v>1993</v>
      </c>
      <c r="Q30" s="3054"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2" t="s">
        <v>1996</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3" t="s">
        <v>1999</v>
      </c>
      <c r="M32" s="2351">
        <f>ROUND($E$24*(1+M31),3)</f>
        <v>5.3999999999999999E-2</v>
      </c>
      <c r="N32" s="2351">
        <f>ROUND($E$24*(1+N31),3)</f>
        <v>5.1999999999999998E-2</v>
      </c>
      <c r="O32" s="2351">
        <f>ROUND($E$24*(1+O31),3)</f>
        <v>0.05</v>
      </c>
      <c r="P32" s="2351">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5" t="s">
        <v>3258</v>
      </c>
      <c r="G33" s="1941"/>
      <c r="H33" s="1941"/>
      <c r="I33" s="1941"/>
      <c r="J33" s="1942"/>
      <c r="K33" s="1056"/>
      <c r="L33" s="3048" t="s">
        <v>3261</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48" t="s">
        <v>3262</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6"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37">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49"/>
      <c r="K37" s="3056" t="s">
        <v>3264</v>
      </c>
      <c r="L37" s="1964">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6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48"/>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57"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5" t="s">
        <v>3267</v>
      </c>
      <c r="B52" s="1262">
        <f>估价对象房地状况!C19</f>
        <v>0</v>
      </c>
      <c r="C52" s="1887"/>
      <c r="D52" s="1002">
        <f t="shared" si="7"/>
        <v>0</v>
      </c>
      <c r="E52" s="703"/>
      <c r="F52" s="1675"/>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5" t="s">
        <v>3267</v>
      </c>
      <c r="B63" s="1262">
        <f>估价对象房地状况!C19</f>
        <v>0</v>
      </c>
      <c r="C63" s="1887"/>
      <c r="D63" s="1002">
        <f t="shared" si="12"/>
        <v>0</v>
      </c>
      <c r="E63" s="703"/>
      <c r="F63" s="1675"/>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5" t="s">
        <v>3267</v>
      </c>
      <c r="B74" s="1262">
        <f>估价对象房地状况!C19</f>
        <v>0</v>
      </c>
      <c r="C74" s="1887"/>
      <c r="D74" s="1002">
        <f t="shared" si="17"/>
        <v>0</v>
      </c>
      <c r="E74" s="705"/>
      <c r="F74" s="1675"/>
      <c r="G74" s="1000"/>
      <c r="H74" s="1003" t="str">
        <f t="shared" si="18"/>
        <v>——</v>
      </c>
      <c r="I74" s="3063">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3">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3">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3">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3">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3">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4">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3">
        <v>0.3</v>
      </c>
      <c r="J84" s="1001">
        <f t="shared" si="24"/>
        <v>0</v>
      </c>
      <c r="K84" s="1001">
        <f t="shared" si="25"/>
        <v>0</v>
      </c>
      <c r="L84" s="1001">
        <v>0</v>
      </c>
      <c r="M84" s="1001">
        <f t="shared" si="26"/>
        <v>0</v>
      </c>
      <c r="N84" s="1001">
        <f t="shared" si="26"/>
        <v>0</v>
      </c>
      <c r="Z84" s="1845"/>
      <c r="AA84" s="1895"/>
      <c r="AG84" s="1058"/>
      <c r="AK84" s="1895"/>
    </row>
    <row r="85" spans="1:37" ht="39">
      <c r="A85" s="3065" t="s">
        <v>3268</v>
      </c>
      <c r="B85" s="1262">
        <f>估价对象房地状况!G17</f>
        <v>0</v>
      </c>
      <c r="C85" s="1887"/>
      <c r="D85" s="1002">
        <f t="shared" si="22"/>
        <v>0</v>
      </c>
      <c r="E85" s="705"/>
      <c r="F85" s="1675"/>
      <c r="G85" s="1000"/>
      <c r="H85" s="1003" t="str">
        <f t="shared" si="23"/>
        <v>——</v>
      </c>
      <c r="I85" s="3063">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3">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3">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3">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3">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4">
        <v>0.05</v>
      </c>
      <c r="J90" s="1001">
        <f t="shared" si="24"/>
        <v>0</v>
      </c>
      <c r="K90" s="1001">
        <f t="shared" si="25"/>
        <v>0</v>
      </c>
      <c r="L90" s="1001">
        <v>0</v>
      </c>
      <c r="M90" s="1001">
        <f t="shared" si="26"/>
        <v>0</v>
      </c>
      <c r="N90" s="1001">
        <f t="shared" si="26"/>
        <v>0</v>
      </c>
    </row>
    <row r="91" spans="1:37" ht="14">
      <c r="A91" s="3073" t="s">
        <v>2612</v>
      </c>
      <c r="B91" s="3074">
        <f>1+E93</f>
        <v>1</v>
      </c>
      <c r="C91" s="3067"/>
      <c r="D91" s="3068"/>
      <c r="E91" s="1675"/>
      <c r="F91" s="1675"/>
      <c r="G91" s="3069"/>
      <c r="H91" s="3070"/>
      <c r="I91" s="3071"/>
      <c r="J91" s="3072"/>
      <c r="K91" s="3072"/>
      <c r="L91" s="3072"/>
      <c r="M91" s="3072"/>
      <c r="N91" s="3072"/>
    </row>
    <row r="92" spans="1:37" ht="26">
      <c r="A92" s="3075" t="s">
        <v>3269</v>
      </c>
      <c r="B92" s="2308"/>
      <c r="C92" s="2308" t="s">
        <v>3278</v>
      </c>
      <c r="D92" s="2308" t="s">
        <v>3279</v>
      </c>
      <c r="E92" s="3047" t="s">
        <v>3280</v>
      </c>
      <c r="F92" s="3077" t="s">
        <v>3281</v>
      </c>
      <c r="G92" s="2308" t="s">
        <v>3282</v>
      </c>
      <c r="H92" s="3084" t="s">
        <v>3285</v>
      </c>
      <c r="I92" s="2308" t="s">
        <v>3286</v>
      </c>
      <c r="J92" s="2150" t="s">
        <v>3287</v>
      </c>
      <c r="K92" s="2150" t="s">
        <v>3288</v>
      </c>
      <c r="L92" s="2150" t="s">
        <v>3289</v>
      </c>
      <c r="M92" s="2150" t="s">
        <v>3290</v>
      </c>
      <c r="N92" s="2150" t="s">
        <v>3291</v>
      </c>
    </row>
    <row r="93" spans="1:37" ht="26">
      <c r="A93" s="3065" t="s">
        <v>3270</v>
      </c>
      <c r="B93" s="1221"/>
      <c r="C93" s="1887"/>
      <c r="D93" s="2308">
        <f>SUMIF($J$92:$N$92,C93,J93:N93)</f>
        <v>0</v>
      </c>
      <c r="E93" s="3078">
        <f>ROUND(SUM(D93:D101),4)</f>
        <v>0</v>
      </c>
      <c r="F93" s="1675" t="str">
        <f>IF(E2="公共服务",SUMIF(L1:L12,G2,N1:N12),"——")</f>
        <v>——</v>
      </c>
      <c r="G93" s="3069"/>
      <c r="H93" s="3114" t="str">
        <f>IFERROR(ROUNDDOWN($F$93*I93/2,4),"——")</f>
        <v>——</v>
      </c>
      <c r="I93" s="3063">
        <v>0.25</v>
      </c>
      <c r="J93" s="1912">
        <f t="shared" ref="J93:J101" si="27">K93+$G93</f>
        <v>0</v>
      </c>
      <c r="K93" s="1912">
        <f t="shared" ref="K93:K101" si="28">$L93+$G93</f>
        <v>0</v>
      </c>
      <c r="L93" s="1912">
        <v>0</v>
      </c>
      <c r="M93" s="1912">
        <f t="shared" ref="M93:N101" si="29">L93-$G93</f>
        <v>0</v>
      </c>
      <c r="N93" s="1912">
        <f t="shared" si="29"/>
        <v>0</v>
      </c>
    </row>
    <row r="94" spans="1:37" ht="50">
      <c r="A94" s="3075" t="s">
        <v>3271</v>
      </c>
      <c r="B94" s="3066" t="str">
        <f>估价对象房地状况!C18</f>
        <v>估价对象周边道路状况、公共交通通达情况、停车便捷程度，综合评价交通便捷度较好</v>
      </c>
      <c r="C94" s="1887"/>
      <c r="D94" s="2308">
        <f t="shared" ref="D94:D101" si="30">SUMIF($J$60:$N$60,C94,J94:N94)</f>
        <v>0</v>
      </c>
      <c r="E94" s="3079"/>
      <c r="F94" s="1675"/>
      <c r="G94" s="3069"/>
      <c r="H94" s="3114" t="str">
        <f>IFERROR(ROUNDDOWN($F$93*I94/2,4),"——")</f>
        <v>——</v>
      </c>
      <c r="I94" s="3063">
        <v>0.26</v>
      </c>
      <c r="J94" s="1912">
        <f t="shared" si="27"/>
        <v>0</v>
      </c>
      <c r="K94" s="1912">
        <f t="shared" si="28"/>
        <v>0</v>
      </c>
      <c r="L94" s="1912">
        <v>0</v>
      </c>
      <c r="M94" s="1912">
        <f t="shared" si="29"/>
        <v>0</v>
      </c>
      <c r="N94" s="1912">
        <f t="shared" si="29"/>
        <v>0</v>
      </c>
    </row>
    <row r="95" spans="1:37" ht="39">
      <c r="A95" s="3065" t="s">
        <v>3267</v>
      </c>
      <c r="B95" s="3066">
        <f>估价对象房地状况!C19</f>
        <v>0</v>
      </c>
      <c r="C95" s="1887"/>
      <c r="D95" s="2308">
        <f t="shared" si="30"/>
        <v>0</v>
      </c>
      <c r="E95" s="3079"/>
      <c r="F95" s="1675"/>
      <c r="G95" s="3069"/>
      <c r="H95" s="3114" t="str">
        <f t="shared" ref="H95:H101" si="31">IFERROR(ROUNDDOWN($F$93*I95/2,4),"——")</f>
        <v>——</v>
      </c>
      <c r="I95" s="3063">
        <v>0.11</v>
      </c>
      <c r="J95" s="1912">
        <f t="shared" si="27"/>
        <v>0</v>
      </c>
      <c r="K95" s="1912">
        <f t="shared" si="28"/>
        <v>0</v>
      </c>
      <c r="L95" s="1912">
        <v>0</v>
      </c>
      <c r="M95" s="1912">
        <f t="shared" si="29"/>
        <v>0</v>
      </c>
      <c r="N95" s="1912">
        <f t="shared" si="29"/>
        <v>0</v>
      </c>
    </row>
    <row r="96" spans="1:37" ht="39">
      <c r="A96" s="3075" t="s">
        <v>3272</v>
      </c>
      <c r="B96" s="3081" t="s">
        <v>3283</v>
      </c>
      <c r="C96" s="1887"/>
      <c r="D96" s="2308">
        <f t="shared" si="30"/>
        <v>0</v>
      </c>
      <c r="E96" s="3079"/>
      <c r="F96" s="1675"/>
      <c r="G96" s="3069"/>
      <c r="H96" s="3114" t="str">
        <f t="shared" si="31"/>
        <v>——</v>
      </c>
      <c r="I96" s="3063">
        <v>0.05</v>
      </c>
      <c r="J96" s="1912">
        <f t="shared" si="27"/>
        <v>0</v>
      </c>
      <c r="K96" s="1912">
        <f t="shared" si="28"/>
        <v>0</v>
      </c>
      <c r="L96" s="1912">
        <v>0</v>
      </c>
      <c r="M96" s="1912">
        <f t="shared" si="29"/>
        <v>0</v>
      </c>
      <c r="N96" s="1912">
        <f t="shared" si="29"/>
        <v>0</v>
      </c>
    </row>
    <row r="97" spans="1:14" ht="26">
      <c r="A97" s="3075" t="s">
        <v>3273</v>
      </c>
      <c r="B97" s="3066">
        <f>估价对象房地状况!C24</f>
        <v>0</v>
      </c>
      <c r="C97" s="1887"/>
      <c r="D97" s="2308">
        <f t="shared" si="30"/>
        <v>0</v>
      </c>
      <c r="E97" s="3079"/>
      <c r="F97" s="1675"/>
      <c r="G97" s="3069"/>
      <c r="H97" s="3114" t="str">
        <f t="shared" si="31"/>
        <v>——</v>
      </c>
      <c r="I97" s="3063">
        <v>0.05</v>
      </c>
      <c r="J97" s="1912">
        <f t="shared" si="27"/>
        <v>0</v>
      </c>
      <c r="K97" s="1912">
        <f t="shared" si="28"/>
        <v>0</v>
      </c>
      <c r="L97" s="1912">
        <v>0</v>
      </c>
      <c r="M97" s="1912">
        <f t="shared" si="29"/>
        <v>0</v>
      </c>
      <c r="N97" s="1912">
        <f t="shared" si="29"/>
        <v>0</v>
      </c>
    </row>
    <row r="98" spans="1:14" ht="26">
      <c r="A98" s="3075" t="s">
        <v>3274</v>
      </c>
      <c r="B98" s="3082" t="s">
        <v>3284</v>
      </c>
      <c r="C98" s="1887"/>
      <c r="D98" s="2308">
        <f t="shared" si="30"/>
        <v>0</v>
      </c>
      <c r="E98" s="3079"/>
      <c r="F98" s="1675"/>
      <c r="G98" s="3069"/>
      <c r="H98" s="3114" t="str">
        <f t="shared" si="31"/>
        <v>——</v>
      </c>
      <c r="I98" s="3063">
        <v>0.06</v>
      </c>
      <c r="J98" s="1912">
        <f t="shared" si="27"/>
        <v>0</v>
      </c>
      <c r="K98" s="1912">
        <f t="shared" si="28"/>
        <v>0</v>
      </c>
      <c r="L98" s="1912">
        <v>0</v>
      </c>
      <c r="M98" s="1912">
        <f t="shared" si="29"/>
        <v>0</v>
      </c>
      <c r="N98" s="1912">
        <f t="shared" si="29"/>
        <v>0</v>
      </c>
    </row>
    <row r="99" spans="1:14" ht="26">
      <c r="A99" s="3075" t="s">
        <v>3275</v>
      </c>
      <c r="B99" s="3066" t="str">
        <f>估价对象房地状况!C21</f>
        <v>估价对象所在区域公共配套设施齐备情况</v>
      </c>
      <c r="C99" s="1887"/>
      <c r="D99" s="2308">
        <f t="shared" si="30"/>
        <v>0</v>
      </c>
      <c r="E99" s="3079"/>
      <c r="F99" s="1675"/>
      <c r="G99" s="3069"/>
      <c r="H99" s="3114" t="str">
        <f t="shared" si="31"/>
        <v>——</v>
      </c>
      <c r="I99" s="3063">
        <v>0.06</v>
      </c>
      <c r="J99" s="1912">
        <f t="shared" si="27"/>
        <v>0</v>
      </c>
      <c r="K99" s="1912">
        <f t="shared" si="28"/>
        <v>0</v>
      </c>
      <c r="L99" s="1912">
        <v>0</v>
      </c>
      <c r="M99" s="1912">
        <f t="shared" si="29"/>
        <v>0</v>
      </c>
      <c r="N99" s="1912">
        <f t="shared" si="29"/>
        <v>0</v>
      </c>
    </row>
    <row r="100" spans="1:14" ht="26">
      <c r="A100" s="3075" t="s">
        <v>3276</v>
      </c>
      <c r="B100" s="3066" t="str">
        <f>估价对象房地状况!C22</f>
        <v>估价对象所在区域基础设施水平</v>
      </c>
      <c r="C100" s="1887"/>
      <c r="D100" s="2308">
        <f t="shared" si="30"/>
        <v>0</v>
      </c>
      <c r="E100" s="3079"/>
      <c r="F100" s="1675"/>
      <c r="G100" s="3069"/>
      <c r="H100" s="3114" t="str">
        <f t="shared" si="31"/>
        <v>——</v>
      </c>
      <c r="I100" s="3063">
        <v>0.09</v>
      </c>
      <c r="J100" s="1912">
        <f t="shared" si="27"/>
        <v>0</v>
      </c>
      <c r="K100" s="1912">
        <f t="shared" si="28"/>
        <v>0</v>
      </c>
      <c r="L100" s="1912">
        <v>0</v>
      </c>
      <c r="M100" s="1912">
        <f t="shared" si="29"/>
        <v>0</v>
      </c>
      <c r="N100" s="1912">
        <f t="shared" si="29"/>
        <v>0</v>
      </c>
    </row>
    <row r="101" spans="1:14" ht="26.5" thickBot="1">
      <c r="A101" s="3076" t="s">
        <v>3277</v>
      </c>
      <c r="B101" s="3083" t="str">
        <f>估价对象房地状况!C20</f>
        <v>区域自然环境：；人文环境；综合评价环境状况一般</v>
      </c>
      <c r="C101" s="1887"/>
      <c r="D101" s="2308">
        <f t="shared" si="30"/>
        <v>0</v>
      </c>
      <c r="E101" s="3080"/>
      <c r="F101" s="1675"/>
      <c r="G101" s="3069"/>
      <c r="H101" s="3114" t="str">
        <f t="shared" si="31"/>
        <v>——</v>
      </c>
      <c r="I101" s="3064">
        <v>7.0000000000000007E-2</v>
      </c>
      <c r="J101" s="1912">
        <f t="shared" si="27"/>
        <v>0</v>
      </c>
      <c r="K101" s="1912">
        <f t="shared" si="28"/>
        <v>0</v>
      </c>
      <c r="L101" s="1912">
        <v>0</v>
      </c>
      <c r="M101" s="1912">
        <f t="shared" si="29"/>
        <v>0</v>
      </c>
      <c r="N101" s="1912">
        <f t="shared" si="29"/>
        <v>0</v>
      </c>
    </row>
    <row r="103" spans="1:14" ht="13">
      <c r="A103" s="3463" t="s">
        <v>3292</v>
      </c>
      <c r="B103" s="3463"/>
      <c r="C103" s="3463"/>
      <c r="D103" s="3463"/>
      <c r="E103" s="3463"/>
      <c r="F103" s="3463"/>
      <c r="G103" s="3463"/>
      <c r="H103" s="3463"/>
      <c r="I103" s="3463"/>
      <c r="J103" s="3463"/>
      <c r="K103" s="1667"/>
      <c r="L103" s="1667"/>
      <c r="M103" s="1667"/>
      <c r="N103" s="1667"/>
    </row>
    <row r="104" spans="1:14" ht="13">
      <c r="A104" s="3464" t="s">
        <v>3293</v>
      </c>
      <c r="B104" s="3464" t="s">
        <v>3294</v>
      </c>
      <c r="C104" s="3085" t="s">
        <v>3295</v>
      </c>
      <c r="D104" s="3086"/>
      <c r="E104" s="3086"/>
      <c r="F104" s="3086"/>
      <c r="G104" s="3086"/>
      <c r="H104" s="3086"/>
      <c r="I104" s="3086"/>
      <c r="J104" s="3087"/>
      <c r="K104" s="3088"/>
      <c r="L104" s="3088"/>
      <c r="M104" s="3088"/>
      <c r="N104" s="3088"/>
    </row>
    <row r="105" spans="1:14" ht="13">
      <c r="A105" s="3464"/>
      <c r="B105" s="3464"/>
      <c r="C105" s="3089" t="s">
        <v>3296</v>
      </c>
      <c r="D105" s="3089" t="s">
        <v>3297</v>
      </c>
      <c r="E105" s="3089" t="s">
        <v>3298</v>
      </c>
      <c r="F105" s="3089" t="s">
        <v>3299</v>
      </c>
      <c r="G105" s="3089" t="s">
        <v>3300</v>
      </c>
      <c r="H105" s="3089" t="s">
        <v>3301</v>
      </c>
      <c r="I105" s="3089" t="s">
        <v>3302</v>
      </c>
      <c r="J105" s="3089" t="s">
        <v>3303</v>
      </c>
      <c r="K105" s="3089" t="s">
        <v>3304</v>
      </c>
      <c r="L105" s="3089" t="s">
        <v>3305</v>
      </c>
      <c r="M105" s="3089" t="s">
        <v>3306</v>
      </c>
      <c r="N105" s="3089" t="s">
        <v>3307</v>
      </c>
    </row>
    <row r="106" spans="1:14">
      <c r="A106" s="3450" t="s">
        <v>3308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5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5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5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5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ht="13">
      <c r="A111" s="3451"/>
      <c r="B111" s="3089" t="s">
        <v>3266</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52"/>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ht="13">
      <c r="A113" s="3453" t="s">
        <v>3309</v>
      </c>
      <c r="B113" s="3453"/>
      <c r="C113" s="3453"/>
      <c r="D113" s="3453"/>
      <c r="E113" s="3453"/>
      <c r="F113" s="3453"/>
      <c r="G113" s="3453"/>
      <c r="H113" s="3453"/>
      <c r="I113" s="3453"/>
      <c r="J113" s="3453"/>
      <c r="K113" s="3091"/>
      <c r="L113" s="3091"/>
      <c r="M113" s="3091"/>
      <c r="N113" s="3091"/>
    </row>
    <row r="114" spans="1:14">
      <c r="A114" s="3092"/>
      <c r="B114" s="3092"/>
      <c r="C114" s="3092"/>
      <c r="D114" s="3092"/>
      <c r="E114" s="3092"/>
      <c r="F114" s="3092"/>
      <c r="G114" s="3092"/>
      <c r="H114" s="3092"/>
      <c r="I114" s="3092"/>
      <c r="J114" s="3092"/>
      <c r="K114" s="1964"/>
      <c r="L114" s="3092"/>
      <c r="M114" s="3092"/>
      <c r="N114" s="3092"/>
    </row>
    <row r="115" spans="1:14" ht="13" thickBot="1">
      <c r="A115" s="3092"/>
      <c r="B115" s="3092"/>
      <c r="C115" s="3092"/>
      <c r="D115" s="3092"/>
      <c r="E115" s="3092"/>
      <c r="F115" s="3092"/>
      <c r="G115" s="3092"/>
      <c r="H115" s="3092"/>
      <c r="I115" s="3092"/>
      <c r="J115" s="3092"/>
      <c r="K115" s="1964"/>
      <c r="L115" s="3092"/>
      <c r="M115" s="3092"/>
      <c r="N115" s="3092"/>
    </row>
    <row r="116" spans="1:14" ht="26" thickBot="1">
      <c r="A116" s="3093" t="s">
        <v>3310</v>
      </c>
      <c r="B116" s="3109">
        <f>G3</f>
        <v>0</v>
      </c>
      <c r="C116" s="3094" t="s">
        <v>3311</v>
      </c>
      <c r="D116" s="3095">
        <f>SUMPRODUCT((A118:A122=F116)*(B117:M117=H116)*B118:M122)</f>
        <v>0</v>
      </c>
      <c r="E116" s="162" t="s">
        <v>3312</v>
      </c>
      <c r="F116" s="3096">
        <f>E2</f>
        <v>0</v>
      </c>
      <c r="G116" s="162" t="s">
        <v>3313</v>
      </c>
      <c r="H116" s="3096">
        <f>G2</f>
        <v>0</v>
      </c>
      <c r="I116" s="162"/>
      <c r="J116" s="3097"/>
      <c r="K116" s="3097"/>
      <c r="L116" s="3097"/>
      <c r="M116" s="3097"/>
      <c r="N116" s="3092"/>
    </row>
    <row r="117" spans="1:14" ht="13">
      <c r="A117" s="3098"/>
      <c r="B117" s="3099" t="s">
        <v>3314</v>
      </c>
      <c r="C117" s="3099" t="s">
        <v>3315</v>
      </c>
      <c r="D117" s="3099" t="s">
        <v>3316</v>
      </c>
      <c r="E117" s="3100" t="s">
        <v>3317</v>
      </c>
      <c r="F117" s="3100" t="s">
        <v>3318</v>
      </c>
      <c r="G117" s="3100" t="s">
        <v>3319</v>
      </c>
      <c r="H117" s="3101" t="s">
        <v>3320</v>
      </c>
      <c r="I117" s="3101" t="s">
        <v>3321</v>
      </c>
      <c r="J117" s="3102" t="s">
        <v>3322</v>
      </c>
      <c r="K117" s="3102" t="s">
        <v>3323</v>
      </c>
      <c r="L117" s="3102" t="s">
        <v>3324</v>
      </c>
      <c r="M117" s="3103" t="s">
        <v>3325</v>
      </c>
      <c r="N117" s="3092"/>
    </row>
    <row r="118" spans="1:14" ht="13">
      <c r="A118" s="3052" t="s">
        <v>3326</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ht="13">
      <c r="A119" s="3052" t="s">
        <v>3327</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ht="13">
      <c r="A120" s="3052" t="s">
        <v>3328</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3329</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ht="13">
      <c r="A122" s="3108" t="s">
        <v>2612</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08" customWidth="1"/>
    <col min="14" max="14" width="10" style="2808" customWidth="1"/>
    <col min="15" max="16" width="8.26953125" style="2808"/>
    <col min="17" max="17" width="34.08984375" style="2808" customWidth="1"/>
    <col min="18" max="18" width="8.26953125" style="2808" customWidth="1"/>
    <col min="19" max="19" width="8.26953125" style="2808"/>
    <col min="20" max="20" width="11.6328125" style="2808" customWidth="1"/>
    <col min="21" max="16384" width="8.26953125" style="2808"/>
  </cols>
  <sheetData>
    <row r="1" spans="1:13" ht="19.5" customHeight="1" thickBot="1">
      <c r="A1" s="2805" t="s">
        <v>2594</v>
      </c>
      <c r="B1" s="2806" t="s">
        <v>2595</v>
      </c>
      <c r="C1" s="2806" t="s">
        <v>2596</v>
      </c>
      <c r="D1" s="2806" t="s">
        <v>2597</v>
      </c>
      <c r="E1" s="2806" t="s">
        <v>2598</v>
      </c>
      <c r="F1" s="2806" t="s">
        <v>2599</v>
      </c>
      <c r="G1" s="2806" t="s">
        <v>2600</v>
      </c>
      <c r="H1" s="2806" t="s">
        <v>2601</v>
      </c>
      <c r="I1" s="2806" t="s">
        <v>2602</v>
      </c>
      <c r="J1" s="2806" t="s">
        <v>2603</v>
      </c>
      <c r="K1" s="2806" t="s">
        <v>2604</v>
      </c>
      <c r="L1" s="2806" t="s">
        <v>2605</v>
      </c>
      <c r="M1" s="2807" t="s">
        <v>2606</v>
      </c>
    </row>
    <row r="2" spans="1:13" ht="19.5" customHeight="1">
      <c r="A2" s="2809" t="s">
        <v>2607</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2608</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2609</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2610</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2611</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2612</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2613</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2614</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2615</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2616</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2617</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2618</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2619</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2620</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2621</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2622</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2623</v>
      </c>
      <c r="B18" s="2831"/>
      <c r="C18" s="2832"/>
      <c r="D18" s="2832"/>
      <c r="E18" s="2831"/>
      <c r="F18" s="2832"/>
      <c r="G18" s="2832"/>
    </row>
    <row r="19" spans="1:13" ht="19.5" customHeight="1" thickBot="1">
      <c r="A19" s="2829" t="s">
        <v>2624</v>
      </c>
      <c r="B19" s="2834" t="s">
        <v>2625</v>
      </c>
      <c r="C19" s="2834" t="s">
        <v>2626</v>
      </c>
      <c r="D19" s="2835"/>
      <c r="E19" s="2829" t="s">
        <v>2627</v>
      </c>
      <c r="F19" s="2836"/>
      <c r="G19" s="2836"/>
    </row>
    <row r="20" spans="1:13" ht="19.5" customHeight="1">
      <c r="A20" s="3480" t="s">
        <v>2607</v>
      </c>
      <c r="B20" s="3473" t="s">
        <v>2628</v>
      </c>
      <c r="C20" s="3163" t="s">
        <v>2439</v>
      </c>
      <c r="D20" s="3163"/>
      <c r="E20" s="2839">
        <v>1</v>
      </c>
      <c r="F20" s="2840" t="s">
        <v>2440</v>
      </c>
      <c r="G20" s="2840"/>
    </row>
    <row r="21" spans="1:13" ht="19.5" customHeight="1">
      <c r="A21" s="3481"/>
      <c r="B21" s="3469"/>
      <c r="C21" s="2852" t="s">
        <v>2441</v>
      </c>
      <c r="D21" s="2852"/>
      <c r="E21" s="2843">
        <v>1</v>
      </c>
      <c r="F21" s="2840" t="s">
        <v>2442</v>
      </c>
      <c r="G21" s="2840"/>
    </row>
    <row r="22" spans="1:13" ht="19.5" customHeight="1">
      <c r="A22" s="3481"/>
      <c r="B22" s="3469"/>
      <c r="C22" s="2852" t="s">
        <v>2443</v>
      </c>
      <c r="D22" s="2852"/>
      <c r="E22" s="2843">
        <v>0.9</v>
      </c>
      <c r="F22" s="2840" t="s">
        <v>2444</v>
      </c>
      <c r="G22" s="2840"/>
    </row>
    <row r="23" spans="1:13" ht="19.5" customHeight="1">
      <c r="A23" s="3481"/>
      <c r="B23" s="3469"/>
      <c r="C23" s="2852" t="s">
        <v>2445</v>
      </c>
      <c r="D23" s="2852"/>
      <c r="E23" s="2843">
        <v>0.9</v>
      </c>
      <c r="F23" s="2840" t="s">
        <v>2446</v>
      </c>
      <c r="G23" s="2840"/>
    </row>
    <row r="24" spans="1:13" ht="19.5" customHeight="1">
      <c r="A24" s="3481"/>
      <c r="B24" s="3469"/>
      <c r="C24" s="2852" t="s">
        <v>2447</v>
      </c>
      <c r="D24" s="2852"/>
      <c r="E24" s="2843">
        <v>0.8</v>
      </c>
      <c r="F24" s="2840" t="s">
        <v>2448</v>
      </c>
      <c r="G24" s="2840"/>
    </row>
    <row r="25" spans="1:13" ht="19.5" customHeight="1">
      <c r="A25" s="3481"/>
      <c r="B25" s="3469"/>
      <c r="C25" s="2852" t="s">
        <v>2449</v>
      </c>
      <c r="D25" s="2852"/>
      <c r="E25" s="2843">
        <v>0.8</v>
      </c>
      <c r="F25" s="2840"/>
      <c r="G25" s="2840"/>
    </row>
    <row r="26" spans="1:13" ht="19.5" customHeight="1">
      <c r="A26" s="3481"/>
      <c r="B26" s="3469"/>
      <c r="C26" s="2852" t="s">
        <v>3410</v>
      </c>
      <c r="D26" s="2852"/>
      <c r="E26" s="2843">
        <v>0.43</v>
      </c>
      <c r="F26" s="2840"/>
      <c r="G26" s="2840"/>
    </row>
    <row r="27" spans="1:13" ht="19.5" customHeight="1" thickBot="1">
      <c r="A27" s="3482"/>
      <c r="B27" s="3474"/>
      <c r="C27" s="3159" t="s">
        <v>3411</v>
      </c>
      <c r="D27" s="3159"/>
      <c r="E27" s="2846">
        <f>E26*0.9</f>
        <v>0.38700000000000001</v>
      </c>
      <c r="F27" s="2840" t="s">
        <v>2450</v>
      </c>
      <c r="G27" s="2840"/>
    </row>
    <row r="28" spans="1:13" ht="19.5" customHeight="1" thickBot="1">
      <c r="A28" s="3158" t="s">
        <v>2629</v>
      </c>
      <c r="B28" s="3157" t="s">
        <v>2628</v>
      </c>
      <c r="C28" s="3160" t="s">
        <v>2630</v>
      </c>
      <c r="D28" s="3161"/>
      <c r="E28" s="3162">
        <v>1</v>
      </c>
      <c r="F28" s="2840" t="s">
        <v>2451</v>
      </c>
      <c r="G28" s="2840"/>
    </row>
    <row r="29" spans="1:13" ht="19.5" customHeight="1">
      <c r="A29" s="3475" t="s">
        <v>2631</v>
      </c>
      <c r="B29" s="3478" t="s">
        <v>2612</v>
      </c>
      <c r="C29" s="2837" t="s">
        <v>2452</v>
      </c>
      <c r="D29" s="2838"/>
      <c r="E29" s="2839">
        <v>1</v>
      </c>
      <c r="F29" s="2840" t="s">
        <v>2453</v>
      </c>
      <c r="G29" s="2840"/>
    </row>
    <row r="30" spans="1:13" ht="19.5" customHeight="1">
      <c r="A30" s="3476"/>
      <c r="B30" s="3472"/>
      <c r="C30" s="2841" t="s">
        <v>2454</v>
      </c>
      <c r="D30" s="2842"/>
      <c r="E30" s="2843">
        <v>1</v>
      </c>
      <c r="F30" s="2840" t="s">
        <v>2455</v>
      </c>
      <c r="G30" s="2840"/>
    </row>
    <row r="31" spans="1:13" ht="19.5" customHeight="1">
      <c r="A31" s="3476"/>
      <c r="B31" s="3472"/>
      <c r="C31" s="2841" t="s">
        <v>2456</v>
      </c>
      <c r="D31" s="2842"/>
      <c r="E31" s="2843">
        <v>0.8</v>
      </c>
      <c r="F31" s="2840" t="s">
        <v>2457</v>
      </c>
      <c r="G31" s="2840"/>
    </row>
    <row r="32" spans="1:13" ht="19.5" customHeight="1">
      <c r="A32" s="3476"/>
      <c r="B32" s="3472"/>
      <c r="C32" s="2841" t="s">
        <v>2458</v>
      </c>
      <c r="D32" s="2842"/>
      <c r="E32" s="2843">
        <v>0.8</v>
      </c>
      <c r="F32" s="2840" t="s">
        <v>2459</v>
      </c>
      <c r="G32" s="2840"/>
    </row>
    <row r="33" spans="1:7" ht="19.5" customHeight="1">
      <c r="A33" s="3476"/>
      <c r="B33" s="3472"/>
      <c r="C33" s="2841" t="s">
        <v>2460</v>
      </c>
      <c r="D33" s="2842"/>
      <c r="E33" s="2843">
        <v>0.8</v>
      </c>
      <c r="F33" s="2840" t="s">
        <v>2461</v>
      </c>
      <c r="G33" s="2840"/>
    </row>
    <row r="34" spans="1:7" ht="19.5" customHeight="1">
      <c r="A34" s="3476"/>
      <c r="B34" s="3472"/>
      <c r="C34" s="2841" t="s">
        <v>2462</v>
      </c>
      <c r="D34" s="2842"/>
      <c r="E34" s="2843">
        <v>0.7</v>
      </c>
      <c r="F34" s="2840" t="s">
        <v>2463</v>
      </c>
      <c r="G34" s="2840"/>
    </row>
    <row r="35" spans="1:7" ht="19.5" customHeight="1">
      <c r="A35" s="3476"/>
      <c r="B35" s="3472"/>
      <c r="C35" s="2841" t="s">
        <v>2464</v>
      </c>
      <c r="D35" s="2842"/>
      <c r="E35" s="2843">
        <v>0.8</v>
      </c>
      <c r="F35" s="2840" t="s">
        <v>2465</v>
      </c>
      <c r="G35" s="2840"/>
    </row>
    <row r="36" spans="1:7" ht="19.5" customHeight="1">
      <c r="A36" s="3476"/>
      <c r="B36" s="3472"/>
      <c r="C36" s="2841" t="s">
        <v>2466</v>
      </c>
      <c r="D36" s="2842"/>
      <c r="E36" s="2843">
        <v>0.6</v>
      </c>
      <c r="F36" s="2840" t="s">
        <v>2467</v>
      </c>
      <c r="G36" s="2840"/>
    </row>
    <row r="37" spans="1:7" ht="19.5" customHeight="1">
      <c r="A37" s="3476"/>
      <c r="B37" s="3472"/>
      <c r="C37" s="2841" t="s">
        <v>2468</v>
      </c>
      <c r="D37" s="2842"/>
      <c r="E37" s="2843">
        <v>0.2</v>
      </c>
      <c r="F37" s="2840" t="s">
        <v>2469</v>
      </c>
      <c r="G37" s="2840"/>
    </row>
    <row r="38" spans="1:7" ht="19.5" customHeight="1">
      <c r="A38" s="3476"/>
      <c r="B38" s="3472"/>
      <c r="C38" s="2841" t="s">
        <v>2470</v>
      </c>
      <c r="D38" s="2842"/>
      <c r="E38" s="2843">
        <v>0.2</v>
      </c>
      <c r="F38" s="2840" t="s">
        <v>2471</v>
      </c>
      <c r="G38" s="2840"/>
    </row>
    <row r="39" spans="1:7" ht="19.5" customHeight="1">
      <c r="A39" s="3476"/>
      <c r="B39" s="3470" t="s">
        <v>2632</v>
      </c>
      <c r="C39" s="2841" t="s">
        <v>2472</v>
      </c>
      <c r="D39" s="2842"/>
      <c r="E39" s="2843">
        <v>0.6</v>
      </c>
      <c r="F39" s="2840" t="s">
        <v>2473</v>
      </c>
      <c r="G39" s="2840"/>
    </row>
    <row r="40" spans="1:7" ht="19.5" customHeight="1">
      <c r="A40" s="3476"/>
      <c r="B40" s="3472"/>
      <c r="C40" s="2841" t="s">
        <v>2474</v>
      </c>
      <c r="D40" s="2842"/>
      <c r="E40" s="2843">
        <v>0.6</v>
      </c>
      <c r="F40" s="2840" t="s">
        <v>2475</v>
      </c>
      <c r="G40" s="2840"/>
    </row>
    <row r="41" spans="1:7" ht="19.5" customHeight="1" thickBot="1">
      <c r="A41" s="3477"/>
      <c r="B41" s="3479"/>
      <c r="C41" s="2844" t="s">
        <v>2476</v>
      </c>
      <c r="D41" s="2845"/>
      <c r="E41" s="2846">
        <v>0.6</v>
      </c>
      <c r="F41" s="2840" t="s">
        <v>2477</v>
      </c>
      <c r="G41" s="2840"/>
    </row>
    <row r="42" spans="1:7" ht="19.5" customHeight="1" thickBot="1">
      <c r="A42" s="2847" t="s">
        <v>2609</v>
      </c>
      <c r="B42" s="2848" t="s">
        <v>2609</v>
      </c>
      <c r="C42" s="2849" t="s">
        <v>2633</v>
      </c>
      <c r="D42" s="2850"/>
      <c r="E42" s="2851">
        <v>1</v>
      </c>
      <c r="F42" s="2840" t="s">
        <v>2478</v>
      </c>
      <c r="G42" s="2840"/>
    </row>
    <row r="43" spans="1:7" ht="19.5" customHeight="1">
      <c r="A43" s="3480" t="s">
        <v>2610</v>
      </c>
      <c r="B43" s="3478" t="s">
        <v>2634</v>
      </c>
      <c r="C43" s="2837" t="s">
        <v>2479</v>
      </c>
      <c r="D43" s="2838"/>
      <c r="E43" s="2839">
        <v>1</v>
      </c>
      <c r="F43" s="2840" t="s">
        <v>2480</v>
      </c>
      <c r="G43" s="2840"/>
    </row>
    <row r="44" spans="1:7" ht="19.5" customHeight="1">
      <c r="A44" s="3481"/>
      <c r="B44" s="3472"/>
      <c r="C44" s="2841" t="s">
        <v>2481</v>
      </c>
      <c r="D44" s="2842"/>
      <c r="E44" s="2843">
        <v>1</v>
      </c>
      <c r="F44" s="2840" t="s">
        <v>2482</v>
      </c>
      <c r="G44" s="2840"/>
    </row>
    <row r="45" spans="1:7" ht="19.5" customHeight="1">
      <c r="A45" s="3481"/>
      <c r="B45" s="3471"/>
      <c r="C45" s="2841" t="s">
        <v>2483</v>
      </c>
      <c r="D45" s="2842"/>
      <c r="E45" s="2843">
        <v>1.5</v>
      </c>
      <c r="F45" s="2840" t="s">
        <v>2484</v>
      </c>
      <c r="G45" s="2840"/>
    </row>
    <row r="46" spans="1:7" ht="19.5" customHeight="1">
      <c r="A46" s="3481"/>
      <c r="B46" s="2852" t="s">
        <v>2635</v>
      </c>
      <c r="C46" s="2841" t="s">
        <v>2636</v>
      </c>
      <c r="D46" s="2842"/>
      <c r="E46" s="2843">
        <v>2</v>
      </c>
      <c r="F46" s="2840" t="s">
        <v>2485</v>
      </c>
      <c r="G46" s="2840"/>
    </row>
    <row r="47" spans="1:7" ht="19.5" customHeight="1">
      <c r="A47" s="3481"/>
      <c r="B47" s="3470" t="s">
        <v>2637</v>
      </c>
      <c r="C47" s="2841" t="s">
        <v>2486</v>
      </c>
      <c r="D47" s="2842"/>
      <c r="E47" s="2843">
        <v>1</v>
      </c>
      <c r="F47" s="2840" t="s">
        <v>2487</v>
      </c>
      <c r="G47" s="2840"/>
    </row>
    <row r="48" spans="1:7" ht="19.5" customHeight="1">
      <c r="A48" s="3481"/>
      <c r="B48" s="3472"/>
      <c r="C48" s="2841" t="s">
        <v>2488</v>
      </c>
      <c r="D48" s="2842"/>
      <c r="E48" s="2843">
        <v>1</v>
      </c>
      <c r="F48" s="2840" t="s">
        <v>2489</v>
      </c>
      <c r="G48" s="2840"/>
    </row>
    <row r="49" spans="1:7" ht="19.5" customHeight="1">
      <c r="A49" s="3481"/>
      <c r="B49" s="3472"/>
      <c r="C49" s="2841" t="s">
        <v>2490</v>
      </c>
      <c r="D49" s="2842"/>
      <c r="E49" s="2843">
        <v>1</v>
      </c>
      <c r="F49" s="2840" t="s">
        <v>2491</v>
      </c>
      <c r="G49" s="2840"/>
    </row>
    <row r="50" spans="1:7" ht="19.5" customHeight="1">
      <c r="A50" s="3481"/>
      <c r="B50" s="3472"/>
      <c r="C50" s="2841" t="s">
        <v>2492</v>
      </c>
      <c r="D50" s="2842"/>
      <c r="E50" s="2843">
        <v>1</v>
      </c>
      <c r="F50" s="2840" t="s">
        <v>2493</v>
      </c>
      <c r="G50" s="2840"/>
    </row>
    <row r="51" spans="1:7" ht="19.5" customHeight="1">
      <c r="A51" s="3481"/>
      <c r="B51" s="3472"/>
      <c r="C51" s="2841" t="s">
        <v>2494</v>
      </c>
      <c r="D51" s="2842"/>
      <c r="E51" s="2843">
        <v>1</v>
      </c>
      <c r="F51" s="2840" t="s">
        <v>2495</v>
      </c>
      <c r="G51" s="2840"/>
    </row>
    <row r="52" spans="1:7" ht="19.5" customHeight="1">
      <c r="A52" s="3481"/>
      <c r="B52" s="3472"/>
      <c r="C52" s="2841" t="s">
        <v>2496</v>
      </c>
      <c r="D52" s="2842"/>
      <c r="E52" s="2843">
        <v>1</v>
      </c>
      <c r="F52" s="2840" t="s">
        <v>2497</v>
      </c>
      <c r="G52" s="2840"/>
    </row>
    <row r="53" spans="1:7" ht="19.5" customHeight="1" thickBot="1">
      <c r="A53" s="3482"/>
      <c r="B53" s="3479"/>
      <c r="C53" s="2844" t="s">
        <v>2498</v>
      </c>
      <c r="D53" s="2845"/>
      <c r="E53" s="2846">
        <v>1</v>
      </c>
      <c r="F53" s="2840" t="s">
        <v>2499</v>
      </c>
      <c r="G53" s="2840"/>
    </row>
    <row r="54" spans="1:7" ht="19.5" customHeight="1">
      <c r="A54" s="2853"/>
      <c r="B54" s="2853"/>
      <c r="C54" s="2853"/>
      <c r="D54" s="2853"/>
      <c r="E54" s="2853"/>
      <c r="F54" s="2853"/>
      <c r="G54" s="2853"/>
    </row>
    <row r="56" spans="1:7" ht="19.5" customHeight="1">
      <c r="A56" s="2854"/>
      <c r="B56" s="2826" t="s">
        <v>2638</v>
      </c>
      <c r="C56" s="2826" t="s">
        <v>2638</v>
      </c>
      <c r="D56" s="2826" t="s">
        <v>2638</v>
      </c>
      <c r="E56" s="2829" t="s">
        <v>2638</v>
      </c>
      <c r="F56" s="2829" t="s">
        <v>2639</v>
      </c>
      <c r="G56" s="2829" t="s">
        <v>2640</v>
      </c>
    </row>
    <row r="57" spans="1:7" ht="19.5" customHeight="1">
      <c r="A57" s="2855"/>
      <c r="B57" s="2829" t="s">
        <v>2607</v>
      </c>
      <c r="C57" s="2829" t="s">
        <v>2607</v>
      </c>
      <c r="D57" s="2829" t="s">
        <v>2607</v>
      </c>
      <c r="E57" s="2826" t="s">
        <v>2608</v>
      </c>
      <c r="F57" s="2826" t="s">
        <v>2610</v>
      </c>
      <c r="G57" s="2826" t="s">
        <v>2641</v>
      </c>
    </row>
    <row r="58" spans="1:7" ht="19.5" customHeight="1">
      <c r="A58" s="2856"/>
      <c r="B58" s="2826">
        <v>1</v>
      </c>
      <c r="C58" s="2826">
        <v>2</v>
      </c>
      <c r="D58" s="2826">
        <v>3</v>
      </c>
      <c r="E58" s="2857" t="s">
        <v>2642</v>
      </c>
      <c r="F58" s="2857" t="s">
        <v>2642</v>
      </c>
      <c r="G58" s="2857" t="s">
        <v>2642</v>
      </c>
    </row>
    <row r="59" spans="1:7" ht="19.5" customHeight="1">
      <c r="A59" s="2858" t="s">
        <v>2595</v>
      </c>
      <c r="B59" s="2826">
        <v>0.7</v>
      </c>
      <c r="C59" s="2826">
        <v>0.4</v>
      </c>
      <c r="D59" s="2826">
        <v>0.3</v>
      </c>
      <c r="E59" s="2857">
        <v>0.3</v>
      </c>
      <c r="F59" s="2826">
        <v>0.3</v>
      </c>
      <c r="G59" s="2826">
        <v>0.2</v>
      </c>
    </row>
    <row r="60" spans="1:7" ht="19.5" customHeight="1">
      <c r="A60" s="2858" t="s">
        <v>2596</v>
      </c>
      <c r="B60" s="2826">
        <v>0.7</v>
      </c>
      <c r="C60" s="2826">
        <v>0.4</v>
      </c>
      <c r="D60" s="2826">
        <v>0.3</v>
      </c>
      <c r="E60" s="2826">
        <v>0.3</v>
      </c>
      <c r="F60" s="2826">
        <v>0.3</v>
      </c>
      <c r="G60" s="2826">
        <v>0.2</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0.6</v>
      </c>
      <c r="C64" s="2826">
        <v>0.3</v>
      </c>
      <c r="D64" s="2826">
        <v>0.25</v>
      </c>
      <c r="E64" s="2826">
        <v>0.25</v>
      </c>
      <c r="F64" s="2826">
        <v>0.25</v>
      </c>
      <c r="G64" s="2826">
        <v>0.15</v>
      </c>
    </row>
    <row r="65" spans="1:7" ht="19.5" customHeight="1">
      <c r="A65" s="2858" t="s">
        <v>2601</v>
      </c>
      <c r="B65" s="2826">
        <v>0.6</v>
      </c>
      <c r="C65" s="2826">
        <v>0.3</v>
      </c>
      <c r="D65" s="2826">
        <v>0.25</v>
      </c>
      <c r="E65" s="2826">
        <v>0.25</v>
      </c>
      <c r="F65" s="2826">
        <v>0.25</v>
      </c>
      <c r="G65" s="2826">
        <v>0.15</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69" spans="1:7" ht="19.5" customHeight="1">
      <c r="A69" s="2858" t="s">
        <v>2605</v>
      </c>
      <c r="B69" s="2826">
        <v>0.5</v>
      </c>
      <c r="C69" s="2826">
        <v>0.2</v>
      </c>
      <c r="D69" s="2826">
        <v>0.2</v>
      </c>
      <c r="E69" s="2826">
        <v>0.2</v>
      </c>
      <c r="F69" s="2826">
        <v>0.2</v>
      </c>
      <c r="G69" s="2826">
        <v>0.1</v>
      </c>
    </row>
    <row r="70" spans="1:7" ht="19.5" customHeight="1">
      <c r="A70" s="2858" t="s">
        <v>2606</v>
      </c>
      <c r="B70" s="2826">
        <v>0.5</v>
      </c>
      <c r="C70" s="2826">
        <v>0.2</v>
      </c>
      <c r="D70" s="2826">
        <v>0.2</v>
      </c>
      <c r="E70" s="2826">
        <v>0.2</v>
      </c>
      <c r="F70" s="2826">
        <v>0.2</v>
      </c>
      <c r="G70" s="2826">
        <v>0.1</v>
      </c>
    </row>
    <row r="72" spans="1:7" ht="19.5" customHeight="1">
      <c r="A72" s="2840"/>
      <c r="B72" s="2859"/>
      <c r="C72" s="2859"/>
      <c r="D72" s="2859" t="s">
        <v>2643</v>
      </c>
      <c r="E72" s="2859"/>
      <c r="F72" s="2859"/>
    </row>
    <row r="73" spans="1:7" ht="19.5" customHeight="1">
      <c r="A73" s="2852" t="s">
        <v>2644</v>
      </c>
      <c r="B73" s="2852" t="s">
        <v>2645</v>
      </c>
      <c r="C73" s="2852" t="s">
        <v>2646</v>
      </c>
      <c r="D73" s="2852" t="s">
        <v>2647</v>
      </c>
      <c r="E73" s="2852" t="s">
        <v>2648</v>
      </c>
      <c r="F73" s="2852" t="s">
        <v>2649</v>
      </c>
    </row>
    <row r="74" spans="1:7" ht="14">
      <c r="A74" s="2852"/>
      <c r="B74" s="2852"/>
      <c r="C74" s="2852" t="s">
        <v>2650</v>
      </c>
      <c r="D74" s="2852"/>
      <c r="E74" s="2852" t="s">
        <v>2621</v>
      </c>
      <c r="F74" s="2852" t="s">
        <v>2621</v>
      </c>
    </row>
    <row r="75" spans="1:7" ht="14">
      <c r="A75" s="2852">
        <v>1</v>
      </c>
      <c r="B75" s="3470" t="s">
        <v>2651</v>
      </c>
      <c r="C75" s="2826" t="s">
        <v>2652</v>
      </c>
      <c r="D75" s="2826" t="s">
        <v>2653</v>
      </c>
      <c r="E75" s="2852">
        <v>0.2</v>
      </c>
      <c r="F75" s="2852">
        <v>25</v>
      </c>
    </row>
    <row r="76" spans="1:7" ht="26">
      <c r="A76" s="2852">
        <v>2</v>
      </c>
      <c r="B76" s="3472"/>
      <c r="C76" s="2826" t="s">
        <v>2654</v>
      </c>
      <c r="D76" s="2826" t="s">
        <v>2655</v>
      </c>
      <c r="E76" s="2852">
        <v>0.2</v>
      </c>
      <c r="F76" s="2852">
        <v>25</v>
      </c>
    </row>
    <row r="77" spans="1:7" ht="26">
      <c r="A77" s="2852">
        <v>3</v>
      </c>
      <c r="B77" s="3472"/>
      <c r="C77" s="2826" t="s">
        <v>2656</v>
      </c>
      <c r="D77" s="2826" t="s">
        <v>2657</v>
      </c>
      <c r="E77" s="2852">
        <v>0.2</v>
      </c>
      <c r="F77" s="2852">
        <v>25</v>
      </c>
    </row>
    <row r="78" spans="1:7" ht="14">
      <c r="A78" s="2852">
        <v>4</v>
      </c>
      <c r="B78" s="3472"/>
      <c r="C78" s="2826" t="s">
        <v>2658</v>
      </c>
      <c r="D78" s="2826" t="s">
        <v>2659</v>
      </c>
      <c r="E78" s="2852">
        <v>0.15</v>
      </c>
      <c r="F78" s="2852">
        <v>20</v>
      </c>
    </row>
    <row r="79" spans="1:7" ht="26">
      <c r="A79" s="2852">
        <v>5</v>
      </c>
      <c r="B79" s="3472"/>
      <c r="C79" s="2826" t="s">
        <v>2660</v>
      </c>
      <c r="D79" s="2826" t="s">
        <v>2661</v>
      </c>
      <c r="E79" s="2852">
        <v>0.15</v>
      </c>
      <c r="F79" s="2852">
        <v>20</v>
      </c>
    </row>
    <row r="80" spans="1:7" ht="26">
      <c r="A80" s="2852">
        <v>6</v>
      </c>
      <c r="B80" s="3472"/>
      <c r="C80" s="2826" t="s">
        <v>2662</v>
      </c>
      <c r="D80" s="2826" t="s">
        <v>2663</v>
      </c>
      <c r="E80" s="2852">
        <v>0.15</v>
      </c>
      <c r="F80" s="2852">
        <v>20</v>
      </c>
    </row>
    <row r="81" spans="1:6" ht="26">
      <c r="A81" s="2852">
        <v>7</v>
      </c>
      <c r="B81" s="3472"/>
      <c r="C81" s="2826" t="s">
        <v>2664</v>
      </c>
      <c r="D81" s="2826" t="s">
        <v>2665</v>
      </c>
      <c r="E81" s="2852">
        <v>0.15</v>
      </c>
      <c r="F81" s="2852">
        <v>20</v>
      </c>
    </row>
    <row r="82" spans="1:6" ht="26">
      <c r="A82" s="2852">
        <v>8</v>
      </c>
      <c r="B82" s="3472"/>
      <c r="C82" s="2826" t="s">
        <v>2666</v>
      </c>
      <c r="D82" s="2826" t="s">
        <v>2667</v>
      </c>
      <c r="E82" s="2852">
        <v>0.1</v>
      </c>
      <c r="F82" s="2852">
        <v>15</v>
      </c>
    </row>
    <row r="83" spans="1:6" ht="26">
      <c r="A83" s="2852">
        <v>9</v>
      </c>
      <c r="B83" s="3472"/>
      <c r="C83" s="2826" t="s">
        <v>2668</v>
      </c>
      <c r="D83" s="2826" t="s">
        <v>2669</v>
      </c>
      <c r="E83" s="2852">
        <v>0.1</v>
      </c>
      <c r="F83" s="2852">
        <v>15</v>
      </c>
    </row>
    <row r="84" spans="1:6" ht="26">
      <c r="A84" s="2852">
        <v>10</v>
      </c>
      <c r="B84" s="3472"/>
      <c r="C84" s="2826" t="s">
        <v>2670</v>
      </c>
      <c r="D84" s="2826" t="s">
        <v>2671</v>
      </c>
      <c r="E84" s="2852">
        <v>0.1</v>
      </c>
      <c r="F84" s="2852">
        <v>15</v>
      </c>
    </row>
    <row r="85" spans="1:6" ht="26">
      <c r="A85" s="2852">
        <v>11</v>
      </c>
      <c r="B85" s="3472"/>
      <c r="C85" s="2826" t="s">
        <v>2672</v>
      </c>
      <c r="D85" s="2826" t="s">
        <v>2673</v>
      </c>
      <c r="E85" s="2852">
        <v>0.1</v>
      </c>
      <c r="F85" s="2852">
        <v>15</v>
      </c>
    </row>
    <row r="86" spans="1:6" ht="26">
      <c r="A86" s="2852">
        <v>12</v>
      </c>
      <c r="B86" s="3472"/>
      <c r="C86" s="2826" t="s">
        <v>2674</v>
      </c>
      <c r="D86" s="2826" t="s">
        <v>2675</v>
      </c>
      <c r="E86" s="2852">
        <v>0.1</v>
      </c>
      <c r="F86" s="2852">
        <v>15</v>
      </c>
    </row>
    <row r="87" spans="1:6" ht="14">
      <c r="A87" s="2852">
        <v>13</v>
      </c>
      <c r="B87" s="3472"/>
      <c r="C87" s="2826" t="s">
        <v>2676</v>
      </c>
      <c r="D87" s="2826" t="s">
        <v>2677</v>
      </c>
      <c r="E87" s="2852">
        <v>0.1</v>
      </c>
      <c r="F87" s="2852">
        <v>15</v>
      </c>
    </row>
    <row r="88" spans="1:6" ht="14">
      <c r="A88" s="2852">
        <v>14</v>
      </c>
      <c r="B88" s="3472"/>
      <c r="C88" s="2826" t="s">
        <v>2678</v>
      </c>
      <c r="D88" s="2826" t="s">
        <v>2679</v>
      </c>
      <c r="E88" s="2852">
        <v>0.1</v>
      </c>
      <c r="F88" s="2852">
        <v>15</v>
      </c>
    </row>
    <row r="89" spans="1:6" ht="14">
      <c r="A89" s="2852">
        <v>15</v>
      </c>
      <c r="B89" s="3472"/>
      <c r="C89" s="2826" t="s">
        <v>2680</v>
      </c>
      <c r="D89" s="2826" t="s">
        <v>2681</v>
      </c>
      <c r="E89" s="2852">
        <v>0.1</v>
      </c>
      <c r="F89" s="2852">
        <v>15</v>
      </c>
    </row>
    <row r="90" spans="1:6" ht="26">
      <c r="A90" s="2852">
        <v>16</v>
      </c>
      <c r="B90" s="3472"/>
      <c r="C90" s="2826" t="s">
        <v>2682</v>
      </c>
      <c r="D90" s="2826" t="s">
        <v>2683</v>
      </c>
      <c r="E90" s="2852">
        <v>0.1</v>
      </c>
      <c r="F90" s="2852">
        <v>15</v>
      </c>
    </row>
    <row r="91" spans="1:6" ht="26">
      <c r="A91" s="2852">
        <v>17</v>
      </c>
      <c r="B91" s="3471"/>
      <c r="C91" s="2826" t="s">
        <v>2684</v>
      </c>
      <c r="D91" s="2826" t="s">
        <v>2685</v>
      </c>
      <c r="E91" s="2852">
        <v>0.1</v>
      </c>
      <c r="F91" s="2852">
        <v>15</v>
      </c>
    </row>
    <row r="92" spans="1:6" ht="14">
      <c r="A92" s="2852">
        <v>18</v>
      </c>
      <c r="B92" s="3470" t="s">
        <v>2686</v>
      </c>
      <c r="C92" s="2826" t="s">
        <v>2687</v>
      </c>
      <c r="D92" s="2826" t="s">
        <v>2688</v>
      </c>
      <c r="E92" s="2852">
        <v>0.2</v>
      </c>
      <c r="F92" s="2852">
        <v>25</v>
      </c>
    </row>
    <row r="93" spans="1:6" ht="26">
      <c r="A93" s="2852">
        <v>19</v>
      </c>
      <c r="B93" s="3472"/>
      <c r="C93" s="2826" t="s">
        <v>2689</v>
      </c>
      <c r="D93" s="2826" t="s">
        <v>2690</v>
      </c>
      <c r="E93" s="2852">
        <v>0.2</v>
      </c>
      <c r="F93" s="2852">
        <v>25</v>
      </c>
    </row>
    <row r="94" spans="1:6" ht="14">
      <c r="A94" s="2852">
        <v>20</v>
      </c>
      <c r="B94" s="3472"/>
      <c r="C94" s="2826" t="s">
        <v>2691</v>
      </c>
      <c r="D94" s="2826" t="s">
        <v>2692</v>
      </c>
      <c r="E94" s="2852">
        <v>0.15</v>
      </c>
      <c r="F94" s="2852">
        <v>20</v>
      </c>
    </row>
    <row r="95" spans="1:6" ht="26">
      <c r="A95" s="2852">
        <v>21</v>
      </c>
      <c r="B95" s="3472"/>
      <c r="C95" s="2826" t="s">
        <v>2693</v>
      </c>
      <c r="D95" s="2826" t="s">
        <v>2694</v>
      </c>
      <c r="E95" s="2852">
        <v>0.15</v>
      </c>
      <c r="F95" s="2852">
        <v>20</v>
      </c>
    </row>
    <row r="96" spans="1:6" ht="26">
      <c r="A96" s="2852">
        <v>22</v>
      </c>
      <c r="B96" s="3472"/>
      <c r="C96" s="2826" t="s">
        <v>2695</v>
      </c>
      <c r="D96" s="2826" t="s">
        <v>2696</v>
      </c>
      <c r="E96" s="2852">
        <v>0.15</v>
      </c>
      <c r="F96" s="2852">
        <v>20</v>
      </c>
    </row>
    <row r="97" spans="1:6" ht="39">
      <c r="A97" s="2852">
        <v>23</v>
      </c>
      <c r="B97" s="3472"/>
      <c r="C97" s="2826" t="s">
        <v>2697</v>
      </c>
      <c r="D97" s="2826" t="s">
        <v>2698</v>
      </c>
      <c r="E97" s="2852">
        <v>0.15</v>
      </c>
      <c r="F97" s="2852">
        <v>20</v>
      </c>
    </row>
    <row r="98" spans="1:6" ht="14">
      <c r="A98" s="2852">
        <v>24</v>
      </c>
      <c r="B98" s="3472"/>
      <c r="C98" s="2826" t="s">
        <v>2699</v>
      </c>
      <c r="D98" s="2826" t="s">
        <v>2700</v>
      </c>
      <c r="E98" s="2852">
        <v>0.1</v>
      </c>
      <c r="F98" s="2852">
        <v>15</v>
      </c>
    </row>
    <row r="99" spans="1:6" ht="26">
      <c r="A99" s="2852">
        <v>25</v>
      </c>
      <c r="B99" s="3472"/>
      <c r="C99" s="2826" t="s">
        <v>2701</v>
      </c>
      <c r="D99" s="2826" t="s">
        <v>2702</v>
      </c>
      <c r="E99" s="2852">
        <v>0.1</v>
      </c>
      <c r="F99" s="2852">
        <v>15</v>
      </c>
    </row>
    <row r="100" spans="1:6" ht="26">
      <c r="A100" s="2852">
        <v>26</v>
      </c>
      <c r="B100" s="3472"/>
      <c r="C100" s="2826" t="s">
        <v>2703</v>
      </c>
      <c r="D100" s="2826" t="s">
        <v>2704</v>
      </c>
      <c r="E100" s="2852">
        <v>0.1</v>
      </c>
      <c r="F100" s="2852">
        <v>15</v>
      </c>
    </row>
    <row r="101" spans="1:6" ht="26">
      <c r="A101" s="2852">
        <v>27</v>
      </c>
      <c r="B101" s="3472"/>
      <c r="C101" s="2826" t="s">
        <v>2705</v>
      </c>
      <c r="D101" s="2826" t="s">
        <v>2706</v>
      </c>
      <c r="E101" s="2852">
        <v>0.1</v>
      </c>
      <c r="F101" s="2852">
        <v>15</v>
      </c>
    </row>
    <row r="102" spans="1:6" ht="26">
      <c r="A102" s="2852">
        <v>28</v>
      </c>
      <c r="B102" s="3472"/>
      <c r="C102" s="2826" t="s">
        <v>2707</v>
      </c>
      <c r="D102" s="2826" t="s">
        <v>2708</v>
      </c>
      <c r="E102" s="2852">
        <v>0.1</v>
      </c>
      <c r="F102" s="2852">
        <v>15</v>
      </c>
    </row>
    <row r="103" spans="1:6" ht="26">
      <c r="A103" s="2852">
        <v>29</v>
      </c>
      <c r="B103" s="3472"/>
      <c r="C103" s="2826" t="s">
        <v>2709</v>
      </c>
      <c r="D103" s="2826" t="s">
        <v>2710</v>
      </c>
      <c r="E103" s="2852">
        <v>0.1</v>
      </c>
      <c r="F103" s="2852">
        <v>15</v>
      </c>
    </row>
    <row r="104" spans="1:6" ht="26">
      <c r="A104" s="2852">
        <v>30</v>
      </c>
      <c r="B104" s="3472"/>
      <c r="C104" s="2826" t="s">
        <v>2711</v>
      </c>
      <c r="D104" s="2826" t="s">
        <v>2712</v>
      </c>
      <c r="E104" s="2852">
        <v>0.1</v>
      </c>
      <c r="F104" s="2852">
        <v>15</v>
      </c>
    </row>
    <row r="105" spans="1:6" ht="26">
      <c r="A105" s="2852">
        <v>31</v>
      </c>
      <c r="B105" s="3472"/>
      <c r="C105" s="2826" t="s">
        <v>2713</v>
      </c>
      <c r="D105" s="2826" t="s">
        <v>2714</v>
      </c>
      <c r="E105" s="2852">
        <v>0.1</v>
      </c>
      <c r="F105" s="2852">
        <v>15</v>
      </c>
    </row>
    <row r="106" spans="1:6" ht="26">
      <c r="A106" s="2852">
        <v>32</v>
      </c>
      <c r="B106" s="3472"/>
      <c r="C106" s="2826" t="s">
        <v>2715</v>
      </c>
      <c r="D106" s="2826" t="s">
        <v>2716</v>
      </c>
      <c r="E106" s="2852">
        <v>0.1</v>
      </c>
      <c r="F106" s="2852">
        <v>15</v>
      </c>
    </row>
    <row r="107" spans="1:6" ht="26">
      <c r="A107" s="2852">
        <v>33</v>
      </c>
      <c r="B107" s="3472"/>
      <c r="C107" s="2826" t="s">
        <v>2717</v>
      </c>
      <c r="D107" s="2826" t="s">
        <v>2718</v>
      </c>
      <c r="E107" s="2852">
        <v>0.1</v>
      </c>
      <c r="F107" s="2852">
        <v>15</v>
      </c>
    </row>
    <row r="108" spans="1:6" ht="26">
      <c r="A108" s="2852">
        <v>34</v>
      </c>
      <c r="B108" s="3471"/>
      <c r="C108" s="2826" t="s">
        <v>2719</v>
      </c>
      <c r="D108" s="2826" t="s">
        <v>2720</v>
      </c>
      <c r="E108" s="2852">
        <v>0.1</v>
      </c>
      <c r="F108" s="2852">
        <v>15</v>
      </c>
    </row>
    <row r="109" spans="1:6" ht="26">
      <c r="A109" s="2852">
        <v>35</v>
      </c>
      <c r="B109" s="3470" t="s">
        <v>2721</v>
      </c>
      <c r="C109" s="2852" t="s">
        <v>2722</v>
      </c>
      <c r="D109" s="2826" t="s">
        <v>2723</v>
      </c>
      <c r="E109" s="2852">
        <v>0.15</v>
      </c>
      <c r="F109" s="2852">
        <v>20</v>
      </c>
    </row>
    <row r="110" spans="1:6" ht="26">
      <c r="A110" s="2852">
        <v>36</v>
      </c>
      <c r="B110" s="3472"/>
      <c r="C110" s="2852" t="s">
        <v>2724</v>
      </c>
      <c r="D110" s="2826" t="s">
        <v>2725</v>
      </c>
      <c r="E110" s="2852">
        <v>0.15</v>
      </c>
      <c r="F110" s="2852">
        <v>20</v>
      </c>
    </row>
    <row r="111" spans="1:6" ht="26">
      <c r="A111" s="2852">
        <v>37</v>
      </c>
      <c r="B111" s="3472"/>
      <c r="C111" s="2852" t="s">
        <v>2726</v>
      </c>
      <c r="D111" s="2826" t="s">
        <v>2727</v>
      </c>
      <c r="E111" s="2852">
        <v>0.15</v>
      </c>
      <c r="F111" s="2852">
        <v>20</v>
      </c>
    </row>
    <row r="112" spans="1:6" ht="14">
      <c r="A112" s="2852">
        <v>38</v>
      </c>
      <c r="B112" s="3472"/>
      <c r="C112" s="2852" t="s">
        <v>2728</v>
      </c>
      <c r="D112" s="2826" t="s">
        <v>2729</v>
      </c>
      <c r="E112" s="2852">
        <v>0.1</v>
      </c>
      <c r="F112" s="2852">
        <v>15</v>
      </c>
    </row>
    <row r="113" spans="1:6" ht="26">
      <c r="A113" s="2852">
        <v>39</v>
      </c>
      <c r="B113" s="3472"/>
      <c r="C113" s="2852" t="s">
        <v>2730</v>
      </c>
      <c r="D113" s="2826" t="s">
        <v>2731</v>
      </c>
      <c r="E113" s="2852">
        <v>0.1</v>
      </c>
      <c r="F113" s="2852">
        <v>15</v>
      </c>
    </row>
    <row r="114" spans="1:6" ht="26">
      <c r="A114" s="2852">
        <v>40</v>
      </c>
      <c r="B114" s="3471"/>
      <c r="C114" s="2852" t="s">
        <v>2732</v>
      </c>
      <c r="D114" s="2826" t="s">
        <v>2733</v>
      </c>
      <c r="E114" s="2852">
        <v>0.1</v>
      </c>
      <c r="F114" s="2852">
        <v>15</v>
      </c>
    </row>
    <row r="115" spans="1:6" ht="26">
      <c r="A115" s="2852">
        <v>41</v>
      </c>
      <c r="B115" s="3469" t="s">
        <v>2734</v>
      </c>
      <c r="C115" s="2852" t="s">
        <v>2735</v>
      </c>
      <c r="D115" s="2826" t="s">
        <v>2736</v>
      </c>
      <c r="E115" s="2852">
        <v>0.1</v>
      </c>
      <c r="F115" s="2852">
        <v>15</v>
      </c>
    </row>
    <row r="116" spans="1:6" ht="14">
      <c r="A116" s="2852">
        <v>42</v>
      </c>
      <c r="B116" s="3469"/>
      <c r="C116" s="2852" t="s">
        <v>2737</v>
      </c>
      <c r="D116" s="2826" t="s">
        <v>2738</v>
      </c>
      <c r="E116" s="2852">
        <v>0.1</v>
      </c>
      <c r="F116" s="2852">
        <v>15</v>
      </c>
    </row>
    <row r="117" spans="1:6" ht="26">
      <c r="A117" s="2852">
        <v>43</v>
      </c>
      <c r="B117" s="3469"/>
      <c r="C117" s="2852" t="s">
        <v>2739</v>
      </c>
      <c r="D117" s="2826" t="s">
        <v>2740</v>
      </c>
      <c r="E117" s="2852">
        <v>0.1</v>
      </c>
      <c r="F117" s="2852">
        <v>15</v>
      </c>
    </row>
    <row r="118" spans="1:6" ht="26">
      <c r="A118" s="2852">
        <v>44</v>
      </c>
      <c r="B118" s="3470" t="s">
        <v>2741</v>
      </c>
      <c r="C118" s="2852" t="s">
        <v>2742</v>
      </c>
      <c r="D118" s="2826" t="s">
        <v>2743</v>
      </c>
      <c r="E118" s="2852">
        <v>0.1</v>
      </c>
      <c r="F118" s="2852">
        <v>15</v>
      </c>
    </row>
    <row r="119" spans="1:6" ht="26">
      <c r="A119" s="2852">
        <v>45</v>
      </c>
      <c r="B119" s="3471"/>
      <c r="C119" s="2826" t="s">
        <v>2744</v>
      </c>
      <c r="D119" s="2826" t="s">
        <v>2745</v>
      </c>
      <c r="E119" s="2852">
        <v>0.1</v>
      </c>
      <c r="F119" s="2852">
        <v>15</v>
      </c>
    </row>
    <row r="120" spans="1:6" ht="26">
      <c r="A120" s="2852">
        <v>46</v>
      </c>
      <c r="B120" s="3470" t="s">
        <v>2746</v>
      </c>
      <c r="C120" s="2852" t="s">
        <v>2747</v>
      </c>
      <c r="D120" s="2826" t="s">
        <v>2748</v>
      </c>
      <c r="E120" s="2852">
        <v>0.1</v>
      </c>
      <c r="F120" s="2852">
        <v>15</v>
      </c>
    </row>
    <row r="121" spans="1:6" ht="26">
      <c r="A121" s="2852">
        <v>47</v>
      </c>
      <c r="B121" s="3471"/>
      <c r="C121" s="2852" t="s">
        <v>2749</v>
      </c>
      <c r="D121" s="2826" t="s">
        <v>2750</v>
      </c>
      <c r="E121" s="2852">
        <v>0.1</v>
      </c>
      <c r="F121" s="2852">
        <v>15</v>
      </c>
    </row>
    <row r="122" spans="1:6" ht="26">
      <c r="A122" s="2852">
        <v>48</v>
      </c>
      <c r="B122" s="3470" t="s">
        <v>2751</v>
      </c>
      <c r="C122" s="2852" t="s">
        <v>2752</v>
      </c>
      <c r="D122" s="2826" t="s">
        <v>2753</v>
      </c>
      <c r="E122" s="2852">
        <v>0.1</v>
      </c>
      <c r="F122" s="2852">
        <v>15</v>
      </c>
    </row>
    <row r="123" spans="1:6" ht="14">
      <c r="A123" s="2852">
        <v>49</v>
      </c>
      <c r="B123" s="3471"/>
      <c r="C123" s="2852" t="s">
        <v>2754</v>
      </c>
      <c r="D123" s="2826" t="s">
        <v>2755</v>
      </c>
      <c r="E123" s="2852">
        <v>0.1</v>
      </c>
      <c r="F123" s="2852">
        <v>15</v>
      </c>
    </row>
    <row r="124" spans="1:6" ht="26">
      <c r="A124" s="2852">
        <v>50</v>
      </c>
      <c r="B124" s="3469" t="s">
        <v>2756</v>
      </c>
      <c r="C124" s="2852" t="s">
        <v>2757</v>
      </c>
      <c r="D124" s="2826" t="s">
        <v>2758</v>
      </c>
      <c r="E124" s="2852">
        <v>0.1</v>
      </c>
      <c r="F124" s="2852">
        <v>15</v>
      </c>
    </row>
    <row r="125" spans="1:6" ht="26">
      <c r="A125" s="2852">
        <v>51</v>
      </c>
      <c r="B125" s="3469"/>
      <c r="C125" s="2852" t="s">
        <v>2759</v>
      </c>
      <c r="D125" s="2826" t="s">
        <v>2760</v>
      </c>
      <c r="E125" s="2852">
        <v>0.1</v>
      </c>
      <c r="F125" s="2852">
        <v>15</v>
      </c>
    </row>
    <row r="126" spans="1:6" ht="26">
      <c r="A126" s="2852">
        <v>52</v>
      </c>
      <c r="B126" s="3469" t="s">
        <v>2761</v>
      </c>
      <c r="C126" s="2852" t="s">
        <v>2762</v>
      </c>
      <c r="D126" s="2826" t="s">
        <v>2763</v>
      </c>
      <c r="E126" s="2852">
        <v>0.1</v>
      </c>
      <c r="F126" s="2852">
        <v>15</v>
      </c>
    </row>
    <row r="127" spans="1:6" ht="26">
      <c r="A127" s="2852">
        <v>53</v>
      </c>
      <c r="B127" s="3469"/>
      <c r="C127" s="2852" t="s">
        <v>2764</v>
      </c>
      <c r="D127" s="2826" t="s">
        <v>2765</v>
      </c>
      <c r="E127" s="2852">
        <v>0.1</v>
      </c>
      <c r="F127" s="2852">
        <v>15</v>
      </c>
    </row>
    <row r="128" spans="1:6" ht="26">
      <c r="A128" s="2852">
        <v>54</v>
      </c>
      <c r="B128" s="2852" t="s">
        <v>2766</v>
      </c>
      <c r="C128" s="2852" t="s">
        <v>2767</v>
      </c>
      <c r="D128" s="2826" t="s">
        <v>2768</v>
      </c>
      <c r="E128" s="2852">
        <v>0.1</v>
      </c>
      <c r="F128" s="2852">
        <v>15</v>
      </c>
    </row>
    <row r="129" spans="1:6" ht="14">
      <c r="A129" s="2852">
        <v>55</v>
      </c>
      <c r="B129" s="3469" t="s">
        <v>2769</v>
      </c>
      <c r="C129" s="2852" t="s">
        <v>2770</v>
      </c>
      <c r="D129" s="2826" t="s">
        <v>2771</v>
      </c>
      <c r="E129" s="2852">
        <v>0.1</v>
      </c>
      <c r="F129" s="2852">
        <v>15</v>
      </c>
    </row>
    <row r="130" spans="1:6" ht="14">
      <c r="A130" s="2852">
        <v>56</v>
      </c>
      <c r="B130" s="3469"/>
      <c r="C130" s="2852" t="s">
        <v>2772</v>
      </c>
      <c r="D130" s="2826" t="s">
        <v>2773</v>
      </c>
      <c r="E130" s="2852">
        <v>0.1</v>
      </c>
      <c r="F130" s="2852">
        <v>15</v>
      </c>
    </row>
    <row r="131" spans="1:6" ht="26">
      <c r="A131" s="2852">
        <v>57</v>
      </c>
      <c r="B131" s="3469"/>
      <c r="C131" s="2852" t="s">
        <v>2774</v>
      </c>
      <c r="D131" s="2826" t="s">
        <v>2775</v>
      </c>
      <c r="E131" s="2852">
        <v>0.1</v>
      </c>
      <c r="F131" s="2852">
        <v>15</v>
      </c>
    </row>
    <row r="132" spans="1:6" ht="26">
      <c r="A132" s="2852">
        <v>58</v>
      </c>
      <c r="B132" s="3469" t="s">
        <v>2776</v>
      </c>
      <c r="C132" s="2852" t="s">
        <v>2777</v>
      </c>
      <c r="D132" s="2826" t="s">
        <v>2778</v>
      </c>
      <c r="E132" s="2852">
        <v>0.1</v>
      </c>
      <c r="F132" s="2852">
        <v>15</v>
      </c>
    </row>
    <row r="133" spans="1:6" ht="26">
      <c r="A133" s="2852">
        <v>59</v>
      </c>
      <c r="B133" s="3469"/>
      <c r="C133" s="2852" t="s">
        <v>2779</v>
      </c>
      <c r="D133" s="2826" t="s">
        <v>2780</v>
      </c>
      <c r="E133" s="2852">
        <v>0.1</v>
      </c>
      <c r="F133" s="2852">
        <v>15</v>
      </c>
    </row>
    <row r="134" spans="1:6" ht="26">
      <c r="A134" s="2852">
        <v>60</v>
      </c>
      <c r="B134" s="3470" t="s">
        <v>2781</v>
      </c>
      <c r="C134" s="2852" t="s">
        <v>2782</v>
      </c>
      <c r="D134" s="2826" t="s">
        <v>2783</v>
      </c>
      <c r="E134" s="2852">
        <v>0.1</v>
      </c>
      <c r="F134" s="2852">
        <v>15</v>
      </c>
    </row>
    <row r="135" spans="1:6" ht="26">
      <c r="A135" s="2852">
        <v>61</v>
      </c>
      <c r="B135" s="3471"/>
      <c r="C135" s="2852" t="s">
        <v>2784</v>
      </c>
      <c r="D135" s="2826" t="s">
        <v>2785</v>
      </c>
      <c r="E135" s="2852">
        <v>0.1</v>
      </c>
      <c r="F135" s="2852">
        <v>15</v>
      </c>
    </row>
    <row r="136" spans="1:6" ht="26">
      <c r="A136" s="2852">
        <v>62</v>
      </c>
      <c r="B136" s="2852" t="s">
        <v>2786</v>
      </c>
      <c r="C136" s="2852" t="s">
        <v>2787</v>
      </c>
      <c r="D136" s="2826" t="s">
        <v>2788</v>
      </c>
      <c r="E136" s="2852">
        <v>0.1</v>
      </c>
      <c r="F136" s="2852">
        <v>15</v>
      </c>
    </row>
    <row r="137" spans="1:6" ht="26">
      <c r="A137" s="2852">
        <v>63</v>
      </c>
      <c r="B137" s="3469" t="s">
        <v>2789</v>
      </c>
      <c r="C137" s="2852" t="s">
        <v>2790</v>
      </c>
      <c r="D137" s="2826" t="s">
        <v>2791</v>
      </c>
      <c r="E137" s="2852">
        <v>0.1</v>
      </c>
      <c r="F137" s="2852">
        <v>15</v>
      </c>
    </row>
    <row r="138" spans="1:6" ht="14">
      <c r="A138" s="2852">
        <v>64</v>
      </c>
      <c r="B138" s="3469"/>
      <c r="C138" s="2852" t="s">
        <v>2792</v>
      </c>
      <c r="D138" s="2826" t="s">
        <v>2793</v>
      </c>
      <c r="E138" s="2852">
        <v>0.1</v>
      </c>
      <c r="F138" s="2852">
        <v>15</v>
      </c>
    </row>
    <row r="139" spans="1:6" ht="26">
      <c r="A139" s="2852">
        <v>65</v>
      </c>
      <c r="B139" s="2852" t="s">
        <v>2794</v>
      </c>
      <c r="C139" s="2852" t="s">
        <v>2795</v>
      </c>
      <c r="D139" s="2826" t="s">
        <v>2796</v>
      </c>
      <c r="E139" s="2852">
        <v>0.1</v>
      </c>
      <c r="F139" s="2852">
        <v>15</v>
      </c>
    </row>
    <row r="140" spans="1:6" ht="14">
      <c r="A140" s="2852"/>
      <c r="B140" s="2852"/>
      <c r="C140" s="2852"/>
      <c r="D140" s="2852"/>
      <c r="E140" s="2852" t="s">
        <v>2797</v>
      </c>
      <c r="F140" s="2852"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4"/>
  </cols>
  <sheetData>
    <row r="1" spans="1:20" ht="15.5" thickBot="1">
      <c r="A1" s="2860" t="s">
        <v>2798</v>
      </c>
      <c r="B1" s="2860"/>
      <c r="C1" s="2860"/>
      <c r="D1" s="2860"/>
      <c r="E1" s="2860"/>
      <c r="F1" s="2860"/>
      <c r="G1" s="2860"/>
      <c r="H1" s="2860"/>
      <c r="I1" s="2860"/>
      <c r="J1" s="2860"/>
      <c r="K1" s="2860"/>
      <c r="L1" s="2860"/>
      <c r="M1" s="2860"/>
      <c r="N1" s="707"/>
    </row>
    <row r="2" spans="1:20">
      <c r="A2" s="2861" t="s">
        <v>2799</v>
      </c>
      <c r="B2" s="2862" t="s">
        <v>2595</v>
      </c>
      <c r="C2" s="2862" t="s">
        <v>2596</v>
      </c>
      <c r="D2" s="2862" t="s">
        <v>2597</v>
      </c>
      <c r="E2" s="2862" t="s">
        <v>2598</v>
      </c>
      <c r="F2" s="2862" t="s">
        <v>2599</v>
      </c>
      <c r="G2" s="2862" t="s">
        <v>2600</v>
      </c>
      <c r="H2" s="2863" t="s">
        <v>2601</v>
      </c>
      <c r="I2" s="2863" t="s">
        <v>2602</v>
      </c>
      <c r="J2" s="2864" t="s">
        <v>2603</v>
      </c>
      <c r="K2" s="2864" t="s">
        <v>2604</v>
      </c>
      <c r="L2" s="2864" t="s">
        <v>2605</v>
      </c>
      <c r="M2" s="2865" t="s">
        <v>2606</v>
      </c>
      <c r="Q2" s="2875" t="s">
        <v>2804</v>
      </c>
      <c r="R2" s="2875" t="s">
        <v>2805</v>
      </c>
      <c r="S2" s="2875" t="s">
        <v>2806</v>
      </c>
      <c r="T2" s="2875" t="s">
        <v>2807</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5" thickBot="1">
      <c r="A93" s="2860" t="s">
        <v>2800</v>
      </c>
      <c r="B93" s="2860"/>
      <c r="C93" s="2860"/>
      <c r="D93" s="2860"/>
      <c r="E93" s="2860"/>
      <c r="F93" s="2860"/>
      <c r="G93" s="2860"/>
      <c r="H93" s="2860"/>
      <c r="I93" s="2860"/>
      <c r="J93" s="2860"/>
      <c r="K93" s="2860"/>
      <c r="L93" s="2860"/>
      <c r="M93" s="2860"/>
    </row>
    <row r="94" spans="1:20">
      <c r="A94" s="2861" t="s">
        <v>2799</v>
      </c>
      <c r="B94" s="2862" t="s">
        <v>2595</v>
      </c>
      <c r="C94" s="2862" t="s">
        <v>2596</v>
      </c>
      <c r="D94" s="2862" t="s">
        <v>2597</v>
      </c>
      <c r="E94" s="2862" t="s">
        <v>2598</v>
      </c>
      <c r="F94" s="2862" t="s">
        <v>2599</v>
      </c>
      <c r="G94" s="2862" t="s">
        <v>2600</v>
      </c>
      <c r="H94" s="2863" t="s">
        <v>2601</v>
      </c>
      <c r="I94" s="2863" t="s">
        <v>2602</v>
      </c>
      <c r="J94" s="2864" t="s">
        <v>2603</v>
      </c>
      <c r="K94" s="2864" t="s">
        <v>2604</v>
      </c>
      <c r="L94" s="2864" t="s">
        <v>2605</v>
      </c>
      <c r="M94" s="2865" t="s">
        <v>2606</v>
      </c>
      <c r="N94">
        <f>SUMPRODUCT((A95:A184=ROUNDDOWN(基准地价修正!G3,1))*(B94:M94=基准地价修正!G2)*(B95:M184))</f>
        <v>0</v>
      </c>
      <c r="Q94" s="2875" t="s">
        <v>2804</v>
      </c>
      <c r="R94" s="2875" t="s">
        <v>2805</v>
      </c>
      <c r="S94" s="2875" t="s">
        <v>2806</v>
      </c>
      <c r="T94" s="2875" t="s">
        <v>2807</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5" thickBot="1">
      <c r="A185" s="2860" t="s">
        <v>2801</v>
      </c>
      <c r="B185" s="2860"/>
      <c r="C185" s="2860"/>
      <c r="D185" s="2860"/>
      <c r="E185" s="2860"/>
      <c r="F185" s="2860"/>
      <c r="G185" s="2860"/>
      <c r="H185" s="2860"/>
      <c r="I185" s="2860"/>
      <c r="J185" s="2860"/>
      <c r="K185" s="2860"/>
      <c r="L185" s="2860"/>
      <c r="M185" s="2860"/>
    </row>
    <row r="186" spans="1:20">
      <c r="A186" s="2861" t="s">
        <v>2799</v>
      </c>
      <c r="B186" s="2862" t="s">
        <v>2595</v>
      </c>
      <c r="C186" s="2862" t="s">
        <v>2596</v>
      </c>
      <c r="D186" s="2862" t="s">
        <v>2597</v>
      </c>
      <c r="E186" s="2862" t="s">
        <v>2598</v>
      </c>
      <c r="F186" s="2862" t="s">
        <v>2599</v>
      </c>
      <c r="G186" s="2862" t="s">
        <v>2600</v>
      </c>
      <c r="H186" s="2863" t="s">
        <v>2601</v>
      </c>
      <c r="I186" s="2863" t="s">
        <v>2602</v>
      </c>
      <c r="J186" s="2864" t="s">
        <v>2603</v>
      </c>
      <c r="K186" s="2864" t="s">
        <v>2604</v>
      </c>
      <c r="L186" s="2864" t="s">
        <v>2605</v>
      </c>
      <c r="M186" s="2865" t="s">
        <v>2606</v>
      </c>
      <c r="Q186" s="2875" t="s">
        <v>2804</v>
      </c>
      <c r="R186" s="2875" t="s">
        <v>2805</v>
      </c>
      <c r="S186" s="2875" t="s">
        <v>2806</v>
      </c>
      <c r="T186" s="2875" t="s">
        <v>2807</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5" thickBot="1">
      <c r="A277" s="2860" t="s">
        <v>2802</v>
      </c>
      <c r="B277" s="2860"/>
      <c r="C277" s="2860"/>
      <c r="D277" s="2860"/>
      <c r="E277" s="2860"/>
      <c r="F277" s="2860"/>
      <c r="G277" s="2860"/>
      <c r="H277" s="2860"/>
      <c r="I277" s="2860"/>
      <c r="J277" s="2860"/>
      <c r="K277" s="2860"/>
      <c r="L277" s="2860"/>
      <c r="M277" s="2860"/>
    </row>
    <row r="278" spans="1:21">
      <c r="A278" s="2861" t="s">
        <v>2799</v>
      </c>
      <c r="B278" s="2862" t="s">
        <v>2595</v>
      </c>
      <c r="C278" s="2862" t="s">
        <v>2596</v>
      </c>
      <c r="D278" s="2862" t="s">
        <v>2597</v>
      </c>
      <c r="E278" s="2862" t="s">
        <v>2598</v>
      </c>
      <c r="F278" s="2862" t="s">
        <v>2599</v>
      </c>
      <c r="G278" s="2862" t="s">
        <v>2600</v>
      </c>
      <c r="H278" s="2863" t="s">
        <v>2601</v>
      </c>
      <c r="I278" s="2863" t="s">
        <v>2602</v>
      </c>
      <c r="J278" s="2864" t="s">
        <v>2603</v>
      </c>
      <c r="K278" s="2864" t="s">
        <v>2604</v>
      </c>
      <c r="L278" s="2864" t="s">
        <v>2605</v>
      </c>
      <c r="M278" s="2865" t="s">
        <v>2606</v>
      </c>
      <c r="Q278" s="2875" t="s">
        <v>2804</v>
      </c>
      <c r="R278" s="2875" t="s">
        <v>2805</v>
      </c>
      <c r="S278" s="2875" t="s">
        <v>2808</v>
      </c>
      <c r="T278" s="2875" t="s">
        <v>2809</v>
      </c>
      <c r="U278" s="2875" t="s">
        <v>2807</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5" thickBot="1">
      <c r="A369" s="2860" t="s">
        <v>2803</v>
      </c>
      <c r="B369" s="2873"/>
      <c r="C369" s="2873"/>
      <c r="D369" s="2873"/>
      <c r="E369" s="2873"/>
      <c r="F369" s="2873"/>
      <c r="G369" s="2873"/>
      <c r="H369" s="2873"/>
      <c r="I369" s="2873"/>
      <c r="J369" s="2873"/>
      <c r="K369" s="2873"/>
      <c r="L369" s="2873"/>
      <c r="M369" s="2873"/>
    </row>
    <row r="370" spans="1:20">
      <c r="A370" s="2861" t="s">
        <v>2799</v>
      </c>
      <c r="B370" s="2862" t="s">
        <v>2595</v>
      </c>
      <c r="C370" s="2862" t="s">
        <v>2596</v>
      </c>
      <c r="D370" s="2862" t="s">
        <v>2597</v>
      </c>
      <c r="E370" s="2862" t="s">
        <v>2598</v>
      </c>
      <c r="F370" s="2862" t="s">
        <v>2599</v>
      </c>
      <c r="G370" s="2862" t="s">
        <v>2600</v>
      </c>
      <c r="H370" s="2863" t="s">
        <v>2601</v>
      </c>
      <c r="I370" s="2863" t="s">
        <v>2602</v>
      </c>
      <c r="J370" s="2864" t="s">
        <v>2603</v>
      </c>
      <c r="K370" s="2864" t="s">
        <v>2604</v>
      </c>
      <c r="L370" s="2864" t="s">
        <v>2605</v>
      </c>
      <c r="M370" s="2865" t="s">
        <v>2606</v>
      </c>
      <c r="N370">
        <f>SUMPRODUCT((A371:A460=ROUNDDOWN(基准地价修正!G3,1))*(B370:M370=基准地价修正!G2)*(B371:M460))</f>
        <v>0</v>
      </c>
      <c r="Q370" s="2875" t="s">
        <v>2804</v>
      </c>
      <c r="R370" s="2875" t="s">
        <v>2805</v>
      </c>
      <c r="S370" s="2875" t="s">
        <v>2806</v>
      </c>
      <c r="T370" s="2875" t="s">
        <v>2807</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25935</v>
      </c>
      <c r="C2" s="2" t="s">
        <v>106</v>
      </c>
      <c r="D2" s="191"/>
      <c r="E2" s="191"/>
      <c r="F2" s="191"/>
      <c r="G2" s="191"/>
    </row>
    <row r="3" spans="1:7" s="192" customFormat="1" ht="18" customHeight="1" thickBot="1">
      <c r="A3" s="195" t="s">
        <v>58</v>
      </c>
      <c r="B3" s="196">
        <f ca="1">ROUND(B2*10000/'数据-汇总表'!E3,0)</f>
        <v>292318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v>
      </c>
      <c r="D10" s="795">
        <f>'数据-汇总表'!E6</f>
        <v>887.22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v>
      </c>
      <c r="D19" s="204">
        <f>'数据-汇总表'!E3</f>
        <v>887.22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2104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25715</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255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222</v>
      </c>
      <c r="D34" s="209"/>
      <c r="E34" s="212"/>
      <c r="F34" s="249">
        <f>IF('数据-取费表'!B24=0,1,'数据-取费表'!N16)</f>
        <v>1</v>
      </c>
      <c r="G34" s="211" t="s">
        <v>89</v>
      </c>
    </row>
    <row r="35" spans="1:7" ht="13.5" customHeight="1">
      <c r="A35" s="734" t="s">
        <v>351</v>
      </c>
      <c r="B35" s="207" t="s">
        <v>33</v>
      </c>
      <c r="C35" s="212">
        <f>ROUND(C34*F35,0)</f>
        <v>11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v>
      </c>
      <c r="D37" s="209">
        <f>'数据-汇总表'!E3</f>
        <v>887.22</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v>
      </c>
      <c r="D42" s="230"/>
      <c r="E42" s="230"/>
      <c r="F42" s="231"/>
      <c r="G42" s="3346" t="s">
        <v>94</v>
      </c>
    </row>
    <row r="43" spans="1:7" ht="13.5" customHeight="1">
      <c r="A43" s="734" t="s">
        <v>347</v>
      </c>
      <c r="B43" s="207" t="s">
        <v>426</v>
      </c>
      <c r="C43" s="230">
        <f ca="1">ROUND(IF('数据-取费表'!B22&lt;=1,C39*F22*'数据-取费表'!B21/2,C39*(POWER((1+F22),'数据-取费表'!B21/2)-1)),0)</f>
        <v>0</v>
      </c>
      <c r="D43" s="230"/>
      <c r="E43" s="230"/>
      <c r="F43" s="231"/>
      <c r="G43" s="3347"/>
    </row>
    <row r="44" spans="1:7" ht="13.5" customHeight="1">
      <c r="A44" s="734" t="s">
        <v>348</v>
      </c>
      <c r="B44" s="207" t="s">
        <v>428</v>
      </c>
      <c r="C44" s="230">
        <f ca="1">ROUND(IF('数据-取费表'!B22&lt;=1,C40*F22*'数据-取费表'!B21/2,C40*(POWER((1+F22),'数据-取费表'!B21/2)-1)),4)</f>
        <v>2.9999999999999997E-4</v>
      </c>
      <c r="D44" s="230"/>
      <c r="E44" s="230"/>
      <c r="F44" s="231"/>
      <c r="G44" s="3348"/>
    </row>
    <row r="45" spans="1:7" s="206" customFormat="1" ht="13.5" customHeight="1">
      <c r="A45" s="731" t="s">
        <v>341</v>
      </c>
      <c r="B45" s="236" t="s">
        <v>85</v>
      </c>
      <c r="C45" s="237">
        <f>C46</f>
        <v>26</v>
      </c>
      <c r="D45" s="227">
        <f>C47</f>
        <v>2E-3</v>
      </c>
      <c r="E45" s="228" t="s">
        <v>102</v>
      </c>
      <c r="F45" s="238"/>
      <c r="G45" s="239" t="s">
        <v>434</v>
      </c>
    </row>
    <row r="46" spans="1:7" s="206" customFormat="1" ht="13.5" customHeight="1">
      <c r="A46" s="734" t="s">
        <v>349</v>
      </c>
      <c r="B46" s="240" t="s">
        <v>427</v>
      </c>
      <c r="C46" s="241">
        <f>ROUND((C33+C39)*F27,0)</f>
        <v>26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314</v>
      </c>
      <c r="D49" s="224"/>
      <c r="E49" s="224"/>
      <c r="F49" s="256"/>
      <c r="G49" s="226" t="s">
        <v>435</v>
      </c>
    </row>
    <row r="50" spans="1:7" s="250" customFormat="1" ht="26">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220</v>
      </c>
      <c r="D51" s="224"/>
      <c r="E51" s="224"/>
      <c r="F51" s="256"/>
      <c r="G51" s="226" t="s">
        <v>37</v>
      </c>
    </row>
    <row r="52" spans="1:7" s="200" customFormat="1" ht="16.5" thickBot="1">
      <c r="A52" s="257" t="s">
        <v>38</v>
      </c>
      <c r="B52" s="258"/>
      <c r="C52" s="259">
        <f ca="1">C31+C51</f>
        <v>25935</v>
      </c>
      <c r="D52" s="258"/>
      <c r="E52" s="258"/>
      <c r="F52" s="258"/>
      <c r="G52" s="260"/>
    </row>
    <row r="55" spans="1:7" ht="15.5">
      <c r="B55" s="262" t="s">
        <v>39</v>
      </c>
      <c r="C55" s="263"/>
    </row>
    <row r="56" spans="1:7" ht="13">
      <c r="B56" s="265" t="s">
        <v>40</v>
      </c>
      <c r="C56" s="266">
        <f ca="1">ROUND(C51/C52,3)</f>
        <v>8.0000000000000002E-3</v>
      </c>
    </row>
    <row r="57" spans="1:7" ht="13">
      <c r="B57" s="265" t="s">
        <v>41</v>
      </c>
      <c r="C57" s="267">
        <f ca="1">1-C56</f>
        <v>0.99199999999999999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2" customWidth="1"/>
    <col min="2" max="2" width="20" style="2962" customWidth="1"/>
    <col min="3" max="7" width="8.90625" style="2962"/>
    <col min="8" max="16384" width="8.90625" style="2808"/>
  </cols>
  <sheetData>
    <row r="1" spans="1:7">
      <c r="A1" s="3483" t="s">
        <v>3181</v>
      </c>
      <c r="B1" s="3483"/>
    </row>
    <row r="2" spans="1:7" ht="14.5" thickBot="1">
      <c r="A2" s="2963"/>
      <c r="B2" s="2963"/>
    </row>
    <row r="3" spans="1:7" ht="14.5" thickBot="1">
      <c r="A3" s="2963"/>
      <c r="B3" s="2963"/>
      <c r="C3" s="2964" t="s">
        <v>2811</v>
      </c>
      <c r="D3" s="2964" t="s">
        <v>2867</v>
      </c>
      <c r="E3" s="2964" t="s">
        <v>2813</v>
      </c>
      <c r="F3" s="2964" t="s">
        <v>2868</v>
      </c>
      <c r="G3" s="2964" t="s">
        <v>2631</v>
      </c>
    </row>
    <row r="4" spans="1:7" ht="14.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4.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4.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4.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4.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4.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4.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4.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4.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4.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4.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08"/>
  </cols>
  <sheetData>
    <row r="1" spans="1:6">
      <c r="A1" s="3484" t="s">
        <v>3232</v>
      </c>
      <c r="B1" s="3484"/>
      <c r="C1" s="3484"/>
      <c r="D1" s="3484"/>
      <c r="E1" s="3484"/>
      <c r="F1" s="3485"/>
    </row>
    <row r="2" spans="1:6">
      <c r="A2" s="2997" t="s">
        <v>3233</v>
      </c>
    </row>
    <row r="3" spans="1:6">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2">
        <f>基准地价修正!G23</f>
        <v>45909</v>
      </c>
      <c r="B1" s="2924" t="s">
        <v>3376</v>
      </c>
      <c r="C1" s="2925"/>
      <c r="D1" s="2925"/>
      <c r="E1" s="2925"/>
      <c r="F1" s="2925"/>
      <c r="G1" s="2925"/>
      <c r="H1" s="2925"/>
      <c r="I1" s="2925"/>
      <c r="J1" s="2891"/>
      <c r="K1" s="2925" t="s">
        <v>454</v>
      </c>
      <c r="L1" s="2925"/>
      <c r="M1" s="2925"/>
      <c r="N1" s="2925"/>
      <c r="O1" s="2925"/>
      <c r="P1" s="2925"/>
      <c r="Q1" s="2891"/>
      <c r="R1" s="3486" t="s">
        <v>456</v>
      </c>
      <c r="S1" s="3487"/>
      <c r="T1" s="3487"/>
      <c r="U1" s="3487"/>
      <c r="V1" s="3487"/>
      <c r="W1" s="3487"/>
      <c r="X1" s="2891"/>
      <c r="Y1" s="3486" t="s">
        <v>457</v>
      </c>
      <c r="Z1" s="3487"/>
      <c r="AA1" s="3487"/>
      <c r="AB1" s="3487"/>
      <c r="AC1" s="3487"/>
      <c r="AD1" s="3487"/>
    </row>
    <row r="2" spans="1:44" s="2010" customFormat="1" ht="14.5" thickBot="1">
      <c r="B2" s="2876"/>
      <c r="C2" s="2877"/>
      <c r="D2" s="2011" t="s">
        <v>2810</v>
      </c>
      <c r="E2" s="2012" t="s">
        <v>2811</v>
      </c>
      <c r="F2" s="2012" t="s">
        <v>2812</v>
      </c>
      <c r="G2" s="2012" t="s">
        <v>2813</v>
      </c>
      <c r="H2" s="2012" t="s">
        <v>2814</v>
      </c>
      <c r="I2" s="2012" t="s">
        <v>2631</v>
      </c>
      <c r="J2" s="2878"/>
      <c r="K2" s="2011" t="s">
        <v>2810</v>
      </c>
      <c r="L2" s="2012" t="s">
        <v>2811</v>
      </c>
      <c r="M2" s="2012" t="s">
        <v>2812</v>
      </c>
      <c r="N2" s="2012" t="s">
        <v>2813</v>
      </c>
      <c r="O2" s="2012" t="s">
        <v>2815</v>
      </c>
      <c r="P2" s="2012" t="s">
        <v>2631</v>
      </c>
      <c r="Q2" s="2878"/>
      <c r="R2" s="2011" t="s">
        <v>2810</v>
      </c>
      <c r="S2" s="2012" t="s">
        <v>2811</v>
      </c>
      <c r="T2" s="2012" t="s">
        <v>2812</v>
      </c>
      <c r="U2" s="2012" t="s">
        <v>2816</v>
      </c>
      <c r="V2" s="2012" t="s">
        <v>2817</v>
      </c>
      <c r="W2" s="2012" t="s">
        <v>2631</v>
      </c>
      <c r="X2" s="2878"/>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1" customFormat="1" ht="13">
      <c r="A3" s="2879" t="s">
        <v>2819</v>
      </c>
      <c r="B3" s="2880"/>
      <c r="D3" s="2881">
        <f>ROUND(AVERAGEIF(D4:D24,"&lt;&gt;0"),2)</f>
        <v>0.37</v>
      </c>
      <c r="E3" s="2881">
        <f t="shared" ref="E3:H3" si="0">ROUND(AVERAGEIF(E4:E24,"&lt;&gt;0"),2)</f>
        <v>0.16</v>
      </c>
      <c r="F3" s="2881">
        <f t="shared" si="0"/>
        <v>-0.12</v>
      </c>
      <c r="G3" s="2881">
        <f t="shared" si="0"/>
        <v>0.44</v>
      </c>
      <c r="H3" s="2881">
        <f t="shared" si="0"/>
        <v>0.5</v>
      </c>
      <c r="I3" s="2881">
        <f>F3</f>
        <v>-0.12</v>
      </c>
      <c r="J3" s="2882"/>
      <c r="K3" s="2883">
        <f>ROUND(AVERAGEIF(K4:K24,"&lt;&gt;0"),4)</f>
        <v>3.7000000000000002E-3</v>
      </c>
      <c r="L3" s="2884">
        <f t="shared" ref="L3:O3" si="1">ROUND(AVERAGEIF(L4:L24,"&lt;&gt;0"),4)</f>
        <v>1.6000000000000001E-3</v>
      </c>
      <c r="M3" s="2884">
        <f t="shared" si="1"/>
        <v>-1.1999999999999999E-3</v>
      </c>
      <c r="N3" s="2884">
        <f t="shared" si="1"/>
        <v>4.4000000000000003E-3</v>
      </c>
      <c r="O3" s="2884">
        <f t="shared" si="1"/>
        <v>5.0000000000000001E-3</v>
      </c>
      <c r="P3" s="2884">
        <f>M3</f>
        <v>-1.1999999999999999E-3</v>
      </c>
      <c r="Q3" s="2882"/>
      <c r="R3" s="2885">
        <f>ROUND(SUMPRODUCT(PRODUCT(1+K4:K24)),4)</f>
        <v>1.0680000000000001</v>
      </c>
      <c r="S3" s="2886">
        <f t="shared" ref="S3:V3" si="2">ROUND(SUMPRODUCT(PRODUCT(1+L4:L24)),4)</f>
        <v>1.0290999999999999</v>
      </c>
      <c r="T3" s="2886">
        <f t="shared" si="2"/>
        <v>0.97850000000000004</v>
      </c>
      <c r="U3" s="2886">
        <f t="shared" si="2"/>
        <v>1.0807</v>
      </c>
      <c r="V3" s="2886">
        <f t="shared" si="2"/>
        <v>1.093</v>
      </c>
      <c r="W3" s="2885">
        <f>T3</f>
        <v>0.97850000000000004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9" customFormat="1" ht="13">
      <c r="B4" s="2025"/>
      <c r="J4" s="2891"/>
      <c r="K4" s="2892"/>
      <c r="L4" s="2893"/>
      <c r="M4" s="2893"/>
      <c r="N4" s="2893"/>
      <c r="O4" s="2893"/>
      <c r="P4" s="2893"/>
      <c r="Q4" s="2891"/>
      <c r="R4" s="2027"/>
      <c r="S4" s="2894"/>
      <c r="T4" s="2895"/>
      <c r="U4" s="2027"/>
      <c r="V4" s="2896"/>
      <c r="W4" s="2027"/>
      <c r="X4" s="2891"/>
      <c r="Y4" s="2028"/>
      <c r="Z4" s="2897"/>
      <c r="AA4" s="2898"/>
      <c r="AB4" s="2028"/>
      <c r="AC4" s="2899"/>
      <c r="AD4" s="2028"/>
    </row>
    <row r="5" spans="1:44" s="2045" customFormat="1">
      <c r="A5" s="2040" t="s">
        <v>3402</v>
      </c>
      <c r="B5" s="2031">
        <v>2025</v>
      </c>
      <c r="C5" s="2042">
        <v>4</v>
      </c>
      <c r="D5" s="2007">
        <v>0</v>
      </c>
      <c r="E5" s="2007">
        <v>0</v>
      </c>
      <c r="F5" s="2007">
        <v>0</v>
      </c>
      <c r="G5" s="2007">
        <v>0</v>
      </c>
      <c r="H5" s="2007">
        <v>0</v>
      </c>
      <c r="I5" s="2008">
        <f t="shared" ref="I5" si="4">F5</f>
        <v>0</v>
      </c>
      <c r="J5" s="2901"/>
      <c r="K5" s="2043">
        <f t="shared" ref="K5" si="5">D5/100</f>
        <v>0</v>
      </c>
      <c r="L5" s="2028">
        <f t="shared" ref="L5" si="6">E5/100</f>
        <v>0</v>
      </c>
      <c r="M5" s="2028">
        <f t="shared" ref="M5" si="7">F5/100</f>
        <v>0</v>
      </c>
      <c r="N5" s="2028">
        <f t="shared" ref="N5" si="8">G5/100</f>
        <v>0</v>
      </c>
      <c r="O5" s="2028">
        <f t="shared" ref="O5" si="9">H5/100</f>
        <v>0</v>
      </c>
      <c r="P5" s="2028">
        <f t="shared" ref="P5:P11" si="10">M5</f>
        <v>0</v>
      </c>
      <c r="Q5" s="2901"/>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1"/>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48">
        <f>$AF$24*R5</f>
        <v>105.77000000000001</v>
      </c>
      <c r="AG5" s="3148">
        <f t="shared" ref="AG5:AK5" si="18">$AF$24*S5</f>
        <v>102.75000000000001</v>
      </c>
      <c r="AH5" s="3148">
        <f t="shared" si="18"/>
        <v>98.09</v>
      </c>
      <c r="AI5" s="3148">
        <f t="shared" si="18"/>
        <v>106.89</v>
      </c>
      <c r="AJ5" s="3148">
        <f t="shared" si="18"/>
        <v>108.91</v>
      </c>
      <c r="AK5" s="3148">
        <f t="shared" si="18"/>
        <v>98.09</v>
      </c>
      <c r="AM5" s="3154">
        <v>100</v>
      </c>
      <c r="AN5" s="3154">
        <v>100</v>
      </c>
      <c r="AO5" s="3154">
        <v>100</v>
      </c>
      <c r="AP5" s="3154">
        <v>100</v>
      </c>
      <c r="AQ5" s="3154">
        <v>100</v>
      </c>
      <c r="AR5" s="3154">
        <v>100</v>
      </c>
    </row>
    <row r="6" spans="1:44" s="2045" customFormat="1" ht="13">
      <c r="A6" s="2040" t="s">
        <v>3401</v>
      </c>
      <c r="B6" s="2031">
        <v>2025</v>
      </c>
      <c r="C6" s="2042">
        <v>3</v>
      </c>
      <c r="D6" s="2007">
        <v>0</v>
      </c>
      <c r="E6" s="2007">
        <v>0</v>
      </c>
      <c r="F6" s="2007">
        <v>0</v>
      </c>
      <c r="G6" s="2007">
        <v>0</v>
      </c>
      <c r="H6" s="2007">
        <v>0</v>
      </c>
      <c r="I6" s="2008">
        <f t="shared" ref="I6" si="19">F6</f>
        <v>0</v>
      </c>
      <c r="J6" s="2901"/>
      <c r="K6" s="2043">
        <f t="shared" ref="K6" si="20">D6/100</f>
        <v>0</v>
      </c>
      <c r="L6" s="2028">
        <f t="shared" ref="L6" si="21">E6/100</f>
        <v>0</v>
      </c>
      <c r="M6" s="2028">
        <f t="shared" ref="M6" si="22">F6/100</f>
        <v>0</v>
      </c>
      <c r="N6" s="2028">
        <f t="shared" ref="N6" si="23">G6/100</f>
        <v>0</v>
      </c>
      <c r="O6" s="2028">
        <f t="shared" ref="O6" si="24">H6/100</f>
        <v>0</v>
      </c>
      <c r="P6" s="2028">
        <f t="shared" si="10"/>
        <v>0</v>
      </c>
      <c r="Q6" s="2901"/>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1"/>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48">
        <f t="shared" ref="AF6:AF23" si="30">$AF$24*R6</f>
        <v>105.77000000000001</v>
      </c>
      <c r="AG6" s="3148">
        <f t="shared" ref="AG6:AG23" si="31">$AF$24*S6</f>
        <v>102.75000000000001</v>
      </c>
      <c r="AH6" s="3148">
        <f t="shared" ref="AH6:AH23" si="32">$AF$24*T6</f>
        <v>98.09</v>
      </c>
      <c r="AI6" s="3148">
        <f t="shared" ref="AI6:AI23" si="33">$AF$24*U6</f>
        <v>106.89</v>
      </c>
      <c r="AJ6" s="3148">
        <f t="shared" ref="AJ6:AJ23" si="34">$AF$24*V6</f>
        <v>108.91</v>
      </c>
      <c r="AK6" s="3148">
        <f t="shared" ref="AK6:AK23" si="35">$AF$24*W6</f>
        <v>98.09</v>
      </c>
      <c r="AM6" s="3148">
        <f>AM5/(1+D5/100)</f>
        <v>100</v>
      </c>
      <c r="AN6" s="3148">
        <f t="shared" ref="AN6:AR6" si="36">AN5/(1+E5/100)</f>
        <v>100</v>
      </c>
      <c r="AO6" s="3148">
        <f t="shared" si="36"/>
        <v>100</v>
      </c>
      <c r="AP6" s="3148">
        <f t="shared" si="36"/>
        <v>100</v>
      </c>
      <c r="AQ6" s="3148">
        <f t="shared" si="36"/>
        <v>100</v>
      </c>
      <c r="AR6" s="3148">
        <f t="shared" si="36"/>
        <v>100</v>
      </c>
    </row>
    <row r="7" spans="1:44" s="2911" customFormat="1" ht="13">
      <c r="A7" s="2902" t="s">
        <v>3400</v>
      </c>
      <c r="B7" s="2903">
        <v>2025</v>
      </c>
      <c r="C7" s="2904">
        <v>2</v>
      </c>
      <c r="D7" s="2905">
        <v>0.05</v>
      </c>
      <c r="E7" s="2905">
        <v>-0.62</v>
      </c>
      <c r="F7" s="2905">
        <v>-1.05</v>
      </c>
      <c r="G7" s="2905">
        <v>0.09</v>
      </c>
      <c r="H7" s="2906">
        <v>0.17</v>
      </c>
      <c r="I7" s="2907">
        <f t="shared" ref="I7" si="37">F7</f>
        <v>-1.05</v>
      </c>
      <c r="J7" s="2908"/>
      <c r="K7" s="2909">
        <f t="shared" ref="K7" si="38">D7/100</f>
        <v>5.0000000000000001E-4</v>
      </c>
      <c r="L7" s="2910">
        <f t="shared" ref="L7" si="39">E7/100</f>
        <v>-6.1999999999999998E-3</v>
      </c>
      <c r="M7" s="2910">
        <f t="shared" ref="M7" si="40">F7/100</f>
        <v>-1.0500000000000001E-2</v>
      </c>
      <c r="N7" s="2910">
        <f t="shared" ref="N7" si="41">G7/100</f>
        <v>8.9999999999999998E-4</v>
      </c>
      <c r="O7" s="2910">
        <f t="shared" ref="O7" si="42">H7/100</f>
        <v>1.7000000000000001E-3</v>
      </c>
      <c r="P7" s="2910">
        <f t="shared" si="10"/>
        <v>-1.0500000000000001E-2</v>
      </c>
      <c r="Q7" s="2908"/>
      <c r="R7" s="2908">
        <f>ROUND(IF(项目基本情况!$B$8="出让",SUMPRODUCT(PRODUCT(1+K7:$K$24)),SUMPRODUCT(PRODUCT(1+K7:$K$23))),4)</f>
        <v>1.0577000000000001</v>
      </c>
      <c r="S7" s="2908">
        <f>ROUND(IF(项目基本情况!$B$8="出让",SUMPRODUCT(PRODUCT(1+L7:$L$24)),SUMPRODUCT(PRODUCT(1+L7:$L$23))),4)</f>
        <v>1.0275000000000001</v>
      </c>
      <c r="T7" s="2908">
        <f>ROUND(IF(项目基本情况!$B$8="出让",SUMPRODUCT(PRODUCT(1+M7:$M$24)),SUMPRODUCT(PRODUCT(1+M7:$M$23))),4)</f>
        <v>0.98089999999999999</v>
      </c>
      <c r="U7" s="2908">
        <f>ROUND(IF(项目基本情况!$B$8="出让",SUMPRODUCT(PRODUCT(1+N7:$N$24)),SUMPRODUCT(PRODUCT(1+N7:$N$23))),4)</f>
        <v>1.0689</v>
      </c>
      <c r="V7" s="2908">
        <f>ROUND(IF(项目基本情况!$B$8="出让",SUMPRODUCT(PRODUCT(1+O7:$O$24)),SUMPRODUCT(PRODUCT(1+O7:$O$23))),4)</f>
        <v>1.0891</v>
      </c>
      <c r="W7" s="2908">
        <f t="shared" si="11"/>
        <v>0.98089999999999999</v>
      </c>
      <c r="X7" s="2908"/>
      <c r="Y7" s="2910">
        <f t="shared" si="12"/>
        <v>2.3E-3</v>
      </c>
      <c r="Z7" s="2910">
        <f t="shared" ref="Z7" si="43">IF(E7=0,0,ROUND(AVERAGE(E7:E20)/100,4))</f>
        <v>1E-3</v>
      </c>
      <c r="AA7" s="2910">
        <f t="shared" ref="AA7" si="44">IF(F7=0,0,ROUND(AVERAGE(F7:F20)/100,4))</f>
        <v>-1.9E-3</v>
      </c>
      <c r="AB7" s="2910">
        <f t="shared" ref="AB7" si="45">IF(G7=0,0,ROUND(AVERAGE(G7:G20)/100,4))</f>
        <v>2.8999999999999998E-3</v>
      </c>
      <c r="AC7" s="2910">
        <f t="shared" ref="AC7" si="46">IF(H7=0,0,ROUND(AVERAGE(H7:H20)/100,4))</f>
        <v>4.7000000000000002E-3</v>
      </c>
      <c r="AD7" s="2910">
        <f t="shared" ref="AD7" si="47">AA7</f>
        <v>-1.9E-3</v>
      </c>
      <c r="AF7" s="3149">
        <f t="shared" si="30"/>
        <v>105.77000000000001</v>
      </c>
      <c r="AG7" s="3149">
        <f t="shared" si="31"/>
        <v>102.75000000000001</v>
      </c>
      <c r="AH7" s="3149">
        <f t="shared" si="32"/>
        <v>98.09</v>
      </c>
      <c r="AI7" s="3149">
        <f t="shared" si="33"/>
        <v>106.89</v>
      </c>
      <c r="AJ7" s="3149">
        <f t="shared" si="34"/>
        <v>108.91</v>
      </c>
      <c r="AK7" s="3149">
        <f t="shared" si="35"/>
        <v>98.09</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1"/>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1"/>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1"/>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99.950024987506254</v>
      </c>
      <c r="AN8" s="3148">
        <f t="shared" si="49"/>
        <v>100.6238679814852</v>
      </c>
      <c r="AO8" s="3148">
        <f t="shared" si="50"/>
        <v>101.06114199090449</v>
      </c>
      <c r="AP8" s="3148">
        <f t="shared" si="51"/>
        <v>99.910080927165566</v>
      </c>
      <c r="AQ8" s="3148">
        <f t="shared" si="52"/>
        <v>99.830288509533787</v>
      </c>
      <c r="AR8" s="3148">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1"/>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1"/>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1"/>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99.383538816253605</v>
      </c>
      <c r="AN9" s="3148">
        <f t="shared" si="49"/>
        <v>101.20071204011386</v>
      </c>
      <c r="AO9" s="3148">
        <f t="shared" si="50"/>
        <v>101.97895256398031</v>
      </c>
      <c r="AP9" s="3148">
        <f t="shared" si="51"/>
        <v>98.80348192955455</v>
      </c>
      <c r="AQ9" s="3148">
        <f t="shared" si="52"/>
        <v>99.412754938790869</v>
      </c>
      <c r="AR9" s="3148">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1"/>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1"/>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1"/>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100.40769732900949</v>
      </c>
      <c r="AN10" s="3148">
        <f t="shared" si="49"/>
        <v>101.68881836828162</v>
      </c>
      <c r="AO10" s="3148">
        <f t="shared" si="50"/>
        <v>102.74957437176857</v>
      </c>
      <c r="AP10" s="3148">
        <f t="shared" si="51"/>
        <v>99.851927164784783</v>
      </c>
      <c r="AQ10" s="3148">
        <f t="shared" si="52"/>
        <v>99.333288308144361</v>
      </c>
      <c r="AR10" s="3148">
        <f t="shared" si="53"/>
        <v>102.74957437176857</v>
      </c>
    </row>
    <row r="11" spans="1:44" s="2045" customFormat="1" ht="13">
      <c r="A11" s="2900" t="s">
        <v>3374</v>
      </c>
      <c r="B11" s="2031">
        <v>2024</v>
      </c>
      <c r="C11" s="2042">
        <v>2</v>
      </c>
      <c r="D11" s="2007">
        <v>-0.59</v>
      </c>
      <c r="E11" s="2007">
        <v>-0.21</v>
      </c>
      <c r="F11" s="2007">
        <v>-1.38</v>
      </c>
      <c r="G11" s="2007">
        <v>-1.24</v>
      </c>
      <c r="H11" s="2912">
        <v>0.34</v>
      </c>
      <c r="I11" s="2008">
        <f t="shared" ref="I11:I24" si="87">F11</f>
        <v>-1.38</v>
      </c>
      <c r="J11" s="2901"/>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1"/>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1"/>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101.61693890194262</v>
      </c>
      <c r="AN11" s="3148">
        <f t="shared" si="49"/>
        <v>102.16901272810371</v>
      </c>
      <c r="AO11" s="3148">
        <f t="shared" si="50"/>
        <v>103.04841477461495</v>
      </c>
      <c r="AP11" s="3148">
        <f t="shared" si="51"/>
        <v>100.59634008138704</v>
      </c>
      <c r="AQ11" s="3148">
        <f t="shared" si="52"/>
        <v>99.542327195254401</v>
      </c>
      <c r="AR11" s="3148">
        <f t="shared" si="53"/>
        <v>103.04841477461495</v>
      </c>
    </row>
    <row r="12" spans="1:44" s="2045" customFormat="1" ht="13">
      <c r="A12" s="2900" t="s">
        <v>3373</v>
      </c>
      <c r="B12" s="2031">
        <v>2024</v>
      </c>
      <c r="C12" s="2042">
        <v>1</v>
      </c>
      <c r="D12" s="2007">
        <v>0.08</v>
      </c>
      <c r="E12" s="2007">
        <v>0.46</v>
      </c>
      <c r="F12" s="2007">
        <v>-0.16</v>
      </c>
      <c r="G12" s="2007">
        <v>0.26</v>
      </c>
      <c r="H12" s="2912">
        <v>0.59</v>
      </c>
      <c r="I12" s="2008">
        <f t="shared" si="87"/>
        <v>-0.16</v>
      </c>
      <c r="J12" s="2901"/>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1"/>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1"/>
      <c r="Y12" s="2028"/>
      <c r="Z12" s="2028"/>
      <c r="AA12" s="2028"/>
      <c r="AB12" s="2028"/>
      <c r="AC12" s="2028"/>
      <c r="AD12" s="2028"/>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102.22003712095626</v>
      </c>
      <c r="AN12" s="3148">
        <f t="shared" si="49"/>
        <v>102.38401916835726</v>
      </c>
      <c r="AO12" s="3148">
        <f t="shared" si="50"/>
        <v>104.49038204686165</v>
      </c>
      <c r="AP12" s="3148">
        <f t="shared" si="51"/>
        <v>101.85939659921733</v>
      </c>
      <c r="AQ12" s="3148">
        <f t="shared" si="52"/>
        <v>99.205030092938401</v>
      </c>
      <c r="AR12" s="3148">
        <f t="shared" si="53"/>
        <v>104.49038204686165</v>
      </c>
    </row>
    <row r="13" spans="1:44" s="2045" customFormat="1" ht="13">
      <c r="A13" s="2900" t="s">
        <v>3369</v>
      </c>
      <c r="B13" s="2031">
        <v>2023</v>
      </c>
      <c r="C13" s="2042">
        <v>4</v>
      </c>
      <c r="D13" s="2007">
        <v>0.19</v>
      </c>
      <c r="E13" s="2007">
        <v>0.24</v>
      </c>
      <c r="F13" s="2007">
        <v>-0.16</v>
      </c>
      <c r="G13" s="2007">
        <v>0.17</v>
      </c>
      <c r="H13" s="2912">
        <v>0.61</v>
      </c>
      <c r="I13" s="2008">
        <f>F13</f>
        <v>-0.16</v>
      </c>
      <c r="J13" s="2901"/>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1"/>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1"/>
      <c r="Y13" s="2028"/>
      <c r="Z13" s="2028"/>
      <c r="AA13" s="2028"/>
      <c r="AB13" s="2028"/>
      <c r="AC13" s="2028"/>
      <c r="AD13" s="2028"/>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102.13832645978844</v>
      </c>
      <c r="AN13" s="3148">
        <f t="shared" si="49"/>
        <v>101.91520920600962</v>
      </c>
      <c r="AO13" s="3148">
        <f t="shared" si="50"/>
        <v>104.65783458219317</v>
      </c>
      <c r="AP13" s="3148">
        <f t="shared" si="51"/>
        <v>101.5952489519423</v>
      </c>
      <c r="AQ13" s="3148">
        <f t="shared" si="52"/>
        <v>98.623153487362956</v>
      </c>
      <c r="AR13" s="3148">
        <f t="shared" si="53"/>
        <v>104.65783458219317</v>
      </c>
    </row>
    <row r="14" spans="1:44" s="2045" customFormat="1" ht="13">
      <c r="A14" s="2900" t="s">
        <v>3368</v>
      </c>
      <c r="B14" s="2031">
        <v>2023</v>
      </c>
      <c r="C14" s="2042">
        <v>3</v>
      </c>
      <c r="D14" s="2007">
        <v>0.25</v>
      </c>
      <c r="E14" s="2007">
        <v>0.5</v>
      </c>
      <c r="F14" s="2007">
        <v>0.31</v>
      </c>
      <c r="G14" s="2007">
        <v>0.21</v>
      </c>
      <c r="H14" s="2912">
        <v>0.43</v>
      </c>
      <c r="I14" s="2008">
        <f t="shared" si="87"/>
        <v>0.31</v>
      </c>
      <c r="J14" s="2901"/>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1"/>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1"/>
      <c r="Y14" s="2028"/>
      <c r="Z14" s="2028"/>
      <c r="AA14" s="2028"/>
      <c r="AB14" s="2028"/>
      <c r="AC14" s="2028"/>
      <c r="AD14" s="2028"/>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101.94463165963514</v>
      </c>
      <c r="AN14" s="3148">
        <f t="shared" si="49"/>
        <v>101.67119833001759</v>
      </c>
      <c r="AO14" s="3148">
        <f t="shared" si="50"/>
        <v>104.8255554709467</v>
      </c>
      <c r="AP14" s="3148">
        <f t="shared" si="51"/>
        <v>101.4228301407031</v>
      </c>
      <c r="AQ14" s="3148">
        <f t="shared" si="52"/>
        <v>98.025199768773433</v>
      </c>
      <c r="AR14" s="3148">
        <f t="shared" si="53"/>
        <v>104.8255554709467</v>
      </c>
    </row>
    <row r="15" spans="1:44" s="2045" customFormat="1" ht="13">
      <c r="A15" s="2900" t="s">
        <v>3366</v>
      </c>
      <c r="B15" s="2031">
        <v>2023</v>
      </c>
      <c r="C15" s="2042">
        <v>2</v>
      </c>
      <c r="D15" s="2007">
        <v>0.91</v>
      </c>
      <c r="E15" s="2007">
        <v>0.66</v>
      </c>
      <c r="F15" s="2007">
        <v>0.47</v>
      </c>
      <c r="G15" s="2007">
        <v>0.96</v>
      </c>
      <c r="H15" s="2912">
        <v>0.71</v>
      </c>
      <c r="I15" s="2008">
        <f t="shared" si="87"/>
        <v>0.47</v>
      </c>
      <c r="J15" s="2901"/>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1"/>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1"/>
      <c r="Y15" s="2028"/>
      <c r="Z15" s="2028"/>
      <c r="AA15" s="2028"/>
      <c r="AB15" s="2028"/>
      <c r="AC15" s="2028"/>
      <c r="AD15" s="2028"/>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101.69040564552134</v>
      </c>
      <c r="AN15" s="3148">
        <f t="shared" si="49"/>
        <v>101.16537147265433</v>
      </c>
      <c r="AO15" s="3148">
        <f t="shared" si="50"/>
        <v>104.50160050936765</v>
      </c>
      <c r="AP15" s="3148">
        <f t="shared" si="51"/>
        <v>101.21028853478006</v>
      </c>
      <c r="AQ15" s="3148">
        <f t="shared" si="52"/>
        <v>97.605496135391249</v>
      </c>
      <c r="AR15" s="3148">
        <f t="shared" si="53"/>
        <v>104.50160050936765</v>
      </c>
    </row>
    <row r="16" spans="1:44" s="2045" customFormat="1" ht="13">
      <c r="A16" s="2900" t="s">
        <v>3365</v>
      </c>
      <c r="B16" s="2031">
        <v>2023</v>
      </c>
      <c r="C16" s="2042">
        <v>1</v>
      </c>
      <c r="D16" s="2007">
        <v>0.89</v>
      </c>
      <c r="E16" s="2007">
        <v>0.74</v>
      </c>
      <c r="F16" s="2007">
        <v>0.56999999999999995</v>
      </c>
      <c r="G16" s="2007">
        <v>0.92</v>
      </c>
      <c r="H16" s="2912">
        <v>0.5</v>
      </c>
      <c r="I16" s="2008">
        <f t="shared" si="87"/>
        <v>0.56999999999999995</v>
      </c>
      <c r="J16" s="2901"/>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1"/>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1"/>
      <c r="Y16" s="2028"/>
      <c r="Z16" s="2028"/>
      <c r="AA16" s="2028"/>
      <c r="AB16" s="2028"/>
      <c r="AC16" s="2028"/>
      <c r="AD16" s="2028"/>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100.77336799675089</v>
      </c>
      <c r="AN16" s="3148">
        <f t="shared" si="49"/>
        <v>100.50205789057652</v>
      </c>
      <c r="AO16" s="3148">
        <f t="shared" si="50"/>
        <v>104.01274062841411</v>
      </c>
      <c r="AP16" s="3148">
        <f t="shared" si="51"/>
        <v>100.24790861210386</v>
      </c>
      <c r="AQ16" s="3148">
        <f t="shared" si="52"/>
        <v>96.917382718092782</v>
      </c>
      <c r="AR16" s="3148">
        <f t="shared" si="53"/>
        <v>104.01274062841411</v>
      </c>
    </row>
    <row r="17" spans="1:44" s="2045" customFormat="1" ht="13">
      <c r="A17" s="2900" t="s">
        <v>3364</v>
      </c>
      <c r="B17" s="2031">
        <v>2022</v>
      </c>
      <c r="C17" s="2042">
        <v>4</v>
      </c>
      <c r="D17" s="2007">
        <v>0.62</v>
      </c>
      <c r="E17" s="2007">
        <v>0.2</v>
      </c>
      <c r="F17" s="2007">
        <v>0.11</v>
      </c>
      <c r="G17" s="2007">
        <v>0.69</v>
      </c>
      <c r="H17" s="2912">
        <v>0.53</v>
      </c>
      <c r="I17" s="2008">
        <f t="shared" si="87"/>
        <v>0.11</v>
      </c>
      <c r="J17" s="2901"/>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1"/>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1"/>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99.884396864655471</v>
      </c>
      <c r="AN17" s="3148">
        <f t="shared" si="49"/>
        <v>99.763805728187918</v>
      </c>
      <c r="AO17" s="3148">
        <f t="shared" si="50"/>
        <v>103.42322822751726</v>
      </c>
      <c r="AP17" s="3148">
        <f t="shared" si="51"/>
        <v>99.334035485635994</v>
      </c>
      <c r="AQ17" s="3148">
        <f t="shared" si="52"/>
        <v>96.435206684669438</v>
      </c>
      <c r="AR17" s="3148">
        <f t="shared" si="53"/>
        <v>103.42322822751726</v>
      </c>
    </row>
    <row r="18" spans="1:44" s="2045" customFormat="1" ht="13">
      <c r="A18" s="2900" t="s">
        <v>3362</v>
      </c>
      <c r="B18" s="2031">
        <v>2022</v>
      </c>
      <c r="C18" s="2042">
        <v>3</v>
      </c>
      <c r="D18" s="2007">
        <v>0.66</v>
      </c>
      <c r="E18" s="2007">
        <v>0.32</v>
      </c>
      <c r="F18" s="2007">
        <v>0.23</v>
      </c>
      <c r="G18" s="2007">
        <v>0.72</v>
      </c>
      <c r="H18" s="2912">
        <v>0.63</v>
      </c>
      <c r="I18" s="2008">
        <f t="shared" si="87"/>
        <v>0.23</v>
      </c>
      <c r="J18" s="2901"/>
      <c r="K18" s="2043">
        <f t="shared" si="88"/>
        <v>6.6E-3</v>
      </c>
      <c r="L18" s="2028">
        <f t="shared" si="88"/>
        <v>3.2000000000000002E-3</v>
      </c>
      <c r="M18" s="2028">
        <f t="shared" si="88"/>
        <v>2.3E-3</v>
      </c>
      <c r="N18" s="2028">
        <f t="shared" si="88"/>
        <v>7.1999999999999998E-3</v>
      </c>
      <c r="O18" s="2028">
        <f t="shared" si="88"/>
        <v>6.3E-3</v>
      </c>
      <c r="P18" s="2028">
        <f t="shared" si="108"/>
        <v>2.3E-3</v>
      </c>
      <c r="Q18" s="2901"/>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1"/>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99.268929501744651</v>
      </c>
      <c r="AN18" s="3148">
        <f t="shared" si="49"/>
        <v>99.564676375437045</v>
      </c>
      <c r="AO18" s="3148">
        <f t="shared" si="50"/>
        <v>103.30958768106807</v>
      </c>
      <c r="AP18" s="3148">
        <f t="shared" si="51"/>
        <v>98.653327525708619</v>
      </c>
      <c r="AQ18" s="3148">
        <f t="shared" si="52"/>
        <v>95.926794672903043</v>
      </c>
      <c r="AR18" s="3148">
        <f t="shared" si="53"/>
        <v>103.30958768106807</v>
      </c>
    </row>
    <row r="19" spans="1:44" s="2045" customFormat="1" ht="13">
      <c r="A19" s="2900" t="s">
        <v>3353</v>
      </c>
      <c r="B19" s="2031">
        <v>2022</v>
      </c>
      <c r="C19" s="2042">
        <v>2</v>
      </c>
      <c r="D19" s="2007">
        <v>0.93</v>
      </c>
      <c r="E19" s="2007">
        <v>0.15</v>
      </c>
      <c r="F19" s="2007">
        <v>0.01</v>
      </c>
      <c r="G19" s="2007">
        <v>1.05</v>
      </c>
      <c r="H19" s="2912">
        <v>1.08</v>
      </c>
      <c r="I19" s="2008">
        <f t="shared" si="87"/>
        <v>0.01</v>
      </c>
      <c r="J19" s="2901"/>
      <c r="K19" s="2043">
        <f t="shared" si="88"/>
        <v>9.300000000000001E-3</v>
      </c>
      <c r="L19" s="2028">
        <f t="shared" si="88"/>
        <v>1.5E-3</v>
      </c>
      <c r="M19" s="2028">
        <f t="shared" si="88"/>
        <v>1E-4</v>
      </c>
      <c r="N19" s="2028">
        <f t="shared" si="88"/>
        <v>1.0500000000000001E-2</v>
      </c>
      <c r="O19" s="2028">
        <f t="shared" si="88"/>
        <v>1.0800000000000001E-2</v>
      </c>
      <c r="P19" s="2028">
        <f t="shared" si="108"/>
        <v>1E-4</v>
      </c>
      <c r="Q19" s="2901"/>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1"/>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98.618050369307227</v>
      </c>
      <c r="AN19" s="3148">
        <f t="shared" si="49"/>
        <v>99.247085701193214</v>
      </c>
      <c r="AO19" s="3148">
        <f t="shared" si="50"/>
        <v>103.07252088303709</v>
      </c>
      <c r="AP19" s="3148">
        <f t="shared" si="51"/>
        <v>97.948101197089571</v>
      </c>
      <c r="AQ19" s="3148">
        <f t="shared" si="52"/>
        <v>95.326239364904154</v>
      </c>
      <c r="AR19" s="3148">
        <f t="shared" si="53"/>
        <v>103.07252088303709</v>
      </c>
    </row>
    <row r="20" spans="1:44" s="2045" customFormat="1" ht="13">
      <c r="A20" s="2900" t="s">
        <v>2820</v>
      </c>
      <c r="B20" s="2031">
        <v>2022</v>
      </c>
      <c r="C20" s="2042">
        <v>1</v>
      </c>
      <c r="D20" s="2007">
        <v>0.89</v>
      </c>
      <c r="E20" s="2007">
        <v>0.44</v>
      </c>
      <c r="F20" s="2007">
        <v>0.37</v>
      </c>
      <c r="G20" s="2007">
        <v>0.96</v>
      </c>
      <c r="H20" s="2912">
        <v>0.64</v>
      </c>
      <c r="I20" s="2008">
        <f t="shared" si="87"/>
        <v>0.37</v>
      </c>
      <c r="J20" s="2901"/>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1"/>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1"/>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97.709353382846743</v>
      </c>
      <c r="AN20" s="3148">
        <f t="shared" si="49"/>
        <v>99.098438044127022</v>
      </c>
      <c r="AO20" s="3148">
        <f t="shared" si="50"/>
        <v>103.06221466157093</v>
      </c>
      <c r="AP20" s="3148">
        <f t="shared" si="51"/>
        <v>96.930332703700714</v>
      </c>
      <c r="AQ20" s="3148">
        <f t="shared" si="52"/>
        <v>94.307716031761146</v>
      </c>
      <c r="AR20" s="3148">
        <f t="shared" si="53"/>
        <v>103.06221466157093</v>
      </c>
    </row>
    <row r="21" spans="1:44" s="2045" customFormat="1" ht="13">
      <c r="A21" s="2900" t="s">
        <v>2821</v>
      </c>
      <c r="B21" s="2031">
        <v>2021</v>
      </c>
      <c r="C21" s="2042">
        <v>4</v>
      </c>
      <c r="D21" s="2007">
        <v>1.03</v>
      </c>
      <c r="E21" s="2007">
        <v>0.24</v>
      </c>
      <c r="F21" s="2007">
        <v>7.0000000000000007E-2</v>
      </c>
      <c r="G21" s="2007">
        <v>1.17</v>
      </c>
      <c r="H21" s="2912">
        <v>0.55000000000000004</v>
      </c>
      <c r="I21" s="2008">
        <f t="shared" si="87"/>
        <v>7.0000000000000007E-2</v>
      </c>
      <c r="J21" s="2901"/>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1"/>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1"/>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96.847411421198089</v>
      </c>
      <c r="AN21" s="3148">
        <f t="shared" si="49"/>
        <v>98.664315057872386</v>
      </c>
      <c r="AO21" s="3148">
        <f t="shared" si="50"/>
        <v>102.68229018787579</v>
      </c>
      <c r="AP21" s="3148">
        <f t="shared" si="51"/>
        <v>96.008649666898478</v>
      </c>
      <c r="AQ21" s="3148">
        <f t="shared" si="52"/>
        <v>93.70798492822054</v>
      </c>
      <c r="AR21" s="3148">
        <f t="shared" si="53"/>
        <v>102.68229018787579</v>
      </c>
    </row>
    <row r="22" spans="1:44" s="2045" customFormat="1" ht="13">
      <c r="A22" s="2900" t="s">
        <v>2822</v>
      </c>
      <c r="B22" s="2031">
        <v>2021</v>
      </c>
      <c r="C22" s="2042">
        <v>3</v>
      </c>
      <c r="D22" s="2007">
        <v>0.47</v>
      </c>
      <c r="E22" s="2007">
        <v>0.41</v>
      </c>
      <c r="F22" s="2007">
        <v>0.24</v>
      </c>
      <c r="G22" s="2007">
        <v>0.48</v>
      </c>
      <c r="H22" s="2912">
        <v>0.48</v>
      </c>
      <c r="I22" s="2008">
        <f t="shared" si="87"/>
        <v>0.24</v>
      </c>
      <c r="J22" s="2901"/>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1"/>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1"/>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95.860052876569426</v>
      </c>
      <c r="AN22" s="3148">
        <f t="shared" si="49"/>
        <v>98.428087647518353</v>
      </c>
      <c r="AO22" s="3148">
        <f t="shared" si="50"/>
        <v>102.61046286387109</v>
      </c>
      <c r="AP22" s="3148">
        <f t="shared" si="51"/>
        <v>94.898339099435077</v>
      </c>
      <c r="AQ22" s="3148">
        <f t="shared" si="52"/>
        <v>93.195410172273029</v>
      </c>
      <c r="AR22" s="3148">
        <f t="shared" si="53"/>
        <v>102.61046286387109</v>
      </c>
    </row>
    <row r="23" spans="1:44" s="2045" customFormat="1" ht="13">
      <c r="A23" s="2900" t="s">
        <v>2823</v>
      </c>
      <c r="B23" s="2031">
        <v>2021</v>
      </c>
      <c r="C23" s="2042">
        <v>2</v>
      </c>
      <c r="D23" s="2007">
        <v>0.92</v>
      </c>
      <c r="E23" s="2007">
        <v>0.72</v>
      </c>
      <c r="F23" s="2007">
        <v>0.41</v>
      </c>
      <c r="G23" s="2007">
        <v>0.95</v>
      </c>
      <c r="H23" s="2912">
        <v>1.01</v>
      </c>
      <c r="I23" s="2008">
        <f t="shared" si="87"/>
        <v>0.41</v>
      </c>
      <c r="J23" s="2901"/>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1"/>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1"/>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95.411618270697161</v>
      </c>
      <c r="AN23" s="3148">
        <f t="shared" si="49"/>
        <v>98.02618030825451</v>
      </c>
      <c r="AO23" s="3148">
        <f t="shared" si="50"/>
        <v>102.36478737417308</v>
      </c>
      <c r="AP23" s="3148">
        <f t="shared" si="51"/>
        <v>94.445003084628866</v>
      </c>
      <c r="AQ23" s="3148">
        <f t="shared" si="52"/>
        <v>92.750209168265357</v>
      </c>
      <c r="AR23" s="3148">
        <f t="shared" si="53"/>
        <v>102.36478737417308</v>
      </c>
    </row>
    <row r="24" spans="1:44" s="2923" customFormat="1" ht="14.5" thickBot="1">
      <c r="A24" s="2913" t="s">
        <v>2824</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6">
        <v>100</v>
      </c>
      <c r="AG24" s="3156">
        <v>100</v>
      </c>
      <c r="AH24" s="3156">
        <v>100</v>
      </c>
      <c r="AI24" s="3156">
        <v>100</v>
      </c>
      <c r="AJ24" s="3156">
        <v>100</v>
      </c>
      <c r="AK24" s="3156">
        <v>100</v>
      </c>
      <c r="AM24" s="3155">
        <f t="shared" si="48"/>
        <v>94.541833403386008</v>
      </c>
      <c r="AN24" s="3155">
        <f t="shared" si="49"/>
        <v>97.325437160697476</v>
      </c>
      <c r="AO24" s="3155">
        <f t="shared" si="50"/>
        <v>101.94680547173894</v>
      </c>
      <c r="AP24" s="3155">
        <f t="shared" si="51"/>
        <v>93.556219004090011</v>
      </c>
      <c r="AQ24" s="3155">
        <f t="shared" si="52"/>
        <v>91.82279889938161</v>
      </c>
      <c r="AR24" s="3155">
        <f t="shared" si="53"/>
        <v>101.94680547173894</v>
      </c>
    </row>
    <row r="25" spans="1:44" ht="14.5" thickTop="1"/>
    <row r="26" spans="1:44">
      <c r="A26" s="3138" t="s">
        <v>3379</v>
      </c>
    </row>
    <row r="27" spans="1:44">
      <c r="I27" s="1405" t="s">
        <v>2825</v>
      </c>
    </row>
    <row r="29" spans="1:44" s="2009" customFormat="1" ht="13">
      <c r="B29" s="2924" t="s">
        <v>3377</v>
      </c>
      <c r="C29" s="2925"/>
      <c r="D29" s="2925"/>
      <c r="E29" s="2925"/>
      <c r="F29" s="2925"/>
      <c r="G29" s="2925"/>
      <c r="H29" s="2925"/>
      <c r="I29" s="2925"/>
      <c r="J29" s="2891"/>
      <c r="K29" s="2925" t="s">
        <v>2826</v>
      </c>
      <c r="L29" s="2925"/>
      <c r="M29" s="2925"/>
      <c r="N29" s="2925"/>
      <c r="O29" s="2925"/>
      <c r="P29" s="2925"/>
      <c r="Q29" s="2891"/>
      <c r="R29" s="3486" t="s">
        <v>2827</v>
      </c>
      <c r="S29" s="3487"/>
      <c r="T29" s="3487"/>
      <c r="U29" s="3487"/>
      <c r="V29" s="3487"/>
      <c r="W29" s="3487"/>
      <c r="X29" s="2891"/>
      <c r="Y29" s="3486" t="s">
        <v>2828</v>
      </c>
      <c r="Z29" s="3487"/>
      <c r="AA29" s="3487"/>
      <c r="AB29" s="3487"/>
      <c r="AC29" s="3487"/>
      <c r="AD29" s="3487"/>
    </row>
    <row r="30" spans="1:44" s="2010" customFormat="1" ht="14.5" thickBot="1">
      <c r="B30" s="2876"/>
      <c r="C30" s="2877"/>
      <c r="D30" s="2011" t="s">
        <v>2829</v>
      </c>
      <c r="E30" s="2012" t="s">
        <v>2830</v>
      </c>
      <c r="F30" s="2012" t="s">
        <v>2831</v>
      </c>
      <c r="G30" s="2012" t="s">
        <v>2832</v>
      </c>
      <c r="H30" s="2012"/>
      <c r="I30" s="2012" t="s">
        <v>2833</v>
      </c>
      <c r="J30" s="2878"/>
      <c r="K30" s="2011" t="s">
        <v>2829</v>
      </c>
      <c r="L30" s="2012" t="s">
        <v>2830</v>
      </c>
      <c r="M30" s="2012" t="s">
        <v>2831</v>
      </c>
      <c r="N30" s="2012" t="s">
        <v>2832</v>
      </c>
      <c r="O30" s="2012"/>
      <c r="P30" s="2012" t="s">
        <v>2833</v>
      </c>
      <c r="Q30" s="2878"/>
      <c r="R30" s="2011" t="s">
        <v>2829</v>
      </c>
      <c r="S30" s="2012" t="s">
        <v>2830</v>
      </c>
      <c r="T30" s="2012" t="s">
        <v>2831</v>
      </c>
      <c r="U30" s="2012" t="s">
        <v>2832</v>
      </c>
      <c r="V30" s="2012"/>
      <c r="W30" s="2012" t="s">
        <v>2833</v>
      </c>
      <c r="X30" s="2878"/>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1" customFormat="1" ht="13">
      <c r="A31" s="2879" t="s">
        <v>2834</v>
      </c>
      <c r="B31" s="2880"/>
      <c r="E31" s="2881">
        <f t="shared" ref="E31:G31" si="115">ROUND(AVERAGEIF(E32:E52,"&lt;&gt;0"),2)</f>
        <v>0.09</v>
      </c>
      <c r="F31" s="2881">
        <f t="shared" si="115"/>
        <v>0.01</v>
      </c>
      <c r="G31" s="2881">
        <f t="shared" si="115"/>
        <v>0.24</v>
      </c>
      <c r="I31" s="2881">
        <f>F31</f>
        <v>0.01</v>
      </c>
      <c r="J31" s="2882"/>
      <c r="K31" s="2883"/>
      <c r="L31" s="2884">
        <f t="shared" ref="L31:N31" si="116">ROUND(AVERAGEIF(L32:L52,"&lt;&gt;0"),4)</f>
        <v>8.9999999999999998E-4</v>
      </c>
      <c r="M31" s="2884">
        <f t="shared" si="116"/>
        <v>1E-4</v>
      </c>
      <c r="N31" s="2884">
        <f t="shared" si="116"/>
        <v>2.3999999999999998E-3</v>
      </c>
      <c r="O31" s="2884"/>
      <c r="P31" s="2884">
        <f>M31</f>
        <v>1E-4</v>
      </c>
      <c r="Q31" s="2882"/>
      <c r="R31" s="2885"/>
      <c r="S31" s="2886">
        <f>ROUND(SUMPRODUCT(PRODUCT(1+L32:L52)),4)</f>
        <v>1.0153000000000001</v>
      </c>
      <c r="T31" s="2886">
        <f t="shared" ref="T31:U31" si="117">ROUND(SUMPRODUCT(PRODUCT(1+M32:M52)),4)</f>
        <v>1.0016</v>
      </c>
      <c r="U31" s="2886">
        <f t="shared" si="117"/>
        <v>1.044</v>
      </c>
      <c r="V31" s="2886"/>
      <c r="W31" s="2885">
        <f>T31</f>
        <v>1.0016</v>
      </c>
      <c r="X31" s="2882"/>
      <c r="Y31" s="2887"/>
      <c r="Z31" s="2888">
        <f t="shared" ref="Z31:AB31" si="118">ROUND(AVERAGEIF(Z32:Z52,"&lt;&gt;0"),4)</f>
        <v>3.3E-3</v>
      </c>
      <c r="AA31" s="2889">
        <f t="shared" si="118"/>
        <v>2.7000000000000001E-3</v>
      </c>
      <c r="AB31" s="2887">
        <f t="shared" si="118"/>
        <v>6.4999999999999997E-3</v>
      </c>
      <c r="AC31" s="2890"/>
      <c r="AD31" s="2887">
        <f>AA31</f>
        <v>2.7000000000000001E-3</v>
      </c>
    </row>
    <row r="32" spans="1:44" s="2009" customFormat="1" ht="13">
      <c r="B32" s="2025"/>
      <c r="J32" s="2891"/>
      <c r="K32" s="2892"/>
      <c r="L32" s="2893"/>
      <c r="M32" s="2893"/>
      <c r="N32" s="2893"/>
      <c r="O32" s="2893"/>
      <c r="P32" s="2893"/>
      <c r="Q32" s="2891"/>
      <c r="R32" s="2027"/>
      <c r="S32" s="2894"/>
      <c r="T32" s="2895"/>
      <c r="U32" s="2027"/>
      <c r="V32" s="2896"/>
      <c r="W32" s="2027"/>
      <c r="X32" s="2891"/>
      <c r="Y32" s="2028"/>
      <c r="Z32" s="2897"/>
      <c r="AA32" s="2898"/>
      <c r="AB32" s="2028"/>
      <c r="AC32" s="2899"/>
      <c r="AD32" s="2028"/>
    </row>
    <row r="33" spans="1:44" s="2045" customFormat="1">
      <c r="A33" s="2040" t="s">
        <v>3402</v>
      </c>
      <c r="B33" s="2031">
        <v>2025</v>
      </c>
      <c r="C33" s="2042">
        <v>4</v>
      </c>
      <c r="D33" s="2007"/>
      <c r="E33" s="2007">
        <v>0</v>
      </c>
      <c r="F33" s="2007">
        <v>0</v>
      </c>
      <c r="G33" s="2007">
        <v>0</v>
      </c>
      <c r="H33" s="2007"/>
      <c r="I33" s="2008">
        <f t="shared" ref="I33" si="119">F33</f>
        <v>0</v>
      </c>
      <c r="J33" s="2901"/>
      <c r="K33" s="2043"/>
      <c r="L33" s="2028">
        <f t="shared" ref="L33" si="120">E33/100</f>
        <v>0</v>
      </c>
      <c r="M33" s="2028">
        <f t="shared" ref="M33" si="121">F33/100</f>
        <v>0</v>
      </c>
      <c r="N33" s="2028">
        <f t="shared" ref="N33" si="122">G33/100</f>
        <v>0</v>
      </c>
      <c r="O33" s="2028"/>
      <c r="P33" s="2028">
        <f t="shared" ref="P33:P39" si="123">M33</f>
        <v>0</v>
      </c>
      <c r="Q33" s="2901"/>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1"/>
      <c r="Y33" s="2028"/>
      <c r="Z33" s="2897">
        <f t="shared" ref="Z33" si="125">IF(E33=0,0,ROUND(AVERAGE(E33:E46)/100,4))</f>
        <v>0</v>
      </c>
      <c r="AA33" s="2897">
        <f t="shared" ref="AA33" si="126">IF(F33=0,0,ROUND(AVERAGE(F33:F46)/100,4))</f>
        <v>0</v>
      </c>
      <c r="AB33" s="2897">
        <f t="shared" ref="AB33" si="127">IF(G33=0,0,ROUND(AVERAGE(G33:G46)/100,4))</f>
        <v>0</v>
      </c>
      <c r="AC33" s="2899"/>
      <c r="AD33" s="2028">
        <f t="shared" ref="AD33:AD39" si="128">IF(I33=0,0,ROUND(AVERAGE(I33:I46)/100,4))</f>
        <v>0</v>
      </c>
      <c r="AG33" s="3148">
        <f t="shared" ref="AG33:AG50" si="129">$AG$52*S33</f>
        <v>101.18</v>
      </c>
      <c r="AH33" s="3148">
        <f t="shared" ref="AH33:AH50" si="130">$AG$52*T33</f>
        <v>99.68</v>
      </c>
      <c r="AI33" s="3148">
        <f t="shared" ref="AI33:AI50" si="131">$AG$52*U33</f>
        <v>103.38000000000001</v>
      </c>
      <c r="AJ33" s="3150"/>
      <c r="AK33" s="3148">
        <f t="shared" ref="AK33:AK50" si="132">$AG$52*W33</f>
        <v>99.68</v>
      </c>
      <c r="AN33" s="3153">
        <v>100</v>
      </c>
      <c r="AO33" s="3153">
        <v>100</v>
      </c>
      <c r="AP33" s="3153">
        <v>100</v>
      </c>
      <c r="AQ33" s="3153"/>
      <c r="AR33" s="3153">
        <v>100</v>
      </c>
    </row>
    <row r="34" spans="1:44" s="2045" customFormat="1" ht="13">
      <c r="A34" s="2040" t="s">
        <v>3401</v>
      </c>
      <c r="B34" s="2031">
        <v>2025</v>
      </c>
      <c r="C34" s="2042">
        <v>3</v>
      </c>
      <c r="D34" s="2007"/>
      <c r="E34" s="2007">
        <v>0</v>
      </c>
      <c r="F34" s="2007">
        <v>0</v>
      </c>
      <c r="G34" s="2007">
        <v>0</v>
      </c>
      <c r="H34" s="2007"/>
      <c r="I34" s="2008">
        <f t="shared" ref="I34" si="133">F34</f>
        <v>0</v>
      </c>
      <c r="J34" s="2901"/>
      <c r="K34" s="2043"/>
      <c r="L34" s="2028">
        <f t="shared" ref="L34" si="134">E34/100</f>
        <v>0</v>
      </c>
      <c r="M34" s="2028">
        <f t="shared" ref="M34" si="135">F34/100</f>
        <v>0</v>
      </c>
      <c r="N34" s="2028">
        <f t="shared" ref="N34" si="136">G34/100</f>
        <v>0</v>
      </c>
      <c r="O34" s="2028"/>
      <c r="P34" s="2028">
        <f t="shared" si="123"/>
        <v>0</v>
      </c>
      <c r="Q34" s="2901"/>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1"/>
      <c r="Y34" s="2028"/>
      <c r="Z34" s="2897">
        <f t="shared" ref="Z34" si="137">IF(E34=0,0,ROUND(AVERAGE(E34:E47)/100,4))</f>
        <v>0</v>
      </c>
      <c r="AA34" s="2897">
        <f t="shared" ref="AA34" si="138">IF(F34=0,0,ROUND(AVERAGE(F34:F47)/100,4))</f>
        <v>0</v>
      </c>
      <c r="AB34" s="2897">
        <f t="shared" ref="AB34" si="139">IF(G34=0,0,ROUND(AVERAGE(G34:G47)/100,4))</f>
        <v>0</v>
      </c>
      <c r="AC34" s="2899"/>
      <c r="AD34" s="2028">
        <f t="shared" si="128"/>
        <v>0</v>
      </c>
      <c r="AG34" s="3148">
        <f t="shared" si="129"/>
        <v>101.18</v>
      </c>
      <c r="AH34" s="3148">
        <f t="shared" si="130"/>
        <v>99.68</v>
      </c>
      <c r="AI34" s="3148">
        <f t="shared" si="131"/>
        <v>103.38000000000001</v>
      </c>
      <c r="AJ34" s="3150"/>
      <c r="AK34" s="3148">
        <f t="shared" si="132"/>
        <v>99.68</v>
      </c>
      <c r="AN34" s="3148">
        <f>AN33/(1+E33/100)</f>
        <v>100</v>
      </c>
      <c r="AO34" s="3148">
        <f t="shared" ref="AO34:AR34" si="140">AO33/(1+F33/100)</f>
        <v>100</v>
      </c>
      <c r="AP34" s="3148">
        <f t="shared" si="140"/>
        <v>100</v>
      </c>
      <c r="AQ34" s="3148"/>
      <c r="AR34" s="3148">
        <f t="shared" si="140"/>
        <v>100</v>
      </c>
    </row>
    <row r="35" spans="1:44" s="2911" customFormat="1" ht="13">
      <c r="A35" s="2902" t="s">
        <v>3409</v>
      </c>
      <c r="B35" s="2903">
        <v>2025</v>
      </c>
      <c r="C35" s="2904">
        <v>2</v>
      </c>
      <c r="D35" s="2905"/>
      <c r="E35" s="2905">
        <v>-0.31</v>
      </c>
      <c r="F35" s="2905">
        <v>-1.03</v>
      </c>
      <c r="G35" s="2905">
        <v>0.03</v>
      </c>
      <c r="H35" s="2906"/>
      <c r="I35" s="2907">
        <f t="shared" ref="I35" si="141">F35</f>
        <v>-1.03</v>
      </c>
      <c r="J35" s="2908"/>
      <c r="K35" s="2909"/>
      <c r="L35" s="2910">
        <f t="shared" ref="L35" si="142">E35/100</f>
        <v>-3.0999999999999999E-3</v>
      </c>
      <c r="M35" s="2910">
        <f t="shared" ref="M35" si="143">F35/100</f>
        <v>-1.03E-2</v>
      </c>
      <c r="N35" s="2910">
        <f t="shared" ref="N35" si="144">G35/100</f>
        <v>2.9999999999999997E-4</v>
      </c>
      <c r="O35" s="2910"/>
      <c r="P35" s="2910">
        <f t="shared" si="123"/>
        <v>-1.03E-2</v>
      </c>
      <c r="Q35" s="2908"/>
      <c r="R35" s="2908"/>
      <c r="S35" s="2908">
        <f>ROUND(IF(项目基本情况!$B$8="出让",SUMPRODUCT(PRODUCT(1+L35:L$52)),SUMPRODUCT(PRODUCT(1+L35:L$51))),4)</f>
        <v>1.0118</v>
      </c>
      <c r="T35" s="2908">
        <f>ROUND(IF(项目基本情况!$B$8="出让",SUMPRODUCT(PRODUCT(1+M35:M$52)),SUMPRODUCT(PRODUCT(1+M35:M$51))),4)</f>
        <v>0.99680000000000002</v>
      </c>
      <c r="U35" s="2908">
        <f>ROUND(IF(项目基本情况!$B$8="出让",SUMPRODUCT(PRODUCT(1+N35:N$52)),SUMPRODUCT(PRODUCT(1+N35:N$51))),4)</f>
        <v>1.0338000000000001</v>
      </c>
      <c r="V35" s="2908"/>
      <c r="W35" s="2908">
        <f t="shared" si="124"/>
        <v>0.99680000000000002</v>
      </c>
      <c r="X35" s="2908"/>
      <c r="Y35" s="2910"/>
      <c r="Z35" s="2926">
        <f t="shared" ref="Z35" si="145">IF(E35=0,0,ROUND(AVERAGE(E35:E48)/100,4))</f>
        <v>-2.9999999999999997E-4</v>
      </c>
      <c r="AA35" s="2927">
        <f t="shared" ref="AA35" si="146">IF(F35=0,0,ROUND(AVERAGE(F35:F48)/100,4))</f>
        <v>-8.0000000000000004E-4</v>
      </c>
      <c r="AB35" s="2910">
        <f t="shared" ref="AB35" si="147">IF(G35=0,0,ROUND(AVERAGE(G35:G48)/100,4))</f>
        <v>5.0000000000000001E-4</v>
      </c>
      <c r="AC35" s="2928"/>
      <c r="AD35" s="2910">
        <f t="shared" si="128"/>
        <v>-8.0000000000000004E-4</v>
      </c>
      <c r="AG35" s="3149">
        <f t="shared" si="129"/>
        <v>101.18</v>
      </c>
      <c r="AH35" s="3149">
        <f t="shared" si="130"/>
        <v>99.68</v>
      </c>
      <c r="AI35" s="3149">
        <f t="shared" si="131"/>
        <v>103.38000000000001</v>
      </c>
      <c r="AJ35" s="3151"/>
      <c r="AK35" s="3149">
        <f t="shared" si="132"/>
        <v>99.68</v>
      </c>
      <c r="AN35" s="3149">
        <f t="shared" ref="AN35:AN52" si="148">AN34/(1+E34/100)</f>
        <v>100</v>
      </c>
      <c r="AO35" s="3149">
        <f t="shared" ref="AO35" si="149">AO34/(1+F34/100)</f>
        <v>100</v>
      </c>
      <c r="AP35" s="3149">
        <f t="shared" ref="AP35" si="150">AP34/(1+G34/100)</f>
        <v>100</v>
      </c>
      <c r="AQ35" s="3149"/>
      <c r="AR35" s="3149">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1"/>
      <c r="K36" s="2043"/>
      <c r="L36" s="2028">
        <f t="shared" ref="L36" si="153">E36/100</f>
        <v>-1.47E-2</v>
      </c>
      <c r="M36" s="2028">
        <f t="shared" ref="M36" si="154">F36/100</f>
        <v>-9.7999999999999997E-3</v>
      </c>
      <c r="N36" s="2028">
        <f t="shared" ref="N36" si="155">G36/100</f>
        <v>-5.1000000000000004E-3</v>
      </c>
      <c r="O36" s="2028"/>
      <c r="P36" s="2028">
        <f t="shared" si="123"/>
        <v>-9.7999999999999997E-3</v>
      </c>
      <c r="Q36" s="2901"/>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1"/>
      <c r="Y36" s="2028"/>
      <c r="Z36" s="2897">
        <f t="shared" ref="Z36" si="156">IF(E36=0,0,ROUND(AVERAGE(E36:E49)/100,4))</f>
        <v>4.0000000000000002E-4</v>
      </c>
      <c r="AA36" s="2897">
        <f t="shared" ref="AA36" si="157">IF(F36=0,0,ROUND(AVERAGE(F36:F49)/100,4))</f>
        <v>0</v>
      </c>
      <c r="AB36" s="2897">
        <f t="shared" ref="AB36" si="158">IF(G36=0,0,ROUND(AVERAGE(G36:G49)/100,4))</f>
        <v>1E-3</v>
      </c>
      <c r="AC36" s="2899"/>
      <c r="AD36" s="2028">
        <f t="shared" si="128"/>
        <v>0</v>
      </c>
      <c r="AG36" s="3148">
        <f t="shared" si="129"/>
        <v>101.49</v>
      </c>
      <c r="AH36" s="3148">
        <f t="shared" si="130"/>
        <v>100.72000000000001</v>
      </c>
      <c r="AI36" s="3148">
        <f t="shared" si="131"/>
        <v>103.35000000000001</v>
      </c>
      <c r="AJ36" s="3150"/>
      <c r="AK36" s="3148">
        <f t="shared" si="132"/>
        <v>100.72000000000001</v>
      </c>
      <c r="AN36" s="3148">
        <f t="shared" si="148"/>
        <v>100.31096398836392</v>
      </c>
      <c r="AO36" s="3148">
        <f t="shared" ref="AO36:AO52" si="159">AO35/(1+F35/100)</f>
        <v>101.04071940992219</v>
      </c>
      <c r="AP36" s="3148">
        <f t="shared" ref="AP36:AP52" si="160">AP35/(1+G35/100)</f>
        <v>99.970008997300809</v>
      </c>
      <c r="AQ36" s="3148"/>
      <c r="AR36" s="3148">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1"/>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1"/>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1"/>
      <c r="Y37" s="2028"/>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8">
        <f t="shared" si="128"/>
        <v>8.9999999999999998E-4</v>
      </c>
      <c r="AG37" s="3148">
        <f t="shared" si="129"/>
        <v>103.01</v>
      </c>
      <c r="AH37" s="3148">
        <f t="shared" si="130"/>
        <v>101.71</v>
      </c>
      <c r="AI37" s="3148">
        <f t="shared" si="131"/>
        <v>103.88</v>
      </c>
      <c r="AJ37" s="3150"/>
      <c r="AK37" s="3148">
        <f t="shared" si="132"/>
        <v>101.71</v>
      </c>
      <c r="AN37" s="3148">
        <f t="shared" si="148"/>
        <v>101.80753474917682</v>
      </c>
      <c r="AO37" s="3148">
        <f t="shared" si="159"/>
        <v>102.04071845073943</v>
      </c>
      <c r="AP37" s="3148">
        <f t="shared" si="160"/>
        <v>100.48246959222114</v>
      </c>
      <c r="AQ37" s="3148"/>
      <c r="AR37" s="3148">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1"/>
      <c r="K38" s="2043"/>
      <c r="L38" s="2028">
        <f t="shared" ref="L38" si="170">E38/100</f>
        <v>-6.6E-3</v>
      </c>
      <c r="M38" s="2028">
        <f t="shared" ref="M38" si="171">F38/100</f>
        <v>-5.1999999999999998E-3</v>
      </c>
      <c r="N38" s="2028">
        <f t="shared" ref="N38" si="172">G38/100</f>
        <v>-2.87E-2</v>
      </c>
      <c r="O38" s="2028"/>
      <c r="P38" s="2028">
        <f t="shared" si="123"/>
        <v>-5.1999999999999998E-3</v>
      </c>
      <c r="Q38" s="2901"/>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1"/>
      <c r="Y38" s="2028"/>
      <c r="Z38" s="2897">
        <f t="shared" ref="Z38:AB39" si="173">IF(E38=0,0,ROUND(AVERAGE(E38:E51)/100,4))</f>
        <v>2.5999999999999999E-3</v>
      </c>
      <c r="AA38" s="2897">
        <f t="shared" si="173"/>
        <v>1.6999999999999999E-3</v>
      </c>
      <c r="AB38" s="2897">
        <f t="shared" si="173"/>
        <v>3.3999999999999998E-3</v>
      </c>
      <c r="AC38" s="2899"/>
      <c r="AD38" s="2028">
        <f t="shared" si="128"/>
        <v>1.6999999999999999E-3</v>
      </c>
      <c r="AG38" s="3148">
        <f t="shared" si="129"/>
        <v>103.64</v>
      </c>
      <c r="AH38" s="3148">
        <f t="shared" si="130"/>
        <v>102.44</v>
      </c>
      <c r="AI38" s="3148">
        <f t="shared" si="131"/>
        <v>104.80000000000001</v>
      </c>
      <c r="AJ38" s="3150"/>
      <c r="AK38" s="3148">
        <f t="shared" si="132"/>
        <v>102.44</v>
      </c>
      <c r="AN38" s="3148">
        <f t="shared" si="148"/>
        <v>102.4323722197171</v>
      </c>
      <c r="AO38" s="3148">
        <f t="shared" si="159"/>
        <v>102.7703882070092</v>
      </c>
      <c r="AP38" s="3148">
        <f t="shared" si="160"/>
        <v>101.37456577100599</v>
      </c>
      <c r="AQ38" s="3148"/>
      <c r="AR38" s="3148">
        <f t="shared" si="161"/>
        <v>102.7703882070092</v>
      </c>
    </row>
    <row r="39" spans="1:44" s="2045" customFormat="1" ht="13">
      <c r="A39" s="2900" t="s">
        <v>3375</v>
      </c>
      <c r="B39" s="2031">
        <v>2024</v>
      </c>
      <c r="C39" s="2042">
        <v>2</v>
      </c>
      <c r="D39" s="2007"/>
      <c r="E39" s="2007">
        <v>-0.31</v>
      </c>
      <c r="F39" s="2007">
        <v>-0.39</v>
      </c>
      <c r="G39" s="2007">
        <v>1.23</v>
      </c>
      <c r="H39" s="2912"/>
      <c r="I39" s="2008">
        <f t="shared" ref="I39:I52" si="174">F39</f>
        <v>-0.39</v>
      </c>
      <c r="J39" s="2901"/>
      <c r="K39" s="2043"/>
      <c r="L39" s="2028">
        <f t="shared" ref="L39:N52" si="175">E39/100</f>
        <v>-3.0999999999999999E-3</v>
      </c>
      <c r="M39" s="2028">
        <f t="shared" si="175"/>
        <v>-3.9000000000000003E-3</v>
      </c>
      <c r="N39" s="2028">
        <f t="shared" si="175"/>
        <v>1.23E-2</v>
      </c>
      <c r="O39" s="2028"/>
      <c r="P39" s="2028">
        <f t="shared" si="123"/>
        <v>-3.9000000000000003E-3</v>
      </c>
      <c r="Q39" s="2901"/>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1"/>
      <c r="Y39" s="2028"/>
      <c r="Z39" s="2897">
        <f t="shared" si="173"/>
        <v>3.3E-3</v>
      </c>
      <c r="AA39" s="2898">
        <f t="shared" si="173"/>
        <v>2.3999999999999998E-3</v>
      </c>
      <c r="AB39" s="2028">
        <f t="shared" si="173"/>
        <v>6.1999999999999998E-3</v>
      </c>
      <c r="AC39" s="2899"/>
      <c r="AD39" s="2028">
        <f t="shared" si="128"/>
        <v>2.3999999999999998E-3</v>
      </c>
      <c r="AG39" s="3148">
        <f t="shared" si="129"/>
        <v>104.32999999999998</v>
      </c>
      <c r="AH39" s="3148">
        <f t="shared" si="130"/>
        <v>102.98</v>
      </c>
      <c r="AI39" s="3148">
        <f t="shared" si="131"/>
        <v>107.89999999999999</v>
      </c>
      <c r="AJ39" s="3150"/>
      <c r="AK39" s="3148">
        <f t="shared" si="132"/>
        <v>102.98</v>
      </c>
      <c r="AN39" s="3148">
        <f t="shared" si="148"/>
        <v>103.11291747505244</v>
      </c>
      <c r="AO39" s="3148">
        <f t="shared" si="159"/>
        <v>103.30758766285605</v>
      </c>
      <c r="AP39" s="3148">
        <f t="shared" si="160"/>
        <v>104.36998432101923</v>
      </c>
      <c r="AQ39" s="3148"/>
      <c r="AR39" s="3148">
        <f t="shared" si="161"/>
        <v>103.30758766285605</v>
      </c>
    </row>
    <row r="40" spans="1:44" s="2045" customFormat="1" ht="13">
      <c r="A40" s="2900" t="s">
        <v>3372</v>
      </c>
      <c r="B40" s="2031">
        <v>2024</v>
      </c>
      <c r="C40" s="2042">
        <v>1</v>
      </c>
      <c r="D40" s="2007"/>
      <c r="E40" s="2007">
        <v>0.25</v>
      </c>
      <c r="F40" s="2007">
        <v>0.4</v>
      </c>
      <c r="G40" s="2007">
        <v>-0.63</v>
      </c>
      <c r="H40" s="2912"/>
      <c r="I40" s="2008">
        <f t="shared" ref="I40:I41" si="176">F40</f>
        <v>0.4</v>
      </c>
      <c r="J40" s="2901"/>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1"/>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1"/>
      <c r="Y40" s="2028"/>
      <c r="Z40" s="2897"/>
      <c r="AA40" s="2898"/>
      <c r="AB40" s="2028"/>
      <c r="AC40" s="2899"/>
      <c r="AD40" s="2028"/>
      <c r="AG40" s="3148">
        <f t="shared" si="129"/>
        <v>104.65</v>
      </c>
      <c r="AH40" s="3148">
        <f t="shared" si="130"/>
        <v>103.38000000000001</v>
      </c>
      <c r="AI40" s="3148">
        <f t="shared" si="131"/>
        <v>106.59</v>
      </c>
      <c r="AJ40" s="3150"/>
      <c r="AK40" s="3148">
        <f t="shared" si="132"/>
        <v>103.38000000000001</v>
      </c>
      <c r="AN40" s="3148">
        <f t="shared" si="148"/>
        <v>103.43356151575126</v>
      </c>
      <c r="AO40" s="3148">
        <f t="shared" si="159"/>
        <v>103.7120647152455</v>
      </c>
      <c r="AP40" s="3148">
        <f t="shared" si="160"/>
        <v>103.10183179000221</v>
      </c>
      <c r="AQ40" s="3148"/>
      <c r="AR40" s="3148">
        <f t="shared" si="161"/>
        <v>103.7120647152455</v>
      </c>
    </row>
    <row r="41" spans="1:44" s="2045" customFormat="1" ht="13">
      <c r="A41" s="2900" t="s">
        <v>3370</v>
      </c>
      <c r="B41" s="2031">
        <v>2023</v>
      </c>
      <c r="C41" s="2042">
        <v>4</v>
      </c>
      <c r="D41" s="2007"/>
      <c r="E41" s="2007">
        <v>7.0000000000000007E-2</v>
      </c>
      <c r="F41" s="2007">
        <v>0.09</v>
      </c>
      <c r="G41" s="2007">
        <v>0.03</v>
      </c>
      <c r="H41" s="2912"/>
      <c r="I41" s="2008">
        <f t="shared" si="176"/>
        <v>0.09</v>
      </c>
      <c r="J41" s="2901"/>
      <c r="K41" s="2043"/>
      <c r="L41" s="2028">
        <f t="shared" si="175"/>
        <v>7.000000000000001E-4</v>
      </c>
      <c r="M41" s="2028">
        <f t="shared" si="175"/>
        <v>8.9999999999999998E-4</v>
      </c>
      <c r="N41" s="2028">
        <f t="shared" si="175"/>
        <v>2.9999999999999997E-4</v>
      </c>
      <c r="O41" s="2028"/>
      <c r="P41" s="2028">
        <f t="shared" ref="P41" si="182">M41</f>
        <v>8.9999999999999998E-4</v>
      </c>
      <c r="Q41" s="2901"/>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1"/>
      <c r="Y41" s="2028"/>
      <c r="Z41" s="2897"/>
      <c r="AA41" s="2898"/>
      <c r="AB41" s="2028"/>
      <c r="AC41" s="2899"/>
      <c r="AD41" s="2028"/>
      <c r="AG41" s="3148">
        <f t="shared" si="129"/>
        <v>104.39</v>
      </c>
      <c r="AH41" s="3148">
        <f t="shared" si="130"/>
        <v>102.97</v>
      </c>
      <c r="AI41" s="3148">
        <f t="shared" si="131"/>
        <v>107.27</v>
      </c>
      <c r="AJ41" s="3150"/>
      <c r="AK41" s="3148">
        <f t="shared" si="132"/>
        <v>102.97</v>
      </c>
      <c r="AN41" s="3148">
        <f t="shared" si="148"/>
        <v>103.17562245960227</v>
      </c>
      <c r="AO41" s="3148">
        <f t="shared" si="159"/>
        <v>103.29886923829234</v>
      </c>
      <c r="AP41" s="3148">
        <f t="shared" si="160"/>
        <v>103.75549138573231</v>
      </c>
      <c r="AQ41" s="3148"/>
      <c r="AR41" s="3148">
        <f t="shared" si="161"/>
        <v>103.29886923829234</v>
      </c>
    </row>
    <row r="42" spans="1:44" s="2045" customFormat="1" ht="13">
      <c r="A42" s="2900" t="s">
        <v>3368</v>
      </c>
      <c r="B42" s="2031">
        <v>2023</v>
      </c>
      <c r="C42" s="2042">
        <v>3</v>
      </c>
      <c r="D42" s="2007"/>
      <c r="E42" s="2007">
        <v>0.35</v>
      </c>
      <c r="F42" s="2007">
        <v>0.17</v>
      </c>
      <c r="G42" s="2007">
        <v>0.52</v>
      </c>
      <c r="H42" s="2912"/>
      <c r="I42" s="2008">
        <f t="shared" si="174"/>
        <v>0.17</v>
      </c>
      <c r="J42" s="2901"/>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1"/>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1"/>
      <c r="Y42" s="2028"/>
      <c r="Z42" s="2897"/>
      <c r="AA42" s="2898"/>
      <c r="AB42" s="2028"/>
      <c r="AC42" s="2899"/>
      <c r="AD42" s="2028"/>
      <c r="AG42" s="3148">
        <f t="shared" si="129"/>
        <v>104.32</v>
      </c>
      <c r="AH42" s="3148">
        <f t="shared" si="130"/>
        <v>102.86999999999999</v>
      </c>
      <c r="AI42" s="3148">
        <f t="shared" si="131"/>
        <v>107.23</v>
      </c>
      <c r="AJ42" s="3150"/>
      <c r="AK42" s="3148">
        <f t="shared" si="132"/>
        <v>102.86999999999999</v>
      </c>
      <c r="AN42" s="3148">
        <f t="shared" si="148"/>
        <v>103.10345004457108</v>
      </c>
      <c r="AO42" s="3148">
        <f t="shared" si="159"/>
        <v>103.20598385282482</v>
      </c>
      <c r="AP42" s="3148">
        <f t="shared" si="160"/>
        <v>103.72437407351026</v>
      </c>
      <c r="AQ42" s="3148"/>
      <c r="AR42" s="3148">
        <f t="shared" si="161"/>
        <v>103.20598385282482</v>
      </c>
    </row>
    <row r="43" spans="1:44" s="2045" customFormat="1" ht="13">
      <c r="A43" s="2900" t="s">
        <v>3367</v>
      </c>
      <c r="B43" s="2031">
        <v>2023</v>
      </c>
      <c r="C43" s="2042">
        <v>2</v>
      </c>
      <c r="D43" s="2007"/>
      <c r="E43" s="2007">
        <v>0.5</v>
      </c>
      <c r="F43" s="2007">
        <v>0.45</v>
      </c>
      <c r="G43" s="2007">
        <v>0.89</v>
      </c>
      <c r="H43" s="2912"/>
      <c r="I43" s="2008">
        <f t="shared" si="174"/>
        <v>0.45</v>
      </c>
      <c r="J43" s="2901"/>
      <c r="K43" s="2043"/>
      <c r="L43" s="2028">
        <f t="shared" si="184"/>
        <v>5.0000000000000001E-3</v>
      </c>
      <c r="M43" s="2028">
        <f t="shared" si="185"/>
        <v>4.5000000000000005E-3</v>
      </c>
      <c r="N43" s="2028">
        <f t="shared" si="186"/>
        <v>8.8999999999999999E-3</v>
      </c>
      <c r="O43" s="2028"/>
      <c r="P43" s="2028">
        <f t="shared" si="187"/>
        <v>4.5000000000000005E-3</v>
      </c>
      <c r="Q43" s="2901"/>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1"/>
      <c r="Y43" s="2028"/>
      <c r="Z43" s="2897"/>
      <c r="AA43" s="2898"/>
      <c r="AB43" s="2028"/>
      <c r="AC43" s="2899"/>
      <c r="AD43" s="2028"/>
      <c r="AG43" s="3148">
        <f t="shared" si="129"/>
        <v>103.96000000000001</v>
      </c>
      <c r="AH43" s="3148">
        <f t="shared" si="130"/>
        <v>102.69999999999999</v>
      </c>
      <c r="AI43" s="3148">
        <f t="shared" si="131"/>
        <v>106.67999999999999</v>
      </c>
      <c r="AJ43" s="3150"/>
      <c r="AK43" s="3148">
        <f t="shared" si="132"/>
        <v>102.69999999999999</v>
      </c>
      <c r="AN43" s="3148">
        <f t="shared" si="148"/>
        <v>102.74384658153569</v>
      </c>
      <c r="AO43" s="3148">
        <f t="shared" si="159"/>
        <v>103.03083143937786</v>
      </c>
      <c r="AP43" s="3148">
        <f t="shared" si="160"/>
        <v>103.18779752637312</v>
      </c>
      <c r="AQ43" s="3148"/>
      <c r="AR43" s="3148">
        <f t="shared" si="161"/>
        <v>103.03083143937786</v>
      </c>
    </row>
    <row r="44" spans="1:44" s="2045" customFormat="1" ht="13">
      <c r="A44" s="2900" t="s">
        <v>3365</v>
      </c>
      <c r="B44" s="2031">
        <v>2023</v>
      </c>
      <c r="C44" s="2042">
        <v>1</v>
      </c>
      <c r="D44" s="2007"/>
      <c r="E44" s="2007">
        <v>0.55000000000000004</v>
      </c>
      <c r="F44" s="2007">
        <v>0.59</v>
      </c>
      <c r="G44" s="2007">
        <v>0.64</v>
      </c>
      <c r="H44" s="2912"/>
      <c r="I44" s="2008">
        <f t="shared" si="174"/>
        <v>0.59</v>
      </c>
      <c r="J44" s="2901"/>
      <c r="K44" s="2043"/>
      <c r="L44" s="2028">
        <f t="shared" si="184"/>
        <v>5.5000000000000005E-3</v>
      </c>
      <c r="M44" s="2028">
        <f t="shared" si="185"/>
        <v>5.8999999999999999E-3</v>
      </c>
      <c r="N44" s="2028">
        <f t="shared" si="186"/>
        <v>6.4000000000000003E-3</v>
      </c>
      <c r="O44" s="2028"/>
      <c r="P44" s="2028">
        <f t="shared" si="187"/>
        <v>5.8999999999999999E-3</v>
      </c>
      <c r="Q44" s="2901"/>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1"/>
      <c r="Y44" s="2028"/>
      <c r="Z44" s="2897"/>
      <c r="AA44" s="2898"/>
      <c r="AB44" s="2028"/>
      <c r="AC44" s="2899"/>
      <c r="AD44" s="2028"/>
      <c r="AG44" s="3148">
        <f t="shared" si="129"/>
        <v>103.44</v>
      </c>
      <c r="AH44" s="3148">
        <f t="shared" si="130"/>
        <v>102.24</v>
      </c>
      <c r="AI44" s="3148">
        <f t="shared" si="131"/>
        <v>105.74</v>
      </c>
      <c r="AJ44" s="3150"/>
      <c r="AK44" s="3148">
        <f t="shared" si="132"/>
        <v>102.24</v>
      </c>
      <c r="AN44" s="3148">
        <f t="shared" si="148"/>
        <v>102.23268316570717</v>
      </c>
      <c r="AO44" s="3148">
        <f t="shared" si="159"/>
        <v>102.56926972561261</v>
      </c>
      <c r="AP44" s="3148">
        <f t="shared" si="160"/>
        <v>102.27752753134416</v>
      </c>
      <c r="AQ44" s="3148"/>
      <c r="AR44" s="3148">
        <f t="shared" si="161"/>
        <v>102.56926972561261</v>
      </c>
    </row>
    <row r="45" spans="1:44" s="2045" customFormat="1" ht="13">
      <c r="A45" s="2900" t="s">
        <v>3364</v>
      </c>
      <c r="B45" s="2031">
        <v>2022</v>
      </c>
      <c r="C45" s="2042">
        <v>4</v>
      </c>
      <c r="D45" s="2007"/>
      <c r="E45" s="2007">
        <v>0.45</v>
      </c>
      <c r="F45" s="2007">
        <v>0.2</v>
      </c>
      <c r="G45" s="2007">
        <v>0.38</v>
      </c>
      <c r="H45" s="2912"/>
      <c r="I45" s="2008">
        <f t="shared" si="174"/>
        <v>0.2</v>
      </c>
      <c r="J45" s="2901"/>
      <c r="K45" s="2043"/>
      <c r="L45" s="2028">
        <f t="shared" si="175"/>
        <v>4.5000000000000005E-3</v>
      </c>
      <c r="M45" s="2028">
        <f t="shared" si="175"/>
        <v>2E-3</v>
      </c>
      <c r="N45" s="2028">
        <f t="shared" si="175"/>
        <v>3.8E-3</v>
      </c>
      <c r="O45" s="2028"/>
      <c r="P45" s="2028">
        <f t="shared" ref="P45:P52" si="189">M45</f>
        <v>2E-3</v>
      </c>
      <c r="Q45" s="2901"/>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1"/>
      <c r="Y45" s="2028"/>
      <c r="Z45" s="2897">
        <f t="shared" ref="Z45:AD52" si="191">IF(E45=0,0,ROUND(AVERAGE(E45:E53)/100,4))</f>
        <v>4.0000000000000001E-3</v>
      </c>
      <c r="AA45" s="2898">
        <f t="shared" si="191"/>
        <v>2.5999999999999999E-3</v>
      </c>
      <c r="AB45" s="2028">
        <f t="shared" si="191"/>
        <v>7.4000000000000003E-3</v>
      </c>
      <c r="AC45" s="2899"/>
      <c r="AD45" s="2028">
        <f t="shared" si="191"/>
        <v>2.5999999999999999E-3</v>
      </c>
      <c r="AG45" s="3148">
        <f t="shared" si="129"/>
        <v>102.86999999999999</v>
      </c>
      <c r="AH45" s="3148">
        <f t="shared" si="130"/>
        <v>101.64</v>
      </c>
      <c r="AI45" s="3148">
        <f t="shared" si="131"/>
        <v>105.06</v>
      </c>
      <c r="AJ45" s="3150"/>
      <c r="AK45" s="3148">
        <f t="shared" si="132"/>
        <v>101.64</v>
      </c>
      <c r="AN45" s="3148">
        <f t="shared" si="148"/>
        <v>101.67347903103646</v>
      </c>
      <c r="AO45" s="3148">
        <f t="shared" si="159"/>
        <v>101.96766052849449</v>
      </c>
      <c r="AP45" s="3148">
        <f t="shared" si="160"/>
        <v>101.62711400173308</v>
      </c>
      <c r="AQ45" s="3148"/>
      <c r="AR45" s="3148">
        <f t="shared" si="161"/>
        <v>101.96766052849449</v>
      </c>
    </row>
    <row r="46" spans="1:44" s="2045" customFormat="1" ht="13">
      <c r="A46" s="2900" t="s">
        <v>3363</v>
      </c>
      <c r="B46" s="2031">
        <v>2022</v>
      </c>
      <c r="C46" s="2042">
        <v>3</v>
      </c>
      <c r="D46" s="2007"/>
      <c r="E46" s="2007">
        <v>0.3</v>
      </c>
      <c r="F46" s="2007">
        <v>0.28999999999999998</v>
      </c>
      <c r="G46" s="2007">
        <v>0.83</v>
      </c>
      <c r="H46" s="2912"/>
      <c r="I46" s="2008">
        <f t="shared" si="174"/>
        <v>0.28999999999999998</v>
      </c>
      <c r="J46" s="2901"/>
      <c r="K46" s="2043"/>
      <c r="L46" s="2028">
        <f t="shared" si="175"/>
        <v>3.0000000000000001E-3</v>
      </c>
      <c r="M46" s="2028">
        <f t="shared" si="175"/>
        <v>2.8999999999999998E-3</v>
      </c>
      <c r="N46" s="2028">
        <f t="shared" si="175"/>
        <v>8.3000000000000001E-3</v>
      </c>
      <c r="O46" s="2028"/>
      <c r="P46" s="2028">
        <f t="shared" si="189"/>
        <v>2.8999999999999998E-3</v>
      </c>
      <c r="Q46" s="2901"/>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1"/>
      <c r="Y46" s="2028"/>
      <c r="Z46" s="2897">
        <f t="shared" si="191"/>
        <v>3.8999999999999998E-3</v>
      </c>
      <c r="AA46" s="2898">
        <f t="shared" si="191"/>
        <v>2.7000000000000001E-3</v>
      </c>
      <c r="AB46" s="2028">
        <f t="shared" si="191"/>
        <v>7.9000000000000008E-3</v>
      </c>
      <c r="AC46" s="2899"/>
      <c r="AD46" s="2028">
        <f t="shared" si="191"/>
        <v>2.7000000000000001E-3</v>
      </c>
      <c r="AG46" s="3148">
        <f t="shared" si="129"/>
        <v>102.41</v>
      </c>
      <c r="AH46" s="3148">
        <f t="shared" si="130"/>
        <v>101.44</v>
      </c>
      <c r="AI46" s="3148">
        <f t="shared" si="131"/>
        <v>104.67</v>
      </c>
      <c r="AJ46" s="3150"/>
      <c r="AK46" s="3148">
        <f t="shared" si="132"/>
        <v>101.44</v>
      </c>
      <c r="AN46" s="3148">
        <f t="shared" si="148"/>
        <v>101.21799803985711</v>
      </c>
      <c r="AO46" s="3148">
        <f t="shared" si="159"/>
        <v>101.76413226396656</v>
      </c>
      <c r="AP46" s="3148">
        <f t="shared" si="160"/>
        <v>101.24239290868009</v>
      </c>
      <c r="AQ46" s="3148"/>
      <c r="AR46" s="3148">
        <f t="shared" si="161"/>
        <v>101.76413226396656</v>
      </c>
    </row>
    <row r="47" spans="1:44" s="2045" customFormat="1" ht="13">
      <c r="A47" s="2900" t="s">
        <v>3353</v>
      </c>
      <c r="B47" s="2031">
        <v>2022</v>
      </c>
      <c r="C47" s="2042">
        <v>2</v>
      </c>
      <c r="D47" s="2007"/>
      <c r="E47" s="2007">
        <v>-0.11</v>
      </c>
      <c r="F47" s="2007">
        <v>-0.13</v>
      </c>
      <c r="G47" s="2007">
        <v>0.53</v>
      </c>
      <c r="H47" s="2912"/>
      <c r="I47" s="2008">
        <f t="shared" si="174"/>
        <v>-0.13</v>
      </c>
      <c r="J47" s="2901"/>
      <c r="K47" s="2043"/>
      <c r="L47" s="2028">
        <f t="shared" si="175"/>
        <v>-1.1000000000000001E-3</v>
      </c>
      <c r="M47" s="2028">
        <f t="shared" si="175"/>
        <v>-1.2999999999999999E-3</v>
      </c>
      <c r="N47" s="2028">
        <f t="shared" si="175"/>
        <v>5.3E-3</v>
      </c>
      <c r="O47" s="2028"/>
      <c r="P47" s="2028">
        <f t="shared" si="189"/>
        <v>-1.2999999999999999E-3</v>
      </c>
      <c r="Q47" s="2901"/>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1"/>
      <c r="Y47" s="2028"/>
      <c r="Z47" s="2897">
        <f t="shared" si="191"/>
        <v>4.1000000000000003E-3</v>
      </c>
      <c r="AA47" s="2898">
        <f t="shared" si="191"/>
        <v>2.7000000000000001E-3</v>
      </c>
      <c r="AB47" s="2028">
        <f t="shared" si="191"/>
        <v>7.9000000000000008E-3</v>
      </c>
      <c r="AC47" s="2899"/>
      <c r="AD47" s="2028">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100.9152522830081</v>
      </c>
      <c r="AO47" s="3148">
        <f t="shared" si="159"/>
        <v>101.46986964200475</v>
      </c>
      <c r="AP47" s="3148">
        <f t="shared" si="160"/>
        <v>100.40899822342566</v>
      </c>
      <c r="AQ47" s="3148"/>
      <c r="AR47" s="3148">
        <f t="shared" si="161"/>
        <v>101.46986964200475</v>
      </c>
    </row>
    <row r="48" spans="1:44" s="2045" customFormat="1" ht="13">
      <c r="A48" s="2900" t="s">
        <v>2835</v>
      </c>
      <c r="B48" s="2031">
        <v>2022</v>
      </c>
      <c r="C48" s="2042">
        <v>1</v>
      </c>
      <c r="D48" s="2007"/>
      <c r="E48" s="2007">
        <v>0.6</v>
      </c>
      <c r="F48" s="2007">
        <v>0.45</v>
      </c>
      <c r="G48" s="2007">
        <v>0.53</v>
      </c>
      <c r="H48" s="2912"/>
      <c r="I48" s="2008">
        <f t="shared" si="174"/>
        <v>0.45</v>
      </c>
      <c r="J48" s="2901"/>
      <c r="K48" s="2043"/>
      <c r="L48" s="2028">
        <f t="shared" si="175"/>
        <v>6.0000000000000001E-3</v>
      </c>
      <c r="M48" s="2028">
        <f t="shared" si="175"/>
        <v>4.5000000000000005E-3</v>
      </c>
      <c r="N48" s="2028">
        <f t="shared" si="175"/>
        <v>5.3E-3</v>
      </c>
      <c r="O48" s="2028"/>
      <c r="P48" s="2028">
        <f t="shared" si="189"/>
        <v>4.5000000000000005E-3</v>
      </c>
      <c r="Q48" s="2901"/>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1"/>
      <c r="Y48" s="2028"/>
      <c r="Z48" s="2897">
        <f t="shared" si="191"/>
        <v>5.1000000000000004E-3</v>
      </c>
      <c r="AA48" s="2898">
        <f t="shared" si="191"/>
        <v>3.5000000000000001E-3</v>
      </c>
      <c r="AB48" s="2028">
        <f t="shared" si="191"/>
        <v>8.3999999999999995E-3</v>
      </c>
      <c r="AC48" s="2899"/>
      <c r="AD48" s="2028">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101.02638130244078</v>
      </c>
      <c r="AO48" s="3148">
        <f t="shared" si="159"/>
        <v>101.60195217983853</v>
      </c>
      <c r="AP48" s="3148">
        <f t="shared" si="160"/>
        <v>99.879636151820989</v>
      </c>
      <c r="AQ48" s="3148"/>
      <c r="AR48" s="3148">
        <f t="shared" si="161"/>
        <v>101.60195217983853</v>
      </c>
    </row>
    <row r="49" spans="1:44" s="2045" customFormat="1" ht="13">
      <c r="A49" s="2900" t="s">
        <v>2836</v>
      </c>
      <c r="B49" s="2031">
        <v>2021</v>
      </c>
      <c r="C49" s="2042">
        <v>4</v>
      </c>
      <c r="D49" s="2007"/>
      <c r="E49" s="2007">
        <v>0.57999999999999996</v>
      </c>
      <c r="F49" s="2007">
        <v>0.08</v>
      </c>
      <c r="G49" s="2007">
        <v>0.68</v>
      </c>
      <c r="H49" s="2912"/>
      <c r="I49" s="2008">
        <f t="shared" si="174"/>
        <v>0.08</v>
      </c>
      <c r="J49" s="2901"/>
      <c r="K49" s="2043"/>
      <c r="L49" s="2028">
        <f t="shared" si="175"/>
        <v>5.7999999999999996E-3</v>
      </c>
      <c r="M49" s="2028">
        <f t="shared" si="175"/>
        <v>8.0000000000000004E-4</v>
      </c>
      <c r="N49" s="2028">
        <f t="shared" si="175"/>
        <v>6.8000000000000005E-3</v>
      </c>
      <c r="O49" s="2028"/>
      <c r="P49" s="2028">
        <f t="shared" si="189"/>
        <v>8.0000000000000004E-4</v>
      </c>
      <c r="Q49" s="2901"/>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1"/>
      <c r="Y49" s="2028"/>
      <c r="Z49" s="2897">
        <f t="shared" si="191"/>
        <v>4.8999999999999998E-3</v>
      </c>
      <c r="AA49" s="2898">
        <f t="shared" si="191"/>
        <v>3.3E-3</v>
      </c>
      <c r="AB49" s="2028">
        <f t="shared" si="191"/>
        <v>9.1999999999999998E-3</v>
      </c>
      <c r="AC49" s="2899"/>
      <c r="AD49" s="2028">
        <f t="shared" si="191"/>
        <v>3.3E-3</v>
      </c>
      <c r="AG49" s="3148">
        <f t="shared" si="129"/>
        <v>101.61</v>
      </c>
      <c r="AH49" s="3148">
        <f t="shared" si="130"/>
        <v>100.82</v>
      </c>
      <c r="AI49" s="3148">
        <f t="shared" si="131"/>
        <v>102.71</v>
      </c>
      <c r="AJ49" s="3150"/>
      <c r="AK49" s="3148">
        <f t="shared" si="132"/>
        <v>100.82</v>
      </c>
      <c r="AN49" s="3148">
        <f t="shared" si="148"/>
        <v>100.42383827280396</v>
      </c>
      <c r="AO49" s="3148">
        <f t="shared" si="159"/>
        <v>101.14679161755951</v>
      </c>
      <c r="AP49" s="3148">
        <f t="shared" si="160"/>
        <v>99.353064907809596</v>
      </c>
      <c r="AQ49" s="3148"/>
      <c r="AR49" s="3148">
        <f t="shared" si="161"/>
        <v>101.14679161755951</v>
      </c>
    </row>
    <row r="50" spans="1:44" s="2045" customFormat="1" ht="13">
      <c r="A50" s="2900" t="s">
        <v>2837</v>
      </c>
      <c r="B50" s="2031">
        <v>2021</v>
      </c>
      <c r="C50" s="2042">
        <v>3</v>
      </c>
      <c r="D50" s="2007"/>
      <c r="E50" s="2007">
        <v>0.47</v>
      </c>
      <c r="F50" s="2007">
        <v>0.28000000000000003</v>
      </c>
      <c r="G50" s="2007">
        <v>0.91</v>
      </c>
      <c r="H50" s="2912"/>
      <c r="I50" s="2008">
        <f t="shared" si="174"/>
        <v>0.28000000000000003</v>
      </c>
      <c r="J50" s="2901"/>
      <c r="K50" s="2043"/>
      <c r="L50" s="2028">
        <f t="shared" si="175"/>
        <v>4.6999999999999993E-3</v>
      </c>
      <c r="M50" s="2028">
        <f t="shared" si="175"/>
        <v>2.8000000000000004E-3</v>
      </c>
      <c r="N50" s="2028">
        <f t="shared" si="175"/>
        <v>9.1000000000000004E-3</v>
      </c>
      <c r="O50" s="2028"/>
      <c r="P50" s="2028">
        <f t="shared" si="189"/>
        <v>2.8000000000000004E-3</v>
      </c>
      <c r="Q50" s="2901"/>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1"/>
      <c r="Y50" s="2028"/>
      <c r="Z50" s="2897">
        <f t="shared" si="191"/>
        <v>4.5999999999999999E-3</v>
      </c>
      <c r="AA50" s="2898">
        <f t="shared" si="191"/>
        <v>4.1000000000000003E-3</v>
      </c>
      <c r="AB50" s="2028">
        <f t="shared" si="191"/>
        <v>0.01</v>
      </c>
      <c r="AC50" s="2899"/>
      <c r="AD50" s="2028">
        <f t="shared" si="191"/>
        <v>4.1000000000000003E-3</v>
      </c>
      <c r="AG50" s="3148">
        <f t="shared" si="129"/>
        <v>101.02</v>
      </c>
      <c r="AH50" s="3148">
        <f t="shared" si="130"/>
        <v>100.74000000000001</v>
      </c>
      <c r="AI50" s="3148">
        <f t="shared" si="131"/>
        <v>102.02</v>
      </c>
      <c r="AJ50" s="3150"/>
      <c r="AK50" s="3148">
        <f t="shared" si="132"/>
        <v>100.74000000000001</v>
      </c>
      <c r="AN50" s="3148">
        <f t="shared" si="148"/>
        <v>99.844738787834515</v>
      </c>
      <c r="AO50" s="3148">
        <f t="shared" si="159"/>
        <v>101.06593886646635</v>
      </c>
      <c r="AP50" s="3148">
        <f t="shared" si="160"/>
        <v>98.682027123370688</v>
      </c>
      <c r="AQ50" s="3148"/>
      <c r="AR50" s="3148">
        <f t="shared" si="161"/>
        <v>101.06593886646635</v>
      </c>
    </row>
    <row r="51" spans="1:44" s="2045" customFormat="1" ht="13">
      <c r="A51" s="2900" t="s">
        <v>2838</v>
      </c>
      <c r="B51" s="2031">
        <v>2021</v>
      </c>
      <c r="C51" s="2042">
        <v>2</v>
      </c>
      <c r="D51" s="2007"/>
      <c r="E51" s="2007">
        <v>0.55000000000000004</v>
      </c>
      <c r="F51" s="2007">
        <v>0.46</v>
      </c>
      <c r="G51" s="2007">
        <v>1.1000000000000001</v>
      </c>
      <c r="H51" s="2912"/>
      <c r="I51" s="2008">
        <f t="shared" si="174"/>
        <v>0.46</v>
      </c>
      <c r="J51" s="2901"/>
      <c r="K51" s="2043"/>
      <c r="L51" s="2028">
        <f t="shared" si="175"/>
        <v>5.5000000000000005E-3</v>
      </c>
      <c r="M51" s="2028">
        <f t="shared" si="175"/>
        <v>4.5999999999999999E-3</v>
      </c>
      <c r="N51" s="2028">
        <f t="shared" si="175"/>
        <v>1.1000000000000001E-2</v>
      </c>
      <c r="O51" s="2028"/>
      <c r="P51" s="2028">
        <f t="shared" si="189"/>
        <v>4.5999999999999999E-3</v>
      </c>
      <c r="Q51" s="2901"/>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1"/>
      <c r="Y51" s="2028"/>
      <c r="Z51" s="2897">
        <f t="shared" si="191"/>
        <v>4.4999999999999997E-3</v>
      </c>
      <c r="AA51" s="2898">
        <f t="shared" si="191"/>
        <v>4.7000000000000002E-3</v>
      </c>
      <c r="AB51" s="2028">
        <f t="shared" si="191"/>
        <v>1.04E-2</v>
      </c>
      <c r="AC51" s="2899"/>
      <c r="AD51" s="2028">
        <f t="shared" si="191"/>
        <v>4.7000000000000002E-3</v>
      </c>
      <c r="AG51" s="3148">
        <f>$AG$52*S51</f>
        <v>100.55000000000001</v>
      </c>
      <c r="AH51" s="3148">
        <f t="shared" ref="AH51:AK51" si="192">$AG$52*T51</f>
        <v>100.46</v>
      </c>
      <c r="AI51" s="3148">
        <f t="shared" si="192"/>
        <v>101.1</v>
      </c>
      <c r="AJ51" s="3150"/>
      <c r="AK51" s="3148">
        <f t="shared" si="192"/>
        <v>100.46</v>
      </c>
      <c r="AN51" s="3148">
        <f t="shared" si="148"/>
        <v>99.377663768124336</v>
      </c>
      <c r="AO51" s="3148">
        <f t="shared" si="159"/>
        <v>100.78374438219622</v>
      </c>
      <c r="AP51" s="3148">
        <f t="shared" si="160"/>
        <v>97.7921188419093</v>
      </c>
      <c r="AQ51" s="3148"/>
      <c r="AR51" s="3148">
        <f t="shared" si="161"/>
        <v>100.78374438219622</v>
      </c>
    </row>
    <row r="52" spans="1:44" s="2923" customFormat="1" ht="14.5" thickBot="1">
      <c r="A52" s="2913" t="s">
        <v>2824</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2">
        <v>100</v>
      </c>
      <c r="AH52" s="3152">
        <v>100</v>
      </c>
      <c r="AI52" s="3152">
        <v>100</v>
      </c>
      <c r="AJ52" s="3152"/>
      <c r="AK52" s="3152">
        <v>100</v>
      </c>
      <c r="AN52" s="3155">
        <f t="shared" si="148"/>
        <v>98.83407634820918</v>
      </c>
      <c r="AO52" s="3155">
        <f t="shared" si="159"/>
        <v>100.32226197710156</v>
      </c>
      <c r="AP52" s="3155">
        <f t="shared" si="160"/>
        <v>96.728109635914251</v>
      </c>
      <c r="AQ52" s="3155"/>
      <c r="AR52" s="3155">
        <f t="shared" si="161"/>
        <v>100.32226197710156</v>
      </c>
    </row>
    <row r="53" spans="1:44" ht="14.5" thickTop="1"/>
    <row r="54" spans="1:44">
      <c r="A54" s="313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77" customWidth="1"/>
    <col min="2" max="2" width="18.6328125" style="2777" customWidth="1"/>
    <col min="3" max="6" width="10.26953125" style="2777" customWidth="1"/>
    <col min="7" max="7" width="10.453125" style="2777" bestFit="1" customWidth="1"/>
    <col min="8" max="8" width="8.90625" style="2776"/>
    <col min="9" max="9" width="13.36328125" style="2776" customWidth="1"/>
    <col min="10" max="13" width="13.36328125" style="2777" customWidth="1"/>
    <col min="14" max="14" width="18.26953125" style="2777" customWidth="1"/>
    <col min="15" max="17" width="15.08984375" style="2777" customWidth="1"/>
    <col min="18" max="20" width="11.453125" style="2777" customWidth="1"/>
    <col min="21" max="16384" width="8.90625" style="2777"/>
  </cols>
  <sheetData>
    <row r="1" spans="1:20" ht="12.5" thickBot="1">
      <c r="A1" s="3499" t="s">
        <v>2839</v>
      </c>
      <c r="B1" s="3499"/>
      <c r="C1" s="3499"/>
      <c r="D1" s="3499"/>
      <c r="E1" s="3499"/>
      <c r="F1" s="3499"/>
      <c r="G1" s="3500"/>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2.5"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497" t="s">
        <v>2866</v>
      </c>
      <c r="B3" s="2939"/>
      <c r="C3" s="2940" t="s">
        <v>2811</v>
      </c>
      <c r="D3" s="2940" t="s">
        <v>2867</v>
      </c>
      <c r="E3" s="2940" t="s">
        <v>2813</v>
      </c>
      <c r="F3" s="2940" t="s">
        <v>2868</v>
      </c>
      <c r="G3" s="2940" t="s">
        <v>2631</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2.5" thickBot="1">
      <c r="A4" s="3498"/>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2.5"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2.5"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2.5"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2.5"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2.5"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2.5"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45909</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0">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1"/>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69">
        <v>4.25</v>
      </c>
      <c r="E27" s="2569">
        <v>4.25</v>
      </c>
      <c r="F27" s="2569">
        <v>4.25</v>
      </c>
      <c r="G27" s="2569">
        <v>4.25</v>
      </c>
      <c r="H27" s="2569">
        <v>4.8499999999999996</v>
      </c>
      <c r="I27" s="2569"/>
      <c r="J27" s="256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2"/>
      <c r="C28" s="2573">
        <v>42301</v>
      </c>
      <c r="D28" s="2574">
        <v>4.3499999999999996</v>
      </c>
      <c r="E28" s="2574">
        <v>4.3499999999999996</v>
      </c>
      <c r="F28" s="2574">
        <v>4.75</v>
      </c>
      <c r="G28" s="2574">
        <v>4.75</v>
      </c>
      <c r="H28" s="2574">
        <v>4.9000000000000004</v>
      </c>
      <c r="I28" s="2574"/>
      <c r="J28" s="2574"/>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6">
      <c r="A3" s="3178"/>
      <c r="B3" s="3178"/>
      <c r="C3" s="3178"/>
      <c r="D3" s="801" t="s">
        <v>925</v>
      </c>
      <c r="E3" s="801" t="s">
        <v>931</v>
      </c>
      <c r="F3" s="801" t="s">
        <v>925</v>
      </c>
      <c r="G3" s="801" t="s">
        <v>926</v>
      </c>
      <c r="H3" s="801" t="s">
        <v>925</v>
      </c>
      <c r="I3" s="801" t="s">
        <v>926</v>
      </c>
    </row>
    <row r="4" spans="1:9" ht="15.5">
      <c r="A4" s="1403" t="str">
        <f>项目基本情况!S2</f>
        <v>北京市海淀区蓝靛厂晨月园甲3号楼1层01层等[2]套房地产</v>
      </c>
      <c r="B4" s="801">
        <f>项目基本情况!C17</f>
        <v>887.22</v>
      </c>
      <c r="C4" s="801">
        <f>项目基本情况!C18</f>
        <v>0</v>
      </c>
      <c r="D4" s="801">
        <f>结果表!D118</f>
        <v>0</v>
      </c>
      <c r="E4" s="801">
        <f>结果表!E118</f>
        <v>0</v>
      </c>
      <c r="F4" s="801">
        <f>结果表!F118</f>
        <v>0</v>
      </c>
      <c r="G4" s="801">
        <f>结果表!G118</f>
        <v>0</v>
      </c>
      <c r="H4" s="801">
        <f ca="1">结果表!H118</f>
        <v>5151.8203999999996</v>
      </c>
      <c r="I4" s="801">
        <f ca="1">结果表!I118</f>
        <v>58067</v>
      </c>
    </row>
    <row r="5" spans="1:9" ht="30" customHeight="1">
      <c r="A5" s="3178" t="s">
        <v>927</v>
      </c>
      <c r="B5" s="3178"/>
      <c r="C5" s="3178"/>
      <c r="D5" s="3178" t="str">
        <f>结果表!D119</f>
        <v>零元整</v>
      </c>
      <c r="E5" s="3178"/>
      <c r="F5" s="3178" t="str">
        <f>结果表!F119</f>
        <v>零元整</v>
      </c>
      <c r="G5" s="3178"/>
      <c r="H5" s="3178" t="str">
        <f ca="1">结果表!H119</f>
        <v>伍仟壹佰伍拾壹万捌仟贰佰零肆元整</v>
      </c>
      <c r="I5" s="3178"/>
    </row>
    <row r="6" spans="1:9" ht="15.5">
      <c r="A6" s="3177" t="str">
        <f>结果表!A120</f>
        <v>估价师知悉的法定优先受偿款</v>
      </c>
      <c r="B6" s="3177"/>
      <c r="C6" s="3177"/>
      <c r="D6" s="3177">
        <f>结果表!D120</f>
        <v>0</v>
      </c>
      <c r="E6" s="3177"/>
      <c r="F6" s="3177"/>
      <c r="G6" s="3177"/>
      <c r="H6" s="3177"/>
      <c r="I6" s="3177"/>
    </row>
    <row r="7" spans="1:9" ht="15.5">
      <c r="A7" s="3178" t="s">
        <v>927</v>
      </c>
      <c r="B7" s="3178"/>
      <c r="C7" s="3178"/>
      <c r="D7" s="3179" t="str">
        <f>结果表!D121</f>
        <v>零元整</v>
      </c>
      <c r="E7" s="3180"/>
      <c r="F7" s="3180"/>
      <c r="G7" s="3180"/>
      <c r="H7" s="3180"/>
      <c r="I7" s="3181"/>
    </row>
    <row r="8" spans="1:9" ht="15.5">
      <c r="A8" s="3177" t="str">
        <f>结果表!A122</f>
        <v>房地产抵押价值</v>
      </c>
      <c r="B8" s="3177"/>
      <c r="C8" s="3177"/>
      <c r="D8" s="3177">
        <f ca="1">结果表!D122</f>
        <v>5151.8203999999996</v>
      </c>
      <c r="E8" s="3177"/>
      <c r="F8" s="3177"/>
      <c r="G8" s="3177"/>
      <c r="H8" s="3177"/>
      <c r="I8" s="3177"/>
    </row>
    <row r="9" spans="1:9" ht="15.5">
      <c r="A9" s="3178" t="s">
        <v>927</v>
      </c>
      <c r="B9" s="3178"/>
      <c r="C9" s="3178"/>
      <c r="D9" s="3178" t="str">
        <f ca="1">结果表!D123</f>
        <v>伍仟壹佰伍拾壹万捌仟贰佰零肆元整</v>
      </c>
      <c r="E9" s="3178"/>
      <c r="F9" s="3178"/>
      <c r="G9" s="3178"/>
      <c r="H9" s="3178"/>
      <c r="I9" s="3178"/>
    </row>
    <row r="10" spans="1:9" ht="15.5">
      <c r="A10" s="3177" t="str">
        <f>结果表!A124</f>
        <v/>
      </c>
      <c r="B10" s="3177"/>
      <c r="C10" s="3177"/>
      <c r="D10" s="3177" t="str">
        <f>结果表!D124</f>
        <v>——</v>
      </c>
      <c r="E10" s="3177"/>
      <c r="F10" s="3177"/>
      <c r="G10" s="3177"/>
      <c r="H10" s="3177"/>
      <c r="I10" s="3177"/>
    </row>
    <row r="11" spans="1:9" ht="15.5">
      <c r="A11" s="3178" t="s">
        <v>927</v>
      </c>
      <c r="B11" s="3178"/>
      <c r="C11" s="3178"/>
      <c r="D11" s="3178" t="e">
        <f>结果表!D125</f>
        <v>#VALUE!</v>
      </c>
      <c r="E11" s="3178"/>
      <c r="F11" s="3178"/>
      <c r="G11" s="3178"/>
      <c r="H11" s="3178"/>
      <c r="I11" s="3178"/>
    </row>
    <row r="12" spans="1:9" ht="15.5">
      <c r="A12" s="3177" t="str">
        <f>结果表!A126</f>
        <v>抵押净值</v>
      </c>
      <c r="B12" s="3177"/>
      <c r="C12" s="3177"/>
      <c r="D12" s="3177">
        <f ca="1">结果表!D126</f>
        <v>5149.2444999999998</v>
      </c>
      <c r="E12" s="3177"/>
      <c r="F12" s="3177"/>
      <c r="G12" s="3177"/>
      <c r="H12" s="3177"/>
      <c r="I12" s="3177"/>
    </row>
    <row r="13" spans="1:9" ht="16" thickBot="1">
      <c r="A13" s="3175" t="s">
        <v>927</v>
      </c>
      <c r="B13" s="3175"/>
      <c r="C13" s="3175"/>
      <c r="D13" s="3175" t="str">
        <f ca="1">结果表!D127</f>
        <v>伍仟壹佰肆拾玖万贰仟肆佰肆拾伍元整</v>
      </c>
      <c r="E13" s="3175"/>
      <c r="F13" s="3175"/>
      <c r="G13" s="3175"/>
      <c r="H13" s="3175"/>
      <c r="I13" s="3175"/>
    </row>
    <row r="14" spans="1:9" ht="14.5" thickTop="1">
      <c r="A14" s="3176" t="s">
        <v>932</v>
      </c>
      <c r="B14" s="3176"/>
      <c r="C14" s="3176"/>
      <c r="D14" s="3176"/>
      <c r="E14" s="3176"/>
      <c r="F14" s="3176"/>
      <c r="G14" s="3176"/>
      <c r="H14" s="3176"/>
      <c r="I14" s="3176"/>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0" t="s">
        <v>949</v>
      </c>
      <c r="B1" s="3190"/>
      <c r="C1" s="3190"/>
      <c r="D1" s="3190"/>
    </row>
    <row r="2" spans="1:4" ht="18">
      <c r="A2" s="3191" t="s">
        <v>933</v>
      </c>
      <c r="B2" s="3191"/>
      <c r="C2" s="3191"/>
      <c r="D2" s="3191"/>
    </row>
    <row r="3" spans="1:4" ht="1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1" t="s">
        <v>939</v>
      </c>
      <c r="B6" s="3191"/>
      <c r="C6" s="3191"/>
      <c r="D6" s="3191"/>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2" t="s">
        <v>942</v>
      </c>
      <c r="B11" s="3184"/>
      <c r="C11" s="3184"/>
      <c r="D11" s="3184"/>
    </row>
    <row r="12" spans="1:4" ht="15.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198" t="s">
        <v>956</v>
      </c>
      <c r="B15" s="3193" t="s">
        <v>109</v>
      </c>
      <c r="C15" s="3194"/>
    </row>
    <row r="16" spans="1:7" ht="14">
      <c r="A16" s="3199"/>
      <c r="B16" s="3193" t="s">
        <v>42</v>
      </c>
      <c r="C16" s="3194"/>
    </row>
    <row r="17" spans="1:3" ht="14">
      <c r="A17" s="3199"/>
      <c r="B17" s="3196" t="s">
        <v>957</v>
      </c>
      <c r="C17" s="1429" t="s">
        <v>956</v>
      </c>
    </row>
    <row r="18" spans="1:3" ht="14">
      <c r="A18" s="3199"/>
      <c r="B18" s="3196"/>
      <c r="C18" s="1429" t="s">
        <v>958</v>
      </c>
    </row>
    <row r="19" spans="1:3" ht="14">
      <c r="A19" s="3199"/>
      <c r="B19" s="3196"/>
      <c r="C19" s="1429" t="s">
        <v>959</v>
      </c>
    </row>
    <row r="20" spans="1:3" ht="14">
      <c r="A20" s="3200"/>
      <c r="B20" s="3195" t="s">
        <v>960</v>
      </c>
      <c r="C20" s="3194"/>
    </row>
    <row r="21" spans="1:3" ht="14">
      <c r="A21" s="1430" t="s">
        <v>961</v>
      </c>
      <c r="B21" s="1431"/>
      <c r="C21" s="1432"/>
    </row>
    <row r="22" spans="1:3" ht="14">
      <c r="A22" s="3197" t="s">
        <v>962</v>
      </c>
      <c r="B22" s="3195" t="s">
        <v>963</v>
      </c>
      <c r="C22" s="3194"/>
    </row>
    <row r="23" spans="1:3" ht="14">
      <c r="A23" s="3197"/>
      <c r="B23" s="3195" t="s">
        <v>964</v>
      </c>
      <c r="C23" s="3194"/>
    </row>
    <row r="24" spans="1:3" ht="14">
      <c r="A24" s="3197"/>
      <c r="B24" s="3195" t="s">
        <v>965</v>
      </c>
      <c r="C24" s="3194"/>
    </row>
    <row r="25" spans="1:3" ht="14">
      <c r="A25" s="3197"/>
      <c r="B25" s="3196" t="s">
        <v>966</v>
      </c>
      <c r="C25" s="1429" t="s">
        <v>967</v>
      </c>
    </row>
    <row r="26" spans="1:3" ht="14">
      <c r="A26" s="3197"/>
      <c r="B26" s="3196"/>
      <c r="C26" s="1429" t="s">
        <v>968</v>
      </c>
    </row>
    <row r="27" spans="1:3" ht="14">
      <c r="A27" s="3197"/>
      <c r="B27" s="3196"/>
      <c r="C27" s="1429" t="s">
        <v>969</v>
      </c>
    </row>
    <row r="28" spans="1:3" ht="14">
      <c r="A28" s="3197"/>
      <c r="B28" s="3196"/>
      <c r="C28" s="1429" t="s">
        <v>970</v>
      </c>
    </row>
    <row r="29" spans="1:3" ht="14">
      <c r="A29" s="3197"/>
      <c r="B29" s="3196"/>
      <c r="C29" s="1429" t="s">
        <v>971</v>
      </c>
    </row>
    <row r="30" spans="1:3" ht="14">
      <c r="A30" s="3197"/>
      <c r="B30" s="3196"/>
      <c r="C30" s="1429" t="s">
        <v>972</v>
      </c>
    </row>
    <row r="31" spans="1:3" ht="14">
      <c r="A31" s="3197"/>
      <c r="B31" s="3196"/>
      <c r="C31" s="1429" t="s">
        <v>973</v>
      </c>
    </row>
    <row r="32" spans="1:3" ht="14">
      <c r="A32" s="3197"/>
      <c r="B32" s="3196"/>
      <c r="C32" s="1429" t="s">
        <v>974</v>
      </c>
    </row>
    <row r="33" spans="1:3" ht="14">
      <c r="A33" s="3197"/>
      <c r="B33" s="3196"/>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45908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信息+租赁合同</vt:lpstr>
      <vt:lpstr>售价案例</vt:lpstr>
      <vt:lpstr>租金案例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2025-09-08T07:13:55Z</dcterms:modified>
</cp:coreProperties>
</file>