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E20" i="1"/>
  <c r="D5" i="9"/>
  <c r="D65" i="1"/>
  <c r="G63"/>
  <c r="E64"/>
  <c r="B65"/>
  <c r="B58"/>
  <c r="F4" i="61"/>
  <c r="I1"/>
  <c r="B30" i="1"/>
  <c r="F11" i="15"/>
  <c r="C10"/>
  <c r="C5"/>
  <c r="C31"/>
  <c r="D5" i="61"/>
  <c r="G1"/>
  <c r="E27" i="1"/>
  <c r="F24" i="15"/>
  <c r="E18" i="1"/>
  <c r="C14" i="15"/>
  <c r="F15"/>
  <c r="C15"/>
  <c r="F16"/>
  <c r="C16"/>
  <c r="C18"/>
  <c r="C19"/>
  <c r="F20"/>
  <c r="C20"/>
  <c r="C23"/>
  <c r="F21"/>
  <c r="C24"/>
  <c r="C26"/>
  <c r="C27"/>
  <c r="C29"/>
  <c r="F36"/>
  <c r="C36"/>
  <c r="F13"/>
  <c r="C13"/>
  <c r="F37"/>
  <c r="C37"/>
  <c r="C38"/>
  <c r="C30"/>
  <c r="C39"/>
  <c r="F40"/>
  <c r="F42"/>
  <c r="B13" i="1"/>
  <c r="F41" i="15"/>
  <c r="C40"/>
  <c r="L47"/>
  <c r="B3"/>
  <c r="C20" i="9"/>
  <c r="E2" i="21"/>
  <c r="D3"/>
  <c r="F7"/>
  <c r="AA7"/>
  <c r="F8"/>
  <c r="AA8"/>
  <c r="F15"/>
  <c r="AA15"/>
  <c r="F17"/>
  <c r="AA17"/>
  <c r="F19"/>
  <c r="AA19"/>
  <c r="F21"/>
  <c r="AA21"/>
  <c r="F23"/>
  <c r="AA23"/>
  <c r="F25"/>
  <c r="AA25"/>
  <c r="D89"/>
  <c r="E89"/>
  <c r="F89"/>
  <c r="G89"/>
  <c r="F26"/>
  <c r="AA26"/>
  <c r="B90"/>
  <c r="F27"/>
  <c r="AA27"/>
  <c r="B92"/>
  <c r="F28"/>
  <c r="AA28"/>
  <c r="B94"/>
  <c r="F29"/>
  <c r="AA29"/>
  <c r="B96"/>
  <c r="F30"/>
  <c r="AA30"/>
  <c r="B98"/>
  <c r="F31"/>
  <c r="AA31"/>
  <c r="F32"/>
  <c r="AA32"/>
  <c r="R47"/>
  <c r="F33"/>
  <c r="AA33"/>
  <c r="F34"/>
  <c r="AA34"/>
  <c r="D113"/>
  <c r="E113"/>
  <c r="F113"/>
  <c r="F37"/>
  <c r="AA37"/>
  <c r="D66"/>
  <c r="F10"/>
  <c r="AA10"/>
  <c r="F11"/>
  <c r="AA11"/>
  <c r="R48"/>
  <c r="H32"/>
  <c r="AB32"/>
  <c r="H33"/>
  <c r="AB33"/>
  <c r="H34"/>
  <c r="AB34"/>
  <c r="H89"/>
  <c r="H26"/>
  <c r="AB26"/>
  <c r="H37"/>
  <c r="AB37"/>
  <c r="H28"/>
  <c r="AB28"/>
  <c r="H10"/>
  <c r="AB10"/>
  <c r="H7"/>
  <c r="AB7"/>
  <c r="H11"/>
  <c r="AB11"/>
  <c r="T48"/>
  <c r="J32"/>
  <c r="AC32"/>
  <c r="J33"/>
  <c r="AC33"/>
  <c r="J34"/>
  <c r="AC34"/>
  <c r="J26"/>
  <c r="AC26"/>
  <c r="J42"/>
  <c r="AC42"/>
  <c r="J37"/>
  <c r="AC37"/>
  <c r="J28"/>
  <c r="AC28"/>
  <c r="J10"/>
  <c r="AC10"/>
  <c r="J7"/>
  <c r="AC7"/>
  <c r="J11"/>
  <c r="AC11"/>
  <c r="V48"/>
  <c r="R49"/>
  <c r="C49"/>
  <c r="B2"/>
  <c r="B3"/>
  <c r="D20" i="9"/>
  <c r="C17"/>
  <c r="D17"/>
  <c r="C18"/>
  <c r="D18"/>
  <c r="G20"/>
  <c r="B5" i="1"/>
  <c r="G19" i="9"/>
  <c r="N6" i="59"/>
  <c r="N7"/>
  <c r="B7"/>
  <c r="B6"/>
  <c r="N5"/>
  <c r="B5"/>
  <c r="O6"/>
  <c r="O7"/>
  <c r="C7"/>
  <c r="C6"/>
  <c r="O5"/>
  <c r="C5"/>
  <c r="D5"/>
  <c r="P6"/>
  <c r="P7"/>
  <c r="E7"/>
  <c r="E6"/>
  <c r="P5"/>
  <c r="E5"/>
  <c r="Q6"/>
  <c r="Q7"/>
  <c r="F7"/>
  <c r="F6"/>
  <c r="Q5"/>
  <c r="F5"/>
  <c r="AD5"/>
  <c r="AE5"/>
  <c r="AF5"/>
  <c r="AG5"/>
  <c r="AH5"/>
  <c r="N8"/>
  <c r="N9"/>
  <c r="N10"/>
  <c r="N11"/>
  <c r="N12"/>
  <c r="N13"/>
  <c r="N14"/>
  <c r="N15"/>
  <c r="N16"/>
  <c r="N17"/>
  <c r="N18"/>
  <c r="N19"/>
  <c r="N20"/>
  <c r="N21"/>
  <c r="N22"/>
  <c r="X5"/>
  <c r="O8"/>
  <c r="O9"/>
  <c r="O10"/>
  <c r="O11"/>
  <c r="O12"/>
  <c r="O13"/>
  <c r="O14"/>
  <c r="O15"/>
  <c r="O16"/>
  <c r="O17"/>
  <c r="O18"/>
  <c r="O19"/>
  <c r="O20"/>
  <c r="O21"/>
  <c r="O22"/>
  <c r="Y5"/>
  <c r="Z5"/>
  <c r="P8"/>
  <c r="P9"/>
  <c r="P10"/>
  <c r="P11"/>
  <c r="P12"/>
  <c r="P13"/>
  <c r="P14"/>
  <c r="P15"/>
  <c r="P16"/>
  <c r="P17"/>
  <c r="P18"/>
  <c r="P19"/>
  <c r="P20"/>
  <c r="P21"/>
  <c r="P22"/>
  <c r="AA5"/>
  <c r="Q8"/>
  <c r="Q9"/>
  <c r="Q10"/>
  <c r="Q11"/>
  <c r="Q12"/>
  <c r="Q13"/>
  <c r="Q14"/>
  <c r="Q15"/>
  <c r="Q16"/>
  <c r="Q17"/>
  <c r="Q18"/>
  <c r="Q19"/>
  <c r="Q20"/>
  <c r="Q21"/>
  <c r="Q22"/>
  <c r="AB5"/>
  <c r="D6"/>
  <c r="B2" i="1"/>
  <c r="G19" i="43"/>
  <c r="D7" i="59"/>
  <c r="D8"/>
  <c r="B11"/>
  <c r="B10"/>
  <c r="B9"/>
  <c r="C11"/>
  <c r="C10"/>
  <c r="C9"/>
  <c r="D9"/>
  <c r="E11"/>
  <c r="E10"/>
  <c r="E9"/>
  <c r="F11"/>
  <c r="F10"/>
  <c r="F9"/>
  <c r="D10"/>
  <c r="D11"/>
  <c r="D12"/>
  <c r="B13"/>
  <c r="C13"/>
  <c r="D13"/>
  <c r="E13"/>
  <c r="F13"/>
  <c r="B14"/>
  <c r="C14"/>
  <c r="D14"/>
  <c r="E14"/>
  <c r="F14"/>
  <c r="B15"/>
  <c r="C15"/>
  <c r="D15"/>
  <c r="E15"/>
  <c r="F15"/>
  <c r="D16"/>
  <c r="B17"/>
  <c r="C17"/>
  <c r="D17"/>
  <c r="E17"/>
  <c r="F17"/>
  <c r="B18"/>
  <c r="C18"/>
  <c r="D18"/>
  <c r="E18"/>
  <c r="F18"/>
  <c r="B19"/>
  <c r="C19"/>
  <c r="D19"/>
  <c r="E19"/>
  <c r="F19"/>
  <c r="D20"/>
  <c r="B21"/>
  <c r="C21"/>
  <c r="D21"/>
  <c r="E21"/>
  <c r="F21"/>
  <c r="B22"/>
  <c r="C22"/>
  <c r="D22"/>
  <c r="E22"/>
  <c r="F22"/>
  <c r="B23"/>
  <c r="C23"/>
  <c r="D23"/>
  <c r="E23"/>
  <c r="F23"/>
  <c r="M20" i="43"/>
  <c r="M19"/>
  <c r="C19"/>
  <c r="G2"/>
  <c r="C6"/>
  <c r="G17"/>
  <c r="H17"/>
  <c r="I17"/>
  <c r="J17"/>
  <c r="C17"/>
  <c r="C16"/>
  <c r="C5"/>
  <c r="G20"/>
  <c r="J20"/>
  <c r="B23" i="1"/>
  <c r="I20" i="43"/>
  <c r="C20"/>
  <c r="C24"/>
  <c r="F39"/>
  <c r="C39"/>
  <c r="G39"/>
  <c r="F38"/>
  <c r="C38"/>
  <c r="G38"/>
  <c r="F37"/>
  <c r="C37"/>
  <c r="G37"/>
  <c r="D5"/>
  <c r="F36"/>
  <c r="C36"/>
  <c r="G36"/>
  <c r="F35"/>
  <c r="C35"/>
  <c r="G35"/>
  <c r="F34"/>
  <c r="C34"/>
  <c r="G34"/>
  <c r="M48" i="15"/>
  <c r="L49"/>
  <c r="J50"/>
  <c r="J51"/>
  <c r="J52"/>
  <c r="B25" i="1"/>
  <c r="J54" i="15"/>
  <c r="AH6" i="59"/>
  <c r="AG6"/>
  <c r="AE6"/>
  <c r="AF6"/>
  <c r="AD6"/>
  <c r="F7" i="15"/>
  <c r="F6"/>
  <c r="F8"/>
  <c r="F9"/>
  <c r="C6"/>
  <c r="F113" i="57"/>
  <c r="I113"/>
  <c r="M50"/>
  <c r="F112" i="9"/>
  <c r="I112"/>
  <c r="M49"/>
  <c r="L3" i="59"/>
  <c r="K3"/>
  <c r="J3"/>
  <c r="I3"/>
  <c r="AH7"/>
  <c r="AG7"/>
  <c r="AE7"/>
  <c r="AF7"/>
  <c r="AD7"/>
  <c r="AB6"/>
  <c r="Y6"/>
  <c r="Z6"/>
  <c r="X6"/>
  <c r="AA6"/>
  <c r="U7"/>
  <c r="AB7"/>
  <c r="AA7"/>
  <c r="T7"/>
  <c r="Y7"/>
  <c r="Z7"/>
  <c r="S7"/>
  <c r="X7"/>
  <c r="A2" i="50"/>
  <c r="V7" i="59"/>
  <c r="K60" i="15"/>
  <c r="P59"/>
  <c r="P72"/>
  <c r="F115" i="57"/>
  <c r="A132"/>
  <c r="A117"/>
  <c r="A130"/>
  <c r="A115"/>
  <c r="A128"/>
  <c r="A126"/>
  <c r="F114" i="9"/>
  <c r="A129"/>
  <c r="A114"/>
  <c r="A127"/>
  <c r="A112"/>
  <c r="A125"/>
  <c r="A123"/>
  <c r="A16" i="54"/>
  <c r="A14"/>
  <c r="A19" i="55"/>
  <c r="A13"/>
  <c r="A1" i="52"/>
  <c r="A4" i="50"/>
  <c r="H23" i="31"/>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X12" i="59"/>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AB21"/>
  <c r="AA21"/>
  <c r="Y21"/>
  <c r="X21"/>
  <c r="AD3"/>
  <c r="AE3"/>
  <c r="AF3"/>
  <c r="AG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D22"/>
  <c r="AF22"/>
  <c r="AD23"/>
  <c r="AE23"/>
  <c r="AF23"/>
  <c r="AG23"/>
  <c r="AH23"/>
  <c r="S5" i="31"/>
  <c r="M5"/>
  <c r="N5"/>
  <c r="O5"/>
  <c r="P5"/>
  <c r="Q5"/>
  <c r="R5"/>
  <c r="C1" i="61"/>
  <c r="L1"/>
  <c r="F7"/>
  <c r="J1"/>
  <c r="B68" i="60"/>
  <c r="D7" i="61"/>
  <c r="F3"/>
  <c r="F6"/>
  <c r="D6"/>
  <c r="D4"/>
  <c r="F5"/>
  <c r="D3"/>
  <c r="E20" i="43"/>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F110" i="9"/>
  <c r="A119" i="57"/>
  <c r="A116" i="9"/>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c r="C18"/>
  <c r="C21"/>
  <c r="B20" i="60"/>
  <c r="C35" i="50"/>
  <c r="B24" i="60"/>
  <c r="C34" i="50"/>
  <c r="C33"/>
  <c r="C12"/>
  <c r="C14"/>
  <c r="C13"/>
  <c r="B13" i="60"/>
  <c r="B9"/>
  <c r="C42" i="50"/>
  <c r="C36"/>
  <c r="C39"/>
  <c r="I19" i="43"/>
  <c r="A135" i="57"/>
  <c r="F118"/>
  <c r="D72" i="59"/>
  <c r="F71"/>
  <c r="E71"/>
  <c r="E70"/>
  <c r="E69"/>
  <c r="C71"/>
  <c r="D71"/>
  <c r="B71"/>
  <c r="F70"/>
  <c r="F69"/>
  <c r="B70"/>
  <c r="B69"/>
  <c r="D68"/>
  <c r="F67"/>
  <c r="E67"/>
  <c r="E66"/>
  <c r="E65"/>
  <c r="C67"/>
  <c r="D67"/>
  <c r="B67"/>
  <c r="F66"/>
  <c r="F65"/>
  <c r="B66"/>
  <c r="B65"/>
  <c r="D64"/>
  <c r="B63"/>
  <c r="S63"/>
  <c r="Q63"/>
  <c r="P63"/>
  <c r="O63"/>
  <c r="N63"/>
  <c r="F63"/>
  <c r="V63"/>
  <c r="E63"/>
  <c r="U63"/>
  <c r="C63"/>
  <c r="T63"/>
  <c r="Q62"/>
  <c r="P62"/>
  <c r="O62"/>
  <c r="N62"/>
  <c r="F62"/>
  <c r="F61"/>
  <c r="B62"/>
  <c r="B61"/>
  <c r="Q61"/>
  <c r="P61"/>
  <c r="O61"/>
  <c r="N61"/>
  <c r="Q60"/>
  <c r="P60"/>
  <c r="O60"/>
  <c r="N60"/>
  <c r="D60"/>
  <c r="B59"/>
  <c r="S59"/>
  <c r="Q59"/>
  <c r="P59"/>
  <c r="O59"/>
  <c r="N59"/>
  <c r="F59"/>
  <c r="V59"/>
  <c r="E59"/>
  <c r="U59"/>
  <c r="C59"/>
  <c r="T59"/>
  <c r="Q58"/>
  <c r="P58"/>
  <c r="O58"/>
  <c r="N58"/>
  <c r="F58"/>
  <c r="F57"/>
  <c r="B58"/>
  <c r="B57"/>
  <c r="Q57"/>
  <c r="P57"/>
  <c r="O57"/>
  <c r="N57"/>
  <c r="Q56"/>
  <c r="P56"/>
  <c r="O56"/>
  <c r="N56"/>
  <c r="D56"/>
  <c r="B55"/>
  <c r="S55"/>
  <c r="Q55"/>
  <c r="P55"/>
  <c r="O55"/>
  <c r="N55"/>
  <c r="F55"/>
  <c r="V55"/>
  <c r="E55"/>
  <c r="C55"/>
  <c r="Q54"/>
  <c r="P54"/>
  <c r="O54"/>
  <c r="N54"/>
  <c r="F54"/>
  <c r="F53"/>
  <c r="B54"/>
  <c r="B53"/>
  <c r="Q53"/>
  <c r="P53"/>
  <c r="O53"/>
  <c r="N53"/>
  <c r="Q52"/>
  <c r="P52"/>
  <c r="O52"/>
  <c r="N52"/>
  <c r="D52"/>
  <c r="E51"/>
  <c r="U51"/>
  <c r="B51"/>
  <c r="S51"/>
  <c r="P51"/>
  <c r="N51"/>
  <c r="F51"/>
  <c r="V51"/>
  <c r="E50"/>
  <c r="P50"/>
  <c r="C51"/>
  <c r="F50"/>
  <c r="F49"/>
  <c r="Q49"/>
  <c r="B50"/>
  <c r="E49"/>
  <c r="P48"/>
  <c r="D48"/>
  <c r="Q47"/>
  <c r="P47"/>
  <c r="O47"/>
  <c r="N47"/>
  <c r="Q46"/>
  <c r="P46"/>
  <c r="O46"/>
  <c r="N46"/>
  <c r="Q44"/>
  <c r="F45"/>
  <c r="Q45"/>
  <c r="F46"/>
  <c r="F47"/>
  <c r="V47"/>
  <c r="P45"/>
  <c r="O45"/>
  <c r="N45"/>
  <c r="P44"/>
  <c r="E45"/>
  <c r="O44"/>
  <c r="C45"/>
  <c r="N44"/>
  <c r="B45"/>
  <c r="B46"/>
  <c r="B47"/>
  <c r="S47"/>
  <c r="D44"/>
  <c r="Q43"/>
  <c r="P43"/>
  <c r="O43"/>
  <c r="N43"/>
  <c r="Q42"/>
  <c r="P42"/>
  <c r="O42"/>
  <c r="N42"/>
  <c r="Q40"/>
  <c r="F41"/>
  <c r="Q41"/>
  <c r="F42"/>
  <c r="F43"/>
  <c r="V43"/>
  <c r="P41"/>
  <c r="O41"/>
  <c r="N41"/>
  <c r="P40"/>
  <c r="E41"/>
  <c r="O40"/>
  <c r="C41"/>
  <c r="N40"/>
  <c r="B41"/>
  <c r="B42"/>
  <c r="B43"/>
  <c r="S43"/>
  <c r="D40"/>
  <c r="Q39"/>
  <c r="P39"/>
  <c r="O39"/>
  <c r="N39"/>
  <c r="Q38"/>
  <c r="P38"/>
  <c r="O38"/>
  <c r="N38"/>
  <c r="Q36"/>
  <c r="F37"/>
  <c r="Q37"/>
  <c r="F38"/>
  <c r="F39"/>
  <c r="V39"/>
  <c r="P37"/>
  <c r="O37"/>
  <c r="N37"/>
  <c r="P36"/>
  <c r="E37"/>
  <c r="O36"/>
  <c r="C37"/>
  <c r="N36"/>
  <c r="B37"/>
  <c r="B38"/>
  <c r="B39"/>
  <c r="S39"/>
  <c r="D36"/>
  <c r="Q35"/>
  <c r="P35"/>
  <c r="O35"/>
  <c r="N35"/>
  <c r="Q34"/>
  <c r="P34"/>
  <c r="O34"/>
  <c r="N34"/>
  <c r="Q33"/>
  <c r="P33"/>
  <c r="O33"/>
  <c r="N33"/>
  <c r="P32"/>
  <c r="E33"/>
  <c r="E34"/>
  <c r="E35"/>
  <c r="U35"/>
  <c r="Q32"/>
  <c r="F33"/>
  <c r="F34"/>
  <c r="F35"/>
  <c r="V35"/>
  <c r="O32"/>
  <c r="C33"/>
  <c r="N32"/>
  <c r="B33"/>
  <c r="B34"/>
  <c r="B35"/>
  <c r="S35"/>
  <c r="D32"/>
  <c r="T31"/>
  <c r="Q31"/>
  <c r="P31"/>
  <c r="O31"/>
  <c r="N31"/>
  <c r="D31"/>
  <c r="Q30"/>
  <c r="P30"/>
  <c r="O30"/>
  <c r="N30"/>
  <c r="Q29"/>
  <c r="P29"/>
  <c r="O29"/>
  <c r="N29"/>
  <c r="Q28"/>
  <c r="F29"/>
  <c r="F30"/>
  <c r="F31"/>
  <c r="V31"/>
  <c r="P28"/>
  <c r="E29"/>
  <c r="E30"/>
  <c r="E31"/>
  <c r="U31"/>
  <c r="O28"/>
  <c r="C29"/>
  <c r="N28"/>
  <c r="B29"/>
  <c r="B30"/>
  <c r="B31"/>
  <c r="S31"/>
  <c r="D28"/>
  <c r="Q27"/>
  <c r="P27"/>
  <c r="O27"/>
  <c r="N27"/>
  <c r="Q26"/>
  <c r="P26"/>
  <c r="O26"/>
  <c r="N26"/>
  <c r="Q25"/>
  <c r="P25"/>
  <c r="O25"/>
  <c r="N25"/>
  <c r="Q24"/>
  <c r="F25"/>
  <c r="F26"/>
  <c r="F27"/>
  <c r="V27"/>
  <c r="P24"/>
  <c r="E25"/>
  <c r="E26"/>
  <c r="E27"/>
  <c r="U27"/>
  <c r="O24"/>
  <c r="C25"/>
  <c r="N24"/>
  <c r="B25"/>
  <c r="B26"/>
  <c r="B27"/>
  <c r="S27"/>
  <c r="D24"/>
  <c r="Q23"/>
  <c r="P23"/>
  <c r="O23"/>
  <c r="N23"/>
  <c r="AB22"/>
  <c r="AA22"/>
  <c r="Y22"/>
  <c r="Z22"/>
  <c r="X22"/>
  <c r="Z21"/>
  <c r="V23"/>
  <c r="U23"/>
  <c r="S23"/>
  <c r="V19"/>
  <c r="U19"/>
  <c r="S19"/>
  <c r="V15"/>
  <c r="U15"/>
  <c r="S15"/>
  <c r="T11"/>
  <c r="Y3"/>
  <c r="Z3"/>
  <c r="Y8"/>
  <c r="Z8"/>
  <c r="Y9"/>
  <c r="Z9"/>
  <c r="Y11"/>
  <c r="Z11"/>
  <c r="Y10"/>
  <c r="Z10"/>
  <c r="X11"/>
  <c r="X10"/>
  <c r="X3"/>
  <c r="X8"/>
  <c r="X9"/>
  <c r="C26"/>
  <c r="D25"/>
  <c r="C30"/>
  <c r="D30"/>
  <c r="D29"/>
  <c r="C34"/>
  <c r="D33"/>
  <c r="E38"/>
  <c r="E39"/>
  <c r="U39"/>
  <c r="E42"/>
  <c r="E43"/>
  <c r="U43"/>
  <c r="E46"/>
  <c r="E47"/>
  <c r="U47"/>
  <c r="Q48"/>
  <c r="P49"/>
  <c r="U55"/>
  <c r="E54"/>
  <c r="E53"/>
  <c r="C38"/>
  <c r="D37"/>
  <c r="C42"/>
  <c r="D41"/>
  <c r="C46"/>
  <c r="D45"/>
  <c r="N50"/>
  <c r="B49"/>
  <c r="Q50"/>
  <c r="T51"/>
  <c r="O51"/>
  <c r="D51"/>
  <c r="C50"/>
  <c r="T55"/>
  <c r="D55"/>
  <c r="C54"/>
  <c r="Q51"/>
  <c r="C58"/>
  <c r="E58"/>
  <c r="E57"/>
  <c r="D59"/>
  <c r="C62"/>
  <c r="E62"/>
  <c r="E61"/>
  <c r="D63"/>
  <c r="C66"/>
  <c r="C70"/>
  <c r="S11"/>
  <c r="AB3"/>
  <c r="AB8"/>
  <c r="AB9"/>
  <c r="AB10"/>
  <c r="AB11"/>
  <c r="AA9"/>
  <c r="AA10"/>
  <c r="AA11"/>
  <c r="AA3"/>
  <c r="AA8"/>
  <c r="D66"/>
  <c r="C65"/>
  <c r="D65"/>
  <c r="D58"/>
  <c r="C57"/>
  <c r="D57"/>
  <c r="C53"/>
  <c r="D53"/>
  <c r="D54"/>
  <c r="C35"/>
  <c r="D34"/>
  <c r="D70"/>
  <c r="C69"/>
  <c r="D69"/>
  <c r="D62"/>
  <c r="C61"/>
  <c r="D61"/>
  <c r="C49"/>
  <c r="O50"/>
  <c r="D50"/>
  <c r="C47"/>
  <c r="D46"/>
  <c r="C43"/>
  <c r="D42"/>
  <c r="C39"/>
  <c r="D38"/>
  <c r="N48"/>
  <c r="N49"/>
  <c r="C27"/>
  <c r="D26"/>
  <c r="U11"/>
  <c r="V11"/>
  <c r="O49"/>
  <c r="D49"/>
  <c r="O48"/>
  <c r="T35"/>
  <c r="D35"/>
  <c r="T15"/>
  <c r="T19"/>
  <c r="T23"/>
  <c r="T27"/>
  <c r="D27"/>
  <c r="T39"/>
  <c r="D39"/>
  <c r="T43"/>
  <c r="D43"/>
  <c r="T47"/>
  <c r="D47"/>
  <c r="G20" i="20"/>
  <c r="B86" i="43"/>
  <c r="C22" i="20"/>
  <c r="B75" i="43"/>
  <c r="B66"/>
  <c r="B55"/>
  <c r="Q25" i="40"/>
  <c r="Z25"/>
  <c r="D94"/>
  <c r="E94"/>
  <c r="F94"/>
  <c r="H25"/>
  <c r="U25"/>
  <c r="F25"/>
  <c r="AA25"/>
  <c r="C25"/>
  <c r="Q27" i="39"/>
  <c r="Z27"/>
  <c r="D101"/>
  <c r="E101"/>
  <c r="F101"/>
  <c r="C29"/>
  <c r="C21" i="20"/>
  <c r="C27" i="39"/>
  <c r="Q18" i="36"/>
  <c r="Z18"/>
  <c r="F18"/>
  <c r="AA18"/>
  <c r="C18"/>
  <c r="D66"/>
  <c r="E66"/>
  <c r="F66"/>
  <c r="G66"/>
  <c r="Q18" i="35"/>
  <c r="Z18"/>
  <c r="D68"/>
  <c r="E68"/>
  <c r="F68"/>
  <c r="G68"/>
  <c r="J18"/>
  <c r="AC18"/>
  <c r="H18"/>
  <c r="AB18"/>
  <c r="F18"/>
  <c r="AA18"/>
  <c r="C18"/>
  <c r="Q21" i="37"/>
  <c r="Z21"/>
  <c r="D77"/>
  <c r="E77"/>
  <c r="F77"/>
  <c r="H21"/>
  <c r="AB21"/>
  <c r="F21"/>
  <c r="AA21"/>
  <c r="C21"/>
  <c r="Q21" i="34"/>
  <c r="Z21"/>
  <c r="D84"/>
  <c r="E84"/>
  <c r="F21"/>
  <c r="AA21"/>
  <c r="C21"/>
  <c r="Q21" i="33"/>
  <c r="Z21"/>
  <c r="D83"/>
  <c r="E83"/>
  <c r="F83"/>
  <c r="H21"/>
  <c r="AB21"/>
  <c r="F21"/>
  <c r="AA21"/>
  <c r="C21"/>
  <c r="Q21" i="21"/>
  <c r="Z21"/>
  <c r="D83"/>
  <c r="E83"/>
  <c r="C21"/>
  <c r="AB25" i="40"/>
  <c r="S25"/>
  <c r="S18" i="36"/>
  <c r="W18" i="35"/>
  <c r="U18"/>
  <c r="S18"/>
  <c r="U21" i="37"/>
  <c r="S21"/>
  <c r="S21" i="34"/>
  <c r="U21" i="33"/>
  <c r="S21"/>
  <c r="S21" i="21"/>
  <c r="G94" i="40"/>
  <c r="J25"/>
  <c r="G101" i="39"/>
  <c r="J27"/>
  <c r="H27"/>
  <c r="F27"/>
  <c r="H18" i="36"/>
  <c r="J18"/>
  <c r="G77" i="37"/>
  <c r="J21"/>
  <c r="F84" i="34"/>
  <c r="H21"/>
  <c r="G83" i="33"/>
  <c r="J21"/>
  <c r="F83" i="21"/>
  <c r="H21"/>
  <c r="F52" i="15"/>
  <c r="F17"/>
  <c r="F18"/>
  <c r="F23"/>
  <c r="D23"/>
  <c r="F26"/>
  <c r="C21"/>
  <c r="F33"/>
  <c r="F62"/>
  <c r="F65"/>
  <c r="F66"/>
  <c r="F38"/>
  <c r="F67"/>
  <c r="M6"/>
  <c r="M8"/>
  <c r="M9"/>
  <c r="G58" i="40"/>
  <c r="C58"/>
  <c r="M19" i="15"/>
  <c r="M24"/>
  <c r="M22"/>
  <c r="J15"/>
  <c r="M23"/>
  <c r="C2" i="11"/>
  <c r="F2"/>
  <c r="C7" i="12"/>
  <c r="C8"/>
  <c r="D20"/>
  <c r="D19"/>
  <c r="D17"/>
  <c r="D14"/>
  <c r="C2"/>
  <c r="B24" i="1"/>
  <c r="F11" i="12"/>
  <c r="F28"/>
  <c r="I1" i="4"/>
  <c r="B6" i="50"/>
  <c r="B17" i="60"/>
  <c r="B1" i="4"/>
  <c r="B9" i="49"/>
  <c r="B2" i="60"/>
  <c r="M11" i="15"/>
  <c r="J10"/>
  <c r="C27" i="58"/>
  <c r="C32"/>
  <c r="C31"/>
  <c r="C30"/>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F3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D27"/>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c r="D23"/>
  <c r="I2" i="43"/>
  <c r="H6" i="44"/>
  <c r="E30" i="4"/>
  <c r="C7"/>
  <c r="G3" i="43"/>
  <c r="C121" i="9"/>
  <c r="C4" i="52"/>
  <c r="B36" i="60"/>
  <c r="B121" i="9"/>
  <c r="B4" i="52"/>
  <c r="A40" i="1"/>
  <c r="A39"/>
  <c r="A38"/>
  <c r="A37"/>
  <c r="A36"/>
  <c r="A29"/>
  <c r="A34"/>
  <c r="D111" i="9"/>
  <c r="I108"/>
  <c r="D110"/>
  <c r="I107"/>
  <c r="D109"/>
  <c r="I106"/>
  <c r="I105"/>
  <c r="H101"/>
  <c r="J35" i="15"/>
  <c r="Q69"/>
  <c r="F27" i="11"/>
  <c r="F36"/>
  <c r="M28" i="15"/>
  <c r="M26"/>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D4"/>
  <c r="B5"/>
  <c r="B12"/>
  <c r="B10"/>
  <c r="B8"/>
  <c r="B6"/>
  <c r="B4"/>
  <c r="B40"/>
  <c r="B39"/>
  <c r="B38"/>
  <c r="B37"/>
  <c r="B33"/>
  <c r="B30"/>
  <c r="B29"/>
  <c r="B19"/>
  <c r="B28"/>
  <c r="B27"/>
  <c r="B26"/>
  <c r="B23"/>
  <c r="B21"/>
  <c r="B17"/>
  <c r="B16"/>
  <c r="B15"/>
  <c r="A12" i="43"/>
  <c r="A16"/>
  <c r="F33"/>
  <c r="P17"/>
  <c r="O17"/>
  <c r="N17"/>
  <c r="M17"/>
  <c r="C18"/>
  <c r="F15"/>
  <c r="E15"/>
  <c r="D15"/>
  <c r="C15"/>
  <c r="C10"/>
  <c r="C11"/>
  <c r="C9"/>
  <c r="A7"/>
  <c r="E1" i="61"/>
  <c r="K1"/>
  <c r="E31" i="1"/>
  <c r="E29"/>
  <c r="G1" i="15"/>
  <c r="F35" i="11"/>
  <c r="F38"/>
  <c r="E37"/>
  <c r="F20"/>
  <c r="F21"/>
  <c r="C40"/>
  <c r="F7"/>
  <c r="C7"/>
  <c r="C5"/>
  <c r="F12" i="12"/>
  <c r="F13"/>
  <c r="F15"/>
  <c r="E14"/>
  <c r="E19"/>
  <c r="E20"/>
  <c r="E17"/>
  <c r="F22"/>
  <c r="F23"/>
  <c r="F24"/>
  <c r="C24"/>
  <c r="I55" i="9"/>
  <c r="F55"/>
  <c r="O53"/>
  <c r="D89"/>
  <c r="C89"/>
  <c r="C87"/>
  <c r="E15" i="1"/>
  <c r="E19" i="11"/>
  <c r="E40" i="1"/>
  <c r="F34" i="15"/>
  <c r="F63"/>
  <c r="E59" i="9"/>
  <c r="N55"/>
  <c r="F59"/>
  <c r="O55"/>
  <c r="N54"/>
  <c r="N53"/>
  <c r="E48"/>
  <c r="N52"/>
  <c r="F56"/>
  <c r="O54"/>
  <c r="D100"/>
  <c r="C100"/>
  <c r="C30" i="40"/>
  <c r="C28"/>
  <c r="C23" i="39"/>
  <c r="C19" i="40"/>
  <c r="D27" i="9"/>
  <c r="C24"/>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B74"/>
  <c r="C20" i="20"/>
  <c r="B77" i="43"/>
  <c r="C18" i="20"/>
  <c r="B71" i="43"/>
  <c r="C17" i="20"/>
  <c r="B59" i="43"/>
  <c r="C16" i="20"/>
  <c r="B48" i="43"/>
  <c r="C15" i="20"/>
  <c r="B70" i="43"/>
  <c r="E54" i="21"/>
  <c r="F54"/>
  <c r="I54"/>
  <c r="J54"/>
  <c r="G54"/>
  <c r="H54"/>
  <c r="D125"/>
  <c r="E125"/>
  <c r="F125"/>
  <c r="G125"/>
  <c r="D123"/>
  <c r="E123"/>
  <c r="F123"/>
  <c r="G123"/>
  <c r="H123"/>
  <c r="I123"/>
  <c r="J123"/>
  <c r="K123"/>
  <c r="L123"/>
  <c r="M123"/>
  <c r="F42"/>
  <c r="AA42"/>
  <c r="D119"/>
  <c r="D117"/>
  <c r="E117"/>
  <c r="D115"/>
  <c r="E115"/>
  <c r="F115"/>
  <c r="G115"/>
  <c r="H115"/>
  <c r="I115"/>
  <c r="J115"/>
  <c r="K115"/>
  <c r="L115"/>
  <c r="M115"/>
  <c r="G113"/>
  <c r="H113"/>
  <c r="D110"/>
  <c r="E110"/>
  <c r="F110"/>
  <c r="G110"/>
  <c r="H110"/>
  <c r="I110"/>
  <c r="J110"/>
  <c r="K110"/>
  <c r="L110"/>
  <c r="M110"/>
  <c r="J36"/>
  <c r="D108"/>
  <c r="E108"/>
  <c r="F108"/>
  <c r="G108"/>
  <c r="H108"/>
  <c r="I108"/>
  <c r="J108"/>
  <c r="K108"/>
  <c r="L108"/>
  <c r="M108"/>
  <c r="D106"/>
  <c r="D101"/>
  <c r="I89"/>
  <c r="J89"/>
  <c r="K89"/>
  <c r="L89"/>
  <c r="M89"/>
  <c r="D67"/>
  <c r="E67"/>
  <c r="F67"/>
  <c r="G67"/>
  <c r="H67"/>
  <c r="I67"/>
  <c r="J67"/>
  <c r="K67"/>
  <c r="L67"/>
  <c r="M67"/>
  <c r="C67"/>
  <c r="D69"/>
  <c r="E69"/>
  <c r="F69"/>
  <c r="G69"/>
  <c r="H69"/>
  <c r="I69"/>
  <c r="J69"/>
  <c r="K69"/>
  <c r="L69"/>
  <c r="M69"/>
  <c r="E66"/>
  <c r="F66"/>
  <c r="G66"/>
  <c r="H66"/>
  <c r="I66"/>
  <c r="D111"/>
  <c r="E111"/>
  <c r="F111"/>
  <c r="C111"/>
  <c r="D79"/>
  <c r="E79"/>
  <c r="F79"/>
  <c r="G79"/>
  <c r="D85"/>
  <c r="E85"/>
  <c r="F85"/>
  <c r="G85"/>
  <c r="D81"/>
  <c r="E81"/>
  <c r="F81"/>
  <c r="G81"/>
  <c r="D77"/>
  <c r="E77"/>
  <c r="F77"/>
  <c r="G77"/>
  <c r="H15"/>
  <c r="B130"/>
  <c r="B128"/>
  <c r="B126"/>
  <c r="B74"/>
  <c r="B72"/>
  <c r="B70"/>
  <c r="F12"/>
  <c r="AA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T47"/>
  <c r="V47"/>
  <c r="P48"/>
  <c r="P49"/>
  <c r="E10" i="11"/>
  <c r="E9"/>
  <c r="F43" i="21"/>
  <c r="S43"/>
  <c r="H38"/>
  <c r="U38"/>
  <c r="H43"/>
  <c r="AB43"/>
  <c r="F38"/>
  <c r="F36"/>
  <c r="S36"/>
  <c r="F39"/>
  <c r="S39"/>
  <c r="H35"/>
  <c r="AB35"/>
  <c r="J8"/>
  <c r="AC8"/>
  <c r="J9"/>
  <c r="W9"/>
  <c r="H8"/>
  <c r="U8"/>
  <c r="H9"/>
  <c r="AB9"/>
  <c r="H36"/>
  <c r="U36"/>
  <c r="F35"/>
  <c r="AA35"/>
  <c r="W33"/>
  <c r="H19"/>
  <c r="AB19"/>
  <c r="J19"/>
  <c r="W19"/>
  <c r="J12"/>
  <c r="AC12"/>
  <c r="H12"/>
  <c r="AB12"/>
  <c r="W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S11" i="21"/>
  <c r="C25" i="39"/>
  <c r="C21"/>
  <c r="H11"/>
  <c r="AB11"/>
  <c r="AB39"/>
  <c r="U11" i="2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H42" i="21"/>
  <c r="AB42"/>
  <c r="J10" i="35"/>
  <c r="AC10"/>
  <c r="J14" i="21"/>
  <c r="W14"/>
  <c r="F14"/>
  <c r="S14"/>
  <c r="H14"/>
  <c r="AB14"/>
  <c r="W28"/>
  <c r="H30"/>
  <c r="AB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U42" i="21"/>
  <c r="S33"/>
  <c r="S19"/>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B38" i="21"/>
  <c r="AA23" i="37"/>
  <c r="W10" i="36"/>
  <c r="W38" i="37"/>
  <c r="U37" i="21"/>
  <c r="W37"/>
  <c r="H19" i="34"/>
  <c r="U19"/>
  <c r="F36" i="35"/>
  <c r="AA36"/>
  <c r="J9" i="37"/>
  <c r="W9"/>
  <c r="H9"/>
  <c r="AB9"/>
  <c r="F9"/>
  <c r="AA9"/>
  <c r="F11"/>
  <c r="S11"/>
  <c r="J42" i="39"/>
  <c r="AC42"/>
  <c r="S37" i="21"/>
  <c r="AC9" i="37"/>
  <c r="AB27" i="40"/>
  <c r="AC31" i="39"/>
  <c r="U31"/>
  <c r="C12" i="43"/>
  <c r="D15" i="47"/>
  <c r="D17"/>
  <c r="D19"/>
  <c r="D21"/>
  <c r="D23"/>
  <c r="D27"/>
  <c r="D33"/>
  <c r="D37"/>
  <c r="D39"/>
  <c r="D41"/>
  <c r="D43"/>
  <c r="D16"/>
  <c r="D18"/>
  <c r="D20"/>
  <c r="D22"/>
  <c r="F15"/>
  <c r="B13"/>
  <c r="D26"/>
  <c r="D28"/>
  <c r="D30"/>
  <c r="D32"/>
  <c r="D34"/>
  <c r="D38"/>
  <c r="D40"/>
  <c r="D42"/>
  <c r="D44"/>
  <c r="D9"/>
  <c r="D8"/>
  <c r="D6"/>
  <c r="F4"/>
  <c r="B2"/>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C21" i="11"/>
  <c r="H55" i="39"/>
  <c r="S30" i="40"/>
  <c r="G60"/>
  <c r="C60"/>
  <c r="H16" i="44"/>
  <c r="E17" i="43"/>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U28" i="21"/>
  <c r="K145"/>
  <c r="K144"/>
  <c r="K141"/>
  <c r="K143"/>
  <c r="W25"/>
  <c r="B101" i="9"/>
  <c r="C112"/>
  <c r="H110"/>
  <c r="J23" i="21"/>
  <c r="AC23"/>
  <c r="H23"/>
  <c r="U23"/>
  <c r="J17"/>
  <c r="AC17"/>
  <c r="H17"/>
  <c r="AB17"/>
  <c r="J15"/>
  <c r="W15"/>
  <c r="U35"/>
  <c r="AC35"/>
  <c r="H102" i="57"/>
  <c r="A131" i="9"/>
  <c r="A134" i="57"/>
  <c r="B102"/>
  <c r="B106"/>
  <c r="C111"/>
  <c r="H106"/>
  <c r="D127"/>
  <c r="S23" i="21"/>
  <c r="W17"/>
  <c r="AC15"/>
  <c r="C109" i="57"/>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B15"/>
  <c r="AA16" i="35"/>
  <c r="S14" i="39"/>
  <c r="AB29" i="35"/>
  <c r="U29"/>
  <c r="AA35" i="39"/>
  <c r="AB21"/>
  <c r="U25" i="35"/>
  <c r="W44" i="33"/>
  <c r="U36" i="37"/>
  <c r="AB46" i="34"/>
  <c r="S14"/>
  <c r="AA14"/>
  <c r="W44" i="21"/>
  <c r="AB38" i="34"/>
  <c r="U38"/>
  <c r="F40"/>
  <c r="AA40"/>
  <c r="G118"/>
  <c r="U20" i="36"/>
  <c r="AB20"/>
  <c r="AA16"/>
  <c r="AC44" i="39"/>
  <c r="W44"/>
  <c r="H13" i="21"/>
  <c r="U13"/>
  <c r="J13"/>
  <c r="F13"/>
  <c r="AA13"/>
  <c r="J45"/>
  <c r="F45"/>
  <c r="AA45"/>
  <c r="S42"/>
  <c r="B41" i="47"/>
  <c r="C23" i="40"/>
  <c r="AC8" i="34"/>
  <c r="W8"/>
  <c r="W12"/>
  <c r="AC12"/>
  <c r="J9"/>
  <c r="AC9"/>
  <c r="F9"/>
  <c r="S9"/>
  <c r="AA19"/>
  <c r="S19"/>
  <c r="AA9" i="36"/>
  <c r="S9"/>
  <c r="AB23"/>
  <c r="U23"/>
  <c r="J12"/>
  <c r="W12"/>
  <c r="H12"/>
  <c r="AB12"/>
  <c r="AA9" i="39"/>
  <c r="S9"/>
  <c r="AB12"/>
  <c r="U12"/>
  <c r="J12"/>
  <c r="F12"/>
  <c r="S12"/>
  <c r="R29" i="31"/>
  <c r="T29"/>
  <c r="B103" i="9"/>
  <c r="S15" i="21"/>
  <c r="C106" i="9"/>
  <c r="H102"/>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S38" i="21"/>
  <c r="AA38"/>
  <c r="E106"/>
  <c r="F106"/>
  <c r="G106"/>
  <c r="H106"/>
  <c r="I106"/>
  <c r="J106"/>
  <c r="K106"/>
  <c r="L106"/>
  <c r="M106"/>
  <c r="S34"/>
  <c r="U34"/>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J29"/>
  <c r="AC29"/>
  <c r="H29"/>
  <c r="U29"/>
  <c r="J31"/>
  <c r="W31"/>
  <c r="H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S32"/>
  <c r="W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S29"/>
  <c r="W29"/>
  <c r="AC27"/>
  <c r="S37" i="34"/>
  <c r="H27" i="36"/>
  <c r="AB27"/>
  <c r="F27"/>
  <c r="AA27"/>
  <c r="J28" i="34"/>
  <c r="W28"/>
  <c r="H11"/>
  <c r="U11"/>
  <c r="S17" i="37"/>
  <c r="J11"/>
  <c r="AC11"/>
  <c r="AC36" i="34"/>
  <c r="W12" i="39"/>
  <c r="AC12"/>
  <c r="W9" i="34"/>
  <c r="S45" i="21"/>
  <c r="AB13"/>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H74" i="43"/>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M29" i="15"/>
  <c r="P51"/>
  <c r="H56" i="43"/>
  <c r="D10" i="11"/>
  <c r="C10"/>
  <c r="C2" i="31"/>
  <c r="I23"/>
  <c r="S29"/>
  <c r="S31"/>
  <c r="S33"/>
  <c r="S36"/>
  <c r="S37"/>
  <c r="S38"/>
  <c r="S39"/>
  <c r="S40"/>
  <c r="S41"/>
  <c r="S42"/>
  <c r="S44"/>
  <c r="S45"/>
  <c r="S46"/>
  <c r="S47"/>
  <c r="S48"/>
  <c r="S49"/>
  <c r="S50"/>
  <c r="S52"/>
  <c r="S53"/>
  <c r="S54"/>
  <c r="S55"/>
  <c r="S56"/>
  <c r="S57"/>
  <c r="S59"/>
  <c r="S61"/>
  <c r="S63"/>
  <c r="S65"/>
  <c r="S67"/>
  <c r="S69"/>
  <c r="S71"/>
  <c r="S73"/>
  <c r="S75"/>
  <c r="S76"/>
  <c r="S77"/>
  <c r="S78"/>
  <c r="S79"/>
  <c r="S80"/>
  <c r="S83"/>
  <c r="S87"/>
  <c r="S91"/>
  <c r="S95"/>
  <c r="S99"/>
  <c r="S103"/>
  <c r="S107"/>
  <c r="S111"/>
  <c r="S115"/>
  <c r="S117"/>
  <c r="S119"/>
  <c r="S121"/>
  <c r="S123"/>
  <c r="S125"/>
  <c r="S129"/>
  <c r="S133"/>
  <c r="S137"/>
  <c r="S141"/>
  <c r="S145"/>
  <c r="S149"/>
  <c r="S153"/>
  <c r="S157"/>
  <c r="S161"/>
  <c r="S165"/>
  <c r="S169"/>
  <c r="S173"/>
  <c r="S177"/>
  <c r="S181"/>
  <c r="S185"/>
  <c r="S189"/>
  <c r="S193"/>
  <c r="S197"/>
  <c r="S201"/>
  <c r="S205"/>
  <c r="S209"/>
  <c r="S213"/>
  <c r="S217"/>
  <c r="S221"/>
  <c r="S225"/>
  <c r="S262"/>
  <c r="S270"/>
  <c r="S278"/>
  <c r="S286"/>
  <c r="S294"/>
  <c r="S302"/>
  <c r="S310"/>
  <c r="S318"/>
  <c r="S324"/>
  <c r="S325"/>
  <c r="S329"/>
  <c r="S332"/>
  <c r="S333"/>
  <c r="S337"/>
  <c r="S340"/>
  <c r="S341"/>
  <c r="S345"/>
  <c r="S348"/>
  <c r="S349"/>
  <c r="S353"/>
  <c r="S356"/>
  <c r="S357"/>
  <c r="S361"/>
  <c r="S364"/>
  <c r="S365"/>
  <c r="S369"/>
  <c r="S372"/>
  <c r="S373"/>
  <c r="S377"/>
  <c r="S380"/>
  <c r="S381"/>
  <c r="S385"/>
  <c r="S388"/>
  <c r="S389"/>
  <c r="S393"/>
  <c r="S396"/>
  <c r="S397"/>
  <c r="S401"/>
  <c r="S404"/>
  <c r="S405"/>
  <c r="S409"/>
  <c r="S412"/>
  <c r="S413"/>
  <c r="S417"/>
  <c r="S420"/>
  <c r="S421"/>
  <c r="S425"/>
  <c r="S430"/>
  <c r="S431"/>
  <c r="S434"/>
  <c r="S435"/>
  <c r="S438"/>
  <c r="S439"/>
  <c r="S442"/>
  <c r="S443"/>
  <c r="S446"/>
  <c r="S447"/>
  <c r="S449"/>
  <c r="S451"/>
  <c r="S454"/>
  <c r="S455"/>
  <c r="S458"/>
  <c r="S459"/>
  <c r="S462"/>
  <c r="S463"/>
  <c r="S466"/>
  <c r="S467"/>
  <c r="S470"/>
  <c r="S471"/>
  <c r="S472"/>
  <c r="S473"/>
  <c r="S474"/>
  <c r="S476"/>
  <c r="S477"/>
  <c r="S478"/>
  <c r="S479"/>
  <c r="S480"/>
  <c r="S481"/>
  <c r="S482"/>
  <c r="S484"/>
  <c r="S485"/>
  <c r="S486"/>
  <c r="S487"/>
  <c r="S488"/>
  <c r="S489"/>
  <c r="S490"/>
  <c r="S492"/>
  <c r="S493"/>
  <c r="S494"/>
  <c r="S495"/>
  <c r="S496"/>
  <c r="S497"/>
  <c r="S498"/>
  <c r="S500"/>
  <c r="S501"/>
  <c r="S507"/>
  <c r="S509"/>
  <c r="S511"/>
  <c r="S515"/>
  <c r="S25"/>
  <c r="B23"/>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B39"/>
  <c r="W40"/>
  <c r="W34"/>
  <c r="U27"/>
  <c r="AB23"/>
  <c r="U19"/>
  <c r="U43"/>
  <c r="U26"/>
  <c r="AB44"/>
  <c r="U30"/>
  <c r="AB36"/>
  <c r="S17"/>
  <c r="AA36"/>
  <c r="AA43"/>
  <c r="S28"/>
  <c r="AB21"/>
  <c r="U21"/>
  <c r="AC19"/>
  <c r="U17"/>
  <c r="S13"/>
  <c r="U12"/>
  <c r="U10"/>
  <c r="U9"/>
  <c r="AB8"/>
  <c r="AA14"/>
  <c r="S8"/>
  <c r="T507" i="31"/>
  <c r="T497"/>
  <c r="T493"/>
  <c r="T489"/>
  <c r="T485"/>
  <c r="T481"/>
  <c r="T477"/>
  <c r="T473"/>
  <c r="T451"/>
  <c r="T449"/>
  <c r="T79"/>
  <c r="T75"/>
  <c r="T73"/>
  <c r="T71"/>
  <c r="T69"/>
  <c r="T67"/>
  <c r="T65"/>
  <c r="T63"/>
  <c r="T61"/>
  <c r="T59"/>
  <c r="T57"/>
  <c r="T53"/>
  <c r="T49"/>
  <c r="T45"/>
  <c r="T41"/>
  <c r="T37"/>
  <c r="D123" i="9"/>
  <c r="D6" i="52"/>
  <c r="K107" i="57"/>
  <c r="D33" i="50"/>
  <c r="D12"/>
  <c r="B26" i="60"/>
  <c r="D34" i="50"/>
  <c r="D13"/>
  <c r="B27" i="60"/>
  <c r="D31" i="50"/>
  <c r="D32"/>
  <c r="D10"/>
  <c r="D11"/>
  <c r="B25" i="60"/>
  <c r="D111" i="57"/>
  <c r="D35" i="50"/>
  <c r="D14"/>
  <c r="B28" i="60"/>
  <c r="D22" i="15"/>
  <c r="T28" i="31"/>
  <c r="A14" i="52"/>
  <c r="B61" i="60"/>
  <c r="C29" i="11"/>
  <c r="D27"/>
  <c r="C47"/>
  <c r="D45"/>
  <c r="C36" i="57"/>
  <c r="F124"/>
  <c r="G124"/>
  <c r="Y25" i="31"/>
  <c r="C35" i="57"/>
  <c r="D124"/>
  <c r="D125"/>
  <c r="V25" i="31"/>
  <c r="A4" i="54"/>
  <c r="B6" i="60"/>
  <c r="L103" i="43"/>
  <c r="H102"/>
  <c r="D109"/>
  <c r="K107"/>
  <c r="C106"/>
  <c r="H73"/>
  <c r="N9"/>
  <c r="M6"/>
  <c r="N11"/>
  <c r="M5"/>
  <c r="N2"/>
  <c r="F81"/>
  <c r="H85"/>
  <c r="N10"/>
  <c r="H13" i="44"/>
  <c r="H5"/>
  <c r="G59" i="40"/>
  <c r="C59"/>
  <c r="H11" i="44"/>
  <c r="A6" i="54"/>
  <c r="B7" i="60"/>
  <c r="C51" i="10"/>
  <c r="A8" i="54"/>
  <c r="B8" i="60"/>
  <c r="F2" i="21"/>
  <c r="F2" i="34"/>
  <c r="F2" i="35"/>
  <c r="F2" i="33"/>
  <c r="C109" i="9"/>
  <c r="H106"/>
  <c r="C111"/>
  <c r="H108"/>
  <c r="H105"/>
  <c r="C110"/>
  <c r="H107"/>
  <c r="D35" i="57"/>
  <c r="C117"/>
  <c r="H113"/>
  <c r="C114" i="9"/>
  <c r="H112"/>
  <c r="B104" i="57"/>
  <c r="C119"/>
  <c r="H115"/>
  <c r="A18" i="54"/>
  <c r="B15" i="60"/>
  <c r="C23" i="12"/>
  <c r="T500" i="31"/>
  <c r="T498"/>
  <c r="T496"/>
  <c r="T494"/>
  <c r="T492"/>
  <c r="T490"/>
  <c r="T488"/>
  <c r="T486"/>
  <c r="T484"/>
  <c r="T482"/>
  <c r="T480"/>
  <c r="T478"/>
  <c r="T476"/>
  <c r="T474"/>
  <c r="T472"/>
  <c r="T470"/>
  <c r="T466"/>
  <c r="T462"/>
  <c r="T458"/>
  <c r="T454"/>
  <c r="T446"/>
  <c r="T442"/>
  <c r="T438"/>
  <c r="T434"/>
  <c r="T430"/>
  <c r="T412"/>
  <c r="T396"/>
  <c r="T380"/>
  <c r="T364"/>
  <c r="T348"/>
  <c r="T332"/>
  <c r="T318"/>
  <c r="T302"/>
  <c r="T286"/>
  <c r="T270"/>
  <c r="C116" i="9"/>
  <c r="H114"/>
  <c r="T420" i="31"/>
  <c r="T404"/>
  <c r="T388"/>
  <c r="T372"/>
  <c r="T356"/>
  <c r="T340"/>
  <c r="T324"/>
  <c r="T310"/>
  <c r="T294"/>
  <c r="T278"/>
  <c r="T262"/>
  <c r="T80"/>
  <c r="T78"/>
  <c r="T76"/>
  <c r="T56"/>
  <c r="T54"/>
  <c r="T52"/>
  <c r="T50"/>
  <c r="T48"/>
  <c r="T46"/>
  <c r="T44"/>
  <c r="T42"/>
  <c r="T40"/>
  <c r="T38"/>
  <c r="T36"/>
  <c r="D32" i="9"/>
  <c r="F117"/>
  <c r="A132"/>
  <c r="D24" i="15"/>
  <c r="M20"/>
  <c r="D9" i="11"/>
  <c r="C9"/>
  <c r="D19"/>
  <c r="C19"/>
  <c r="C20"/>
  <c r="C28"/>
  <c r="C17" i="12"/>
  <c r="C20"/>
  <c r="C19"/>
  <c r="M18" i="15"/>
  <c r="D69" i="57"/>
  <c r="F54"/>
  <c r="F31" i="12"/>
  <c r="C31"/>
  <c r="F52" i="9"/>
  <c r="F48"/>
  <c r="O52"/>
  <c r="F30" i="11"/>
  <c r="F32" i="15"/>
  <c r="F61"/>
  <c r="F28"/>
  <c r="C28"/>
  <c r="F49" i="57"/>
  <c r="O53"/>
  <c r="F55"/>
  <c r="F53"/>
  <c r="F54" i="9"/>
  <c r="D68"/>
  <c r="F53"/>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95" i="57"/>
  <c r="C93"/>
  <c r="C92" i="9"/>
  <c r="H7" i="35"/>
  <c r="F7"/>
  <c r="J7"/>
  <c r="AC7"/>
  <c r="V38"/>
  <c r="C7" i="39"/>
  <c r="C68"/>
  <c r="C70"/>
  <c r="C53" i="10"/>
  <c r="D124" i="9"/>
  <c r="D7" i="52"/>
  <c r="M48" i="57"/>
  <c r="D68" i="39"/>
  <c r="D63" i="40"/>
  <c r="B58" i="60"/>
  <c r="A12" i="52"/>
  <c r="B67" i="60"/>
  <c r="C94" i="9"/>
  <c r="H49" i="43"/>
  <c r="L105"/>
  <c r="L109"/>
  <c r="H105"/>
  <c r="H107"/>
  <c r="D104"/>
  <c r="K106"/>
  <c r="K102"/>
  <c r="G105"/>
  <c r="G109"/>
  <c r="C104"/>
  <c r="C107"/>
  <c r="A4" i="52"/>
  <c r="A124" i="57"/>
  <c r="M47" i="9"/>
  <c r="N104" i="46"/>
  <c r="C7" i="21"/>
  <c r="C58"/>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M60" i="15"/>
  <c r="H70" i="43"/>
  <c r="H75"/>
  <c r="H71"/>
  <c r="H76"/>
  <c r="D115"/>
  <c r="E115"/>
  <c r="F115"/>
  <c r="G115"/>
  <c r="H115"/>
  <c r="B117"/>
  <c r="C117"/>
  <c r="M109"/>
  <c r="I107"/>
  <c r="N106"/>
  <c r="J105"/>
  <c r="F104"/>
  <c r="G37" i="47"/>
  <c r="C23" i="43"/>
  <c r="C7" i="34"/>
  <c r="C59"/>
  <c r="D59"/>
  <c r="C7" i="36"/>
  <c r="C46"/>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2"/>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C17"/>
  <c r="A2" i="9"/>
  <c r="M46"/>
  <c r="F9" i="48"/>
  <c r="H9"/>
  <c r="W23" i="40"/>
  <c r="F10" i="48"/>
  <c r="H10"/>
  <c r="S23" i="40"/>
  <c r="U23"/>
  <c r="S38"/>
  <c r="U40"/>
  <c r="S33"/>
  <c r="AB31"/>
  <c r="AC14"/>
  <c r="AC13"/>
  <c r="S14"/>
  <c r="S31"/>
  <c r="U15"/>
  <c r="S11"/>
  <c r="F8" i="48"/>
  <c r="H8"/>
  <c r="F16"/>
  <c r="H16"/>
  <c r="B22"/>
  <c r="D22"/>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c r="B5"/>
  <c r="D5"/>
  <c r="B4"/>
  <c r="F11"/>
  <c r="H11"/>
  <c r="B9"/>
  <c r="D9"/>
  <c r="B7"/>
  <c r="D7"/>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c r="D15"/>
  <c r="F5"/>
  <c r="H5"/>
  <c r="H15"/>
  <c r="F6"/>
  <c r="H6"/>
  <c r="B13"/>
  <c r="D13"/>
  <c r="B10"/>
  <c r="D10"/>
  <c r="B16"/>
  <c r="D16"/>
  <c r="F4"/>
  <c r="H4"/>
  <c r="F21"/>
  <c r="H21"/>
  <c r="B14"/>
  <c r="D14"/>
  <c r="F7"/>
  <c r="H7"/>
  <c r="B6"/>
  <c r="D6"/>
  <c r="U37" i="33"/>
  <c r="U19"/>
  <c r="AC32"/>
  <c r="AA43"/>
  <c r="S32"/>
  <c r="U33"/>
  <c r="AA28"/>
  <c r="U30"/>
  <c r="S39"/>
  <c r="AB26"/>
  <c r="AA36"/>
  <c r="W35"/>
  <c r="W40"/>
  <c r="W26"/>
  <c r="S33"/>
  <c r="U35"/>
  <c r="U32"/>
  <c r="AC45"/>
  <c r="AB29"/>
  <c r="AB36"/>
  <c r="W15"/>
  <c r="AA19"/>
  <c r="W8"/>
  <c r="G83" i="21"/>
  <c r="J21"/>
  <c r="S27"/>
  <c r="AC31"/>
  <c r="W23"/>
  <c r="AB25"/>
  <c r="U40"/>
  <c r="S46"/>
  <c r="AC46"/>
  <c r="W10"/>
  <c r="W12"/>
  <c r="S35"/>
  <c r="C15" i="39"/>
  <c r="C17"/>
  <c r="C19"/>
  <c r="C15" i="40"/>
  <c r="C17"/>
  <c r="B54" i="43"/>
  <c r="B65"/>
  <c r="U30" i="40"/>
  <c r="B49" i="43"/>
  <c r="B52"/>
  <c r="B56"/>
  <c r="B60"/>
  <c r="B63"/>
  <c r="B67"/>
  <c r="C32" i="15"/>
  <c r="C54"/>
  <c r="C34"/>
  <c r="N60"/>
  <c r="L60"/>
  <c r="Q72"/>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R25" i="31"/>
  <c r="B24"/>
  <c r="B3"/>
  <c r="C34" i="57"/>
  <c r="I124"/>
  <c r="J6" i="15"/>
  <c r="I38" i="35"/>
  <c r="I42"/>
  <c r="J42"/>
  <c r="C27" i="11"/>
  <c r="C18" i="12"/>
  <c r="W7" i="35"/>
  <c r="F34" i="11"/>
  <c r="E19" i="1"/>
  <c r="D20"/>
  <c r="D18"/>
  <c r="F50" i="11"/>
  <c r="F19" i="1"/>
  <c r="F18"/>
  <c r="D19"/>
  <c r="F22" i="11"/>
  <c r="C44"/>
  <c r="F25" i="12"/>
  <c r="C26"/>
  <c r="K87" i="43"/>
  <c r="J87"/>
  <c r="D87"/>
  <c r="E3" i="4"/>
  <c r="B5" i="55"/>
  <c r="B55" i="60"/>
  <c r="C7" i="43"/>
  <c r="C3" i="4"/>
  <c r="B4" i="55"/>
  <c r="B53" i="60"/>
  <c r="P25" i="43"/>
  <c r="P23"/>
  <c r="P21"/>
  <c r="B71" i="39"/>
  <c r="P24" i="43"/>
  <c r="B66" i="40"/>
  <c r="P22" i="43"/>
  <c r="S7" i="35"/>
  <c r="AA7"/>
  <c r="R38"/>
  <c r="E38"/>
  <c r="D46" i="36"/>
  <c r="E46"/>
  <c r="F46"/>
  <c r="G46"/>
  <c r="H46"/>
  <c r="I46"/>
  <c r="J46"/>
  <c r="K46"/>
  <c r="L46"/>
  <c r="M46"/>
  <c r="N46"/>
  <c r="O46"/>
  <c r="J7"/>
  <c r="F7"/>
  <c r="AB7" i="35"/>
  <c r="T38"/>
  <c r="G38"/>
  <c r="G42"/>
  <c r="H42"/>
  <c r="U7"/>
  <c r="K106" i="9"/>
  <c r="D8" i="48"/>
  <c r="H7" i="37"/>
  <c r="J7"/>
  <c r="F7"/>
  <c r="D58" i="21"/>
  <c r="E58"/>
  <c r="F58"/>
  <c r="G58"/>
  <c r="H58"/>
  <c r="I58"/>
  <c r="J58"/>
  <c r="K58"/>
  <c r="L58"/>
  <c r="M58"/>
  <c r="N58"/>
  <c r="O58"/>
  <c r="D70" i="39"/>
  <c r="E68"/>
  <c r="E59" i="34"/>
  <c r="F59"/>
  <c r="G59"/>
  <c r="H59"/>
  <c r="I59"/>
  <c r="J59"/>
  <c r="K59"/>
  <c r="L59"/>
  <c r="M59"/>
  <c r="N59"/>
  <c r="O59"/>
  <c r="O19" i="43"/>
  <c r="D58" i="33"/>
  <c r="E58"/>
  <c r="F58"/>
  <c r="G58"/>
  <c r="H58"/>
  <c r="I58"/>
  <c r="J58"/>
  <c r="K58"/>
  <c r="L58"/>
  <c r="M58"/>
  <c r="N58"/>
  <c r="O58"/>
  <c r="D65" i="40"/>
  <c r="E63"/>
  <c r="D4" i="48"/>
  <c r="B14" i="1"/>
  <c r="L59" i="15"/>
  <c r="C50"/>
  <c r="C115" i="43"/>
  <c r="D113"/>
  <c r="J22"/>
  <c r="C21"/>
  <c r="M84"/>
  <c r="N84"/>
  <c r="K84"/>
  <c r="J84"/>
  <c r="D84"/>
  <c r="J5" i="15"/>
  <c r="J18"/>
  <c r="M81" i="43"/>
  <c r="N81"/>
  <c r="K81"/>
  <c r="J81"/>
  <c r="D81"/>
  <c r="M88"/>
  <c r="N88"/>
  <c r="K88"/>
  <c r="J88"/>
  <c r="D88"/>
  <c r="I55" i="15"/>
  <c r="G43" i="35"/>
  <c r="H43"/>
  <c r="B2" i="31"/>
  <c r="C33" i="57"/>
  <c r="H124"/>
  <c r="I103"/>
  <c r="I104"/>
  <c r="C107"/>
  <c r="Q59" i="15"/>
  <c r="C106" i="57"/>
  <c r="F7" i="33"/>
  <c r="AA7"/>
  <c r="R48"/>
  <c r="R39" i="35"/>
  <c r="C38"/>
  <c r="D110" i="57"/>
  <c r="H125"/>
  <c r="D25" i="12"/>
  <c r="C25" i="11"/>
  <c r="C26"/>
  <c r="D22"/>
  <c r="C23"/>
  <c r="C24"/>
  <c r="H7" i="36"/>
  <c r="U7"/>
  <c r="B40" i="1"/>
  <c r="M27" i="15"/>
  <c r="C49"/>
  <c r="J7" i="33"/>
  <c r="W7"/>
  <c r="J24" i="15"/>
  <c r="D41" i="11"/>
  <c r="C11" i="12"/>
  <c r="C34" i="11"/>
  <c r="E81" i="43"/>
  <c r="B18" i="49"/>
  <c r="B4" i="60"/>
  <c r="S7" i="36"/>
  <c r="AA7"/>
  <c r="R36"/>
  <c r="H7" i="33"/>
  <c r="U7"/>
  <c r="W7" i="36"/>
  <c r="AC7"/>
  <c r="V36"/>
  <c r="I36"/>
  <c r="I40"/>
  <c r="J40"/>
  <c r="F7" i="34"/>
  <c r="S7"/>
  <c r="J7"/>
  <c r="AC7"/>
  <c r="V49"/>
  <c r="I49"/>
  <c r="I53"/>
  <c r="J53"/>
  <c r="H7"/>
  <c r="AB7"/>
  <c r="T49"/>
  <c r="G49"/>
  <c r="S7" i="37"/>
  <c r="AA7"/>
  <c r="R42"/>
  <c r="U7"/>
  <c r="AB7"/>
  <c r="T42"/>
  <c r="G42"/>
  <c r="F63" i="40"/>
  <c r="E65"/>
  <c r="F68" i="39"/>
  <c r="E70"/>
  <c r="AC7" i="37"/>
  <c r="V42"/>
  <c r="I42"/>
  <c r="I46"/>
  <c r="J46"/>
  <c r="W7"/>
  <c r="L57" i="15"/>
  <c r="J58"/>
  <c r="J56"/>
  <c r="J59"/>
  <c r="Q48"/>
  <c r="H10" i="39"/>
  <c r="J10"/>
  <c r="H10" i="40"/>
  <c r="F10"/>
  <c r="F10" i="39"/>
  <c r="J10" i="40"/>
  <c r="B79" i="43"/>
  <c r="T16"/>
  <c r="V16"/>
  <c r="E43" i="35"/>
  <c r="F43"/>
  <c r="E42"/>
  <c r="F42"/>
  <c r="I43"/>
  <c r="J43"/>
  <c r="C33" i="43"/>
  <c r="C67" i="15"/>
  <c r="C61"/>
  <c r="S7" i="33"/>
  <c r="C32" i="9"/>
  <c r="H121"/>
  <c r="D14" i="62"/>
  <c r="E14"/>
  <c r="D109" i="57"/>
  <c r="I111"/>
  <c r="D128"/>
  <c r="I102" i="9"/>
  <c r="I110"/>
  <c r="D125"/>
  <c r="G14" i="62"/>
  <c r="B33" i="1"/>
  <c r="F70" i="15"/>
  <c r="Q50"/>
  <c r="D46" i="57"/>
  <c r="C39" i="35"/>
  <c r="B3"/>
  <c r="AB7" i="36"/>
  <c r="T36"/>
  <c r="G36"/>
  <c r="G41"/>
  <c r="H41"/>
  <c r="AC7" i="33"/>
  <c r="V48"/>
  <c r="I48"/>
  <c r="I52"/>
  <c r="J52"/>
  <c r="S7" i="21"/>
  <c r="M49" i="57"/>
  <c r="C15" i="12"/>
  <c r="D130" i="57"/>
  <c r="H14" i="62"/>
  <c r="C13" i="12"/>
  <c r="C12"/>
  <c r="C22" i="11"/>
  <c r="C31"/>
  <c r="C36"/>
  <c r="C38"/>
  <c r="C35"/>
  <c r="T5" i="43"/>
  <c r="V5"/>
  <c r="T3"/>
  <c r="V3"/>
  <c r="T13"/>
  <c r="V13"/>
  <c r="T2"/>
  <c r="V2"/>
  <c r="T8"/>
  <c r="V8"/>
  <c r="T10"/>
  <c r="V10"/>
  <c r="T15"/>
  <c r="V15"/>
  <c r="T7"/>
  <c r="V7"/>
  <c r="T4"/>
  <c r="V4"/>
  <c r="T6"/>
  <c r="V6"/>
  <c r="T11"/>
  <c r="V11"/>
  <c r="T9"/>
  <c r="V9"/>
  <c r="T12"/>
  <c r="V12"/>
  <c r="T14"/>
  <c r="V14"/>
  <c r="W7" i="34"/>
  <c r="AA7"/>
  <c r="R49"/>
  <c r="E49"/>
  <c r="AB7" i="33"/>
  <c r="T48"/>
  <c r="G48"/>
  <c r="G52"/>
  <c r="H52"/>
  <c r="E36" i="36"/>
  <c r="G53" i="34"/>
  <c r="H53"/>
  <c r="G54"/>
  <c r="H54"/>
  <c r="U7"/>
  <c r="E48" i="33"/>
  <c r="G46" i="37"/>
  <c r="H46"/>
  <c r="G47"/>
  <c r="H47"/>
  <c r="R43"/>
  <c r="E42"/>
  <c r="I48" i="21"/>
  <c r="W7"/>
  <c r="E48"/>
  <c r="F70" i="39"/>
  <c r="G68"/>
  <c r="G63" i="40"/>
  <c r="F65"/>
  <c r="U7" i="21"/>
  <c r="G48"/>
  <c r="W10" i="40"/>
  <c r="AC10"/>
  <c r="S10"/>
  <c r="AA10"/>
  <c r="W10" i="39"/>
  <c r="AC10"/>
  <c r="AA10"/>
  <c r="S10"/>
  <c r="AB10" i="40"/>
  <c r="U10"/>
  <c r="U10" i="39"/>
  <c r="AB10"/>
  <c r="Q71" i="15"/>
  <c r="Q58"/>
  <c r="C29" i="43"/>
  <c r="D53" i="57"/>
  <c r="C79"/>
  <c r="C74"/>
  <c r="D54"/>
  <c r="D49"/>
  <c r="M53"/>
  <c r="C86"/>
  <c r="C73"/>
  <c r="C94"/>
  <c r="C87"/>
  <c r="D115"/>
  <c r="D116"/>
  <c r="I112"/>
  <c r="D129"/>
  <c r="D117"/>
  <c r="D118"/>
  <c r="I114"/>
  <c r="D131"/>
  <c r="F14" i="62"/>
  <c r="D56" i="57"/>
  <c r="M54"/>
  <c r="C65"/>
  <c r="G40" i="36"/>
  <c r="H40"/>
  <c r="R37"/>
  <c r="C37"/>
  <c r="L69" i="57"/>
  <c r="M69"/>
  <c r="L68"/>
  <c r="M68"/>
  <c r="L67"/>
  <c r="M67"/>
  <c r="L66"/>
  <c r="M66"/>
  <c r="L65"/>
  <c r="M65"/>
  <c r="L64"/>
  <c r="M64"/>
  <c r="G53" i="33"/>
  <c r="H53"/>
  <c r="C16" i="12"/>
  <c r="C21"/>
  <c r="C22"/>
  <c r="C30"/>
  <c r="C28"/>
  <c r="C33" i="11"/>
  <c r="C42"/>
  <c r="R50" i="34"/>
  <c r="C50"/>
  <c r="R49" i="33"/>
  <c r="C48"/>
  <c r="E40" i="36"/>
  <c r="F40"/>
  <c r="E41"/>
  <c r="F41"/>
  <c r="I41"/>
  <c r="J41"/>
  <c r="C48" i="21"/>
  <c r="G52"/>
  <c r="H52"/>
  <c r="G53"/>
  <c r="H53"/>
  <c r="H68" i="39"/>
  <c r="G70"/>
  <c r="E52" i="21"/>
  <c r="F52"/>
  <c r="E53"/>
  <c r="F53"/>
  <c r="I52"/>
  <c r="J52"/>
  <c r="I53"/>
  <c r="J53"/>
  <c r="C42" i="37"/>
  <c r="C43"/>
  <c r="H63" i="40"/>
  <c r="G65"/>
  <c r="E46" i="37"/>
  <c r="F46"/>
  <c r="I47"/>
  <c r="J47"/>
  <c r="E47"/>
  <c r="F47"/>
  <c r="E52" i="33"/>
  <c r="F52"/>
  <c r="E53"/>
  <c r="F53"/>
  <c r="I53"/>
  <c r="J53"/>
  <c r="I54" i="34"/>
  <c r="J54"/>
  <c r="E53"/>
  <c r="F53"/>
  <c r="E54"/>
  <c r="F54"/>
  <c r="I38" i="43"/>
  <c r="E38"/>
  <c r="I34"/>
  <c r="E34"/>
  <c r="E37"/>
  <c r="I37"/>
  <c r="E39"/>
  <c r="I39"/>
  <c r="E29"/>
  <c r="C30"/>
  <c r="E30"/>
  <c r="I36"/>
  <c r="E36"/>
  <c r="I35"/>
  <c r="E35"/>
  <c r="E33"/>
  <c r="G33"/>
  <c r="I33"/>
  <c r="D133" i="57"/>
  <c r="C80"/>
  <c r="C81"/>
  <c r="E81"/>
  <c r="E82"/>
  <c r="C64"/>
  <c r="C68"/>
  <c r="C69"/>
  <c r="D55"/>
  <c r="C96"/>
  <c r="C97"/>
  <c r="E97"/>
  <c r="E98"/>
  <c r="C36" i="36"/>
  <c r="C49" i="34"/>
  <c r="C49" i="33"/>
  <c r="M70" i="57"/>
  <c r="C27" i="12"/>
  <c r="C25"/>
  <c r="C39" i="11"/>
  <c r="I63" i="40"/>
  <c r="H65"/>
  <c r="I68" i="39"/>
  <c r="H70"/>
  <c r="C26" i="43"/>
  <c r="B2"/>
  <c r="B3"/>
  <c r="C27"/>
  <c r="C82" i="57"/>
  <c r="C98"/>
  <c r="D59"/>
  <c r="D57"/>
  <c r="M55"/>
  <c r="N70"/>
  <c r="M57"/>
  <c r="N58"/>
  <c r="C43" i="11"/>
  <c r="C41"/>
  <c r="C32" i="12"/>
  <c r="B2"/>
  <c r="C46" i="11"/>
  <c r="C45"/>
  <c r="J60" i="15"/>
  <c r="J61"/>
  <c r="J68" i="39"/>
  <c r="I70"/>
  <c r="J63" i="40"/>
  <c r="I65"/>
  <c r="Q46" i="15"/>
  <c r="C49" i="11"/>
  <c r="C51"/>
  <c r="C52"/>
  <c r="B3"/>
  <c r="P58" i="57"/>
  <c r="N59"/>
  <c r="N60"/>
  <c r="B3" i="12"/>
  <c r="Q47" i="15"/>
  <c r="J19"/>
  <c r="J17"/>
  <c r="C33"/>
  <c r="J14"/>
  <c r="C58"/>
  <c r="K68" i="39"/>
  <c r="J70"/>
  <c r="K63" i="40"/>
  <c r="J65"/>
  <c r="D20" i="57"/>
  <c r="N62"/>
  <c r="D119"/>
  <c r="D120"/>
  <c r="I116"/>
  <c r="I115"/>
  <c r="D132"/>
  <c r="I14" i="62"/>
  <c r="B8"/>
  <c r="N61" i="57"/>
  <c r="D103"/>
  <c r="C56" i="11"/>
  <c r="C57"/>
  <c r="J22" i="15"/>
  <c r="J13"/>
  <c r="J23"/>
  <c r="C62"/>
  <c r="C60"/>
  <c r="C65"/>
  <c r="J34"/>
  <c r="Q68"/>
  <c r="C57"/>
  <c r="C66"/>
  <c r="L63" i="40"/>
  <c r="K65"/>
  <c r="L68" i="39"/>
  <c r="K70"/>
  <c r="C102" i="9"/>
  <c r="C8" i="62"/>
  <c r="D8"/>
  <c r="C59" i="15"/>
  <c r="C68"/>
  <c r="C69"/>
  <c r="C72"/>
  <c r="J16"/>
  <c r="J25"/>
  <c r="J26"/>
  <c r="J29"/>
  <c r="Q67"/>
  <c r="Q66"/>
  <c r="J38"/>
  <c r="M68" i="39"/>
  <c r="L70"/>
  <c r="M63" i="40"/>
  <c r="L65"/>
  <c r="C47" i="15"/>
  <c r="J39"/>
  <c r="J41"/>
  <c r="J42"/>
  <c r="C43"/>
  <c r="L52"/>
  <c r="Q63"/>
  <c r="Q45"/>
  <c r="Q51"/>
  <c r="Q54"/>
  <c r="N63" i="40"/>
  <c r="M65"/>
  <c r="N68" i="39"/>
  <c r="M70"/>
  <c r="E2" i="11"/>
  <c r="E2" i="37"/>
  <c r="D19" i="9"/>
  <c r="E2" i="35"/>
  <c r="E2" i="36"/>
  <c r="C19" i="57"/>
  <c r="C20"/>
  <c r="E2" i="33"/>
  <c r="E2" i="34"/>
  <c r="B2" i="36"/>
  <c r="B3"/>
  <c r="B2" i="34"/>
  <c r="B3"/>
  <c r="B2" i="35"/>
  <c r="B2" i="37"/>
  <c r="B3"/>
  <c r="B2" i="33"/>
  <c r="B3"/>
  <c r="D101" i="9"/>
  <c r="C102" i="57"/>
  <c r="B2" i="11"/>
  <c r="D102" i="9"/>
  <c r="G20" i="57"/>
  <c r="C103"/>
  <c r="Q65" i="15"/>
  <c r="L58"/>
  <c r="L61"/>
  <c r="O68" i="39"/>
  <c r="O70"/>
  <c r="N70"/>
  <c r="O63" i="40"/>
  <c r="O65"/>
  <c r="N65"/>
  <c r="B2" i="15"/>
  <c r="C19" i="9"/>
  <c r="D19" i="57"/>
  <c r="Q64" i="15"/>
  <c r="Q73"/>
  <c r="Q55"/>
  <c r="Q60"/>
  <c r="D22" i="57"/>
  <c r="D102"/>
  <c r="G19"/>
  <c r="C105"/>
  <c r="C101" i="9"/>
  <c r="D22"/>
  <c r="H7" i="40"/>
  <c r="F7"/>
  <c r="J7"/>
  <c r="H7" i="39"/>
  <c r="F7"/>
  <c r="J7"/>
  <c r="C104" i="57"/>
  <c r="W7" i="39"/>
  <c r="AC7"/>
  <c r="V47"/>
  <c r="I47"/>
  <c r="I51"/>
  <c r="J51"/>
  <c r="AB7"/>
  <c r="T47"/>
  <c r="G47"/>
  <c r="U7"/>
  <c r="AA7" i="40"/>
  <c r="R42"/>
  <c r="S7"/>
  <c r="AA7" i="39"/>
  <c r="R47"/>
  <c r="S7"/>
  <c r="AC7" i="40"/>
  <c r="V42"/>
  <c r="I42"/>
  <c r="W7"/>
  <c r="AB7"/>
  <c r="T42"/>
  <c r="G42"/>
  <c r="U7"/>
  <c r="B5" i="62"/>
  <c r="G47" i="40"/>
  <c r="H47"/>
  <c r="G46"/>
  <c r="H46"/>
  <c r="I46"/>
  <c r="J46"/>
  <c r="R48" i="39"/>
  <c r="E47"/>
  <c r="R43" i="40"/>
  <c r="E42"/>
  <c r="G51" i="39"/>
  <c r="H51"/>
  <c r="G52"/>
  <c r="H52"/>
  <c r="D5" i="62"/>
  <c r="C5"/>
  <c r="E46" i="40"/>
  <c r="F46"/>
  <c r="E47"/>
  <c r="F47"/>
  <c r="I52" i="39"/>
  <c r="J52"/>
  <c r="E51"/>
  <c r="F51"/>
  <c r="E52"/>
  <c r="F52"/>
  <c r="C42" i="40"/>
  <c r="C43"/>
  <c r="C47" i="39"/>
  <c r="C48"/>
  <c r="I47" i="40"/>
  <c r="J47"/>
  <c r="B7" i="62"/>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C7" i="62"/>
  <c r="D7"/>
  <c r="B6"/>
  <c r="F61" i="40"/>
  <c r="B2"/>
  <c r="B3"/>
  <c r="F66" i="39"/>
  <c r="B2"/>
  <c r="B3"/>
  <c r="D6" i="62"/>
  <c r="C6"/>
  <c r="M56" i="9"/>
  <c r="D130"/>
  <c r="D13" i="52"/>
  <c r="D35" i="9"/>
  <c r="C35"/>
  <c r="C34"/>
  <c r="D34"/>
  <c r="D114"/>
  <c r="D115"/>
  <c r="I113"/>
  <c r="D41" i="50"/>
  <c r="B63" i="60"/>
  <c r="D39" i="50"/>
  <c r="D40"/>
  <c r="D18"/>
  <c r="D127" i="9"/>
  <c r="D10" i="52"/>
  <c r="D128" i="9"/>
  <c r="D11" i="52"/>
  <c r="D20" i="50"/>
  <c r="D19"/>
  <c r="B32" i="60"/>
  <c r="B31"/>
  <c r="L67" i="9"/>
  <c r="M67"/>
  <c r="L65"/>
  <c r="M65"/>
  <c r="L66"/>
  <c r="M66"/>
  <c r="L68"/>
  <c r="M68"/>
  <c r="L63"/>
  <c r="M63"/>
  <c r="L64"/>
  <c r="M64"/>
  <c r="M69"/>
  <c r="N69"/>
  <c r="I114"/>
  <c r="D116"/>
  <c r="D129"/>
  <c r="D12" i="52"/>
  <c r="D21" i="50"/>
  <c r="D42"/>
  <c r="D43"/>
  <c r="D22"/>
  <c r="B35" i="60"/>
  <c r="B33"/>
  <c r="I121" i="9"/>
  <c r="I4" i="52"/>
  <c r="C104" i="9"/>
  <c r="D107"/>
  <c r="D45"/>
  <c r="D53"/>
  <c r="D48"/>
  <c r="M52"/>
  <c r="D55"/>
  <c r="M53"/>
  <c r="C85"/>
  <c r="C93"/>
  <c r="C86"/>
  <c r="C95"/>
  <c r="C96"/>
  <c r="C97"/>
  <c r="D58"/>
  <c r="D56"/>
  <c r="M54"/>
  <c r="D59"/>
  <c r="M55"/>
  <c r="N57"/>
  <c r="N59"/>
  <c r="N60"/>
  <c r="N61"/>
  <c r="N58"/>
  <c r="P57"/>
  <c r="H4" i="52"/>
  <c r="C103" i="9"/>
  <c r="D52"/>
  <c r="D106"/>
  <c r="D112"/>
  <c r="D113"/>
  <c r="I111"/>
  <c r="D17" i="50"/>
  <c r="D117" i="9"/>
  <c r="I115"/>
  <c r="D23" i="50"/>
  <c r="B34" i="60"/>
  <c r="C72" i="9"/>
  <c r="C78"/>
  <c r="C73"/>
  <c r="C79"/>
  <c r="C80"/>
  <c r="C81"/>
  <c r="D8" i="52"/>
  <c r="D15" i="50"/>
  <c r="D16"/>
  <c r="B30" i="60"/>
  <c r="H122" i="9"/>
  <c r="H5" i="52"/>
  <c r="D44" i="50"/>
  <c r="D7"/>
  <c r="B19" i="60"/>
  <c r="F121" i="9"/>
  <c r="G121"/>
  <c r="G4" i="52"/>
  <c r="B41" i="60"/>
  <c r="M48" i="9"/>
  <c r="D8" i="50"/>
  <c r="B22" i="60"/>
  <c r="B29"/>
  <c r="D28" i="50"/>
  <c r="D29"/>
  <c r="F122" i="9"/>
  <c r="F5" i="52"/>
  <c r="B42" i="60"/>
  <c r="E80" i="9"/>
  <c r="E81"/>
  <c r="I103"/>
  <c r="D9" i="50"/>
  <c r="B21" i="60"/>
  <c r="C64" i="9"/>
  <c r="C63"/>
  <c r="C67"/>
  <c r="C68"/>
  <c r="D54"/>
  <c r="D121"/>
  <c r="D4" i="52"/>
  <c r="B37" i="60"/>
  <c r="D122" i="9"/>
  <c r="D5" i="52"/>
  <c r="B39" i="60"/>
  <c r="E96" i="9"/>
  <c r="E97"/>
  <c r="D30" i="50"/>
  <c r="D36"/>
  <c r="D37"/>
  <c r="F4" i="52"/>
  <c r="B40" i="60"/>
  <c r="E121" i="9"/>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<sst xmlns="http://schemas.openxmlformats.org/spreadsheetml/2006/main" count="6874" uniqueCount="2902">
  <si>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</si>
  <si>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</si>
  <si>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</si>
  <si>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</si>
  <si>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</si>
  <si>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</si>
  <si>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</si>
  <si>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</si>
  <si>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</si>
  <si>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</si>
  <si>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</si>
  <si>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</si>
  <si>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</si>
  <si>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</si>
  <si>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</si>
  <si>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</si>
  <si>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</si>
  <si>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</si>
  <si>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</si>
  <si>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</si>
  <si>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</si>
  <si>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</si>
  <si>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</si>
  <si>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</si>
  <si>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</si>
  <si>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</si>
  <si>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</si>
  <si>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</si>
  <si>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</si>
  <si>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</si>
  <si>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</si>
  <si>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</si>
  <si>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</si>
  <si>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</si>
  <si>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</si>
  <si>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</si>
  <si>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</si>
  <si>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</si>
  <si>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</si>
  <si>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</si>
  <si>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</si>
  <si>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</si>
  <si>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</si>
  <si>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</si>
  <si>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</si>
  <si>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</si>
  <si>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</si>
  <si>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</si>
  <si>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</si>
  <si>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</si>
  <si>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</si>
  <si>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</si>
  <si>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</si>
  <si>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</si>
  <si>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</si>
  <si>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</si>
  <si>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</si>
  <si>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</si>
  <si>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</si>
  <si>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</si>
  <si>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</si>
  <si>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</si>
  <si>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</si>
  <si>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</si>
  <si>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</si>
  <si>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</si>
  <si>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</si>
  <si>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</si>
  <si>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</si>
  <si>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</si>
  <si>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</si>
  <si>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</si>
  <si>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</si>
  <si>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</si>
  <si>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</si>
  <si>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</si>
  <si>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</si>
  <si>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</si>
  <si>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</si>
  <si>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</si>
  <si>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</si>
  <si>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</si>
  <si>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</si>
  <si>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</si>
  <si>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</si>
  <si>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</si>
  <si>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</si>
  <si>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</si>
  <si>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</si>
  <si>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</si>
  <si>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</si>
  <si>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</si>
  <si>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</si>
  <si>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</si>
  <si>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</si>
  <si>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</si>
  <si>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</si>
  <si>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</si>
  <si>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</si>
  <si>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</si>
  <si>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</si>
  <si>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</si>
  <si>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</si>
  <si>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</si>
  <si>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</si>
  <si>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</si>
  <si>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</si>
  <si>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</si>
  <si>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</si>
  <si>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</si>
  <si>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</si>
  <si>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</si>
  <si>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</si>
  <si>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</si>
  <si>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</si>
  <si>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</si>
  <si>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</si>
  <si>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</si>
  <si>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</si>
  <si>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</si>
  <si>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</si>
  <si>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</si>
  <si>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</si>
  <si>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</si>
  <si>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</si>
  <si>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</si>
  <si>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</si>
  <si>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</si>
  <si>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</si>
  <si>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</si>
  <si>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</si>
  <si>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</si>
  <si>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</si>
  <si>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</si>
  <si>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</si>
  <si>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</si>
  <si>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</si>
  <si>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</si>
  <si>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</si>
  <si>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</si>
  <si>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</si>
  <si>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</si>
  <si>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</si>
  <si>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</si>
  <si>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</si>
  <si>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</si>
  <si>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</si>
  <si>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</si>
  <si>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</si>
  <si>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</si>
  <si>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</si>
  <si>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</si>
  <si>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</si>
  <si>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</si>
  <si>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</si>
  <si>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</si>
  <si>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</si>
  <si>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</si>
  <si>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</si>
  <si>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</si>
  <si>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</si>
  <si>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</si>
  <si>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</si>
  <si>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</si>
  <si>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</si>
  <si>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</si>
  <si>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</si>
  <si>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</si>
  <si>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</si>
  <si>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</si>
  <si>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</si>
  <si>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</si>
  <si>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</si>
  <si>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</si>
  <si>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</si>
  <si>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</si>
  <si>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</si>
  <si>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</si>
  <si>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</si>
  <si>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</si>
  <si>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</si>
  <si>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</si>
  <si>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</si>
  <si>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</si>
  <si>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</si>
  <si>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</si>
  <si>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</si>
  <si>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</si>
  <si>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</si>
  <si>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</si>
  <si>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</si>
  <si>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</si>
  <si>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</si>
  <si>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</si>
  <si>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</si>
  <si>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</si>
  <si>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</si>
  <si>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</si>
  <si>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</si>
  <si>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</si>
  <si>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</si>
  <si>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</si>
  <si>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</si>
  <si>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</si>
  <si>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</si>
  <si>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</si>
  <si>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</si>
  <si>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</si>
  <si>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</si>
  <si>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</si>
  <si>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</si>
  <si>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</si>
  <si>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</si>
  <si>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</si>
  <si>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</si>
  <si>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</si>
  <si>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</si>
  <si>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</si>
  <si>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</si>
  <si>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</si>
  <si>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</si>
  <si>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</si>
  <si>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</si>
  <si>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</si>
  <si>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</si>
  <si>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</si>
  <si>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</si>
  <si>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</si>
  <si>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</si>
  <si>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</si>
  <si>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</si>
  <si>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</si>
  <si>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</si>
  <si>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</si>
  <si>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</si>
  <si>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</si>
  <si>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</si>
  <si>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</si>
  <si>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</si>
  <si>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</si>
  <si>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</si>
  <si>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</si>
  <si>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</si>
  <si>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</si>
  <si>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</si>
  <si>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</si>
  <si>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</si>
  <si>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</si>
  <si>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</si>
  <si>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</si>
  <si>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</si>
  <si>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</si>
  <si>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</si>
  <si>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</si>
  <si>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</si>
  <si>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</si>
  <si>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</si>
  <si>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</si>
  <si>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</si>
  <si>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</si>
  <si>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</si>
  <si>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</si>
  <si>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</si>
  <si>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</si>
  <si>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</si>
  <si>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</si>
  <si>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</si>
  <si>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</si>
  <si>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</si>
  <si>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</si>
  <si>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</si>
  <si>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</si>
  <si>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</si>
  <si>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</si>
  <si>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</si>
  <si>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</si>
  <si>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</si>
  <si>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</si>
  <si>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</si>
  <si>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</si>
  <si>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</si>
  <si>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</si>
  <si>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</si>
  <si>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</si>
  <si>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</si>
  <si>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</si>
  <si>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</si>
  <si>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</si>
  <si>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</si>
  <si>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</si>
  <si>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</si>
  <si>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</si>
  <si>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</si>
  <si>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</si>
  <si>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</si>
  <si>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</si>
  <si>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</si>
  <si>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</si>
  <si>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</si>
  <si>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</si>
  <si>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</si>
  <si>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</si>
  <si>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</si>
  <si>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</si>
  <si>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</si>
  <si>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</si>
  <si>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</si>
  <si>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</si>
  <si>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</si>
  <si>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</si>
  <si>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</si>
  <si>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</si>
  <si>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</si>
  <si>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</si>
  <si>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</si>
  <si>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</si>
  <si>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</si>
  <si>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</si>
  <si>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</si>
  <si>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</si>
  <si>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</si>
  <si>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</si>
  <si>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</si>
  <si>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</si>
  <si>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</si>
  <si>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</si>
  <si>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</si>
  <si>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</si>
  <si>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</si>
  <si>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</si>
  <si>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</si>
  <si>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</si>
  <si>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</si>
  <si>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</si>
  <si>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</si>
  <si>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</si>
  <si>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</si>
  <si>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</si>
  <si>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</si>
  <si>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</si>
  <si>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</si>
  <si>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</si>
  <si>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</si>
  <si>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</si>
  <si>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</si>
  <si>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</si>
  <si>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</si>
  <si>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</si>
  <si>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</si>
  <si>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</si>
  <si>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</si>
  <si>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</si>
  <si>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</si>
  <si>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</si>
  <si>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</si>
  <si>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</si>
  <si>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</si>
  <si>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</si>
  <si>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</si>
  <si>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</si>
  <si>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</si>
  <si>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</si>
  <si>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</si>
  <si>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</si>
  <si>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</si>
  <si>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</si>
  <si>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</si>
  <si>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</si>
  <si>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</si>
  <si>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</si>
  <si>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</si>
  <si>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</si>
  <si>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</si>
  <si>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</si>
  <si>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</si>
  <si>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</si>
  <si>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</si>
  <si>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</si>
  <si>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</si>
  <si>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</si>
  <si>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</si>
  <si>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</si>
  <si>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</si>
  <si>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</si>
  <si>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</si>
  <si>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</si>
  <si>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</si>
  <si>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</si>
  <si>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</si>
  <si>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</si>
  <si>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</si>
  <si>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</si>
  <si>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</si>
  <si>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</si>
  <si>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</si>
  <si>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</si>
  <si>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</si>
  <si>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</si>
  <si>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</si>
  <si>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</si>
  <si>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</si>
  <si>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</si>
  <si>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</si>
  <si>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</si>
  <si>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</si>
  <si>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</si>
  <si>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</si>
  <si>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</si>
  <si>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</si>
  <si>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</si>
  <si>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</si>
  <si>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</si>
  <si>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</si>
  <si>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</si>
  <si>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</si>
  <si>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</si>
  <si>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</si>
  <si>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</si>
  <si>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</si>
  <si>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</si>
  <si>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</si>
  <si>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</si>
  <si>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</si>
  <si>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</si>
  <si>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</si>
  <si>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</si>
  <si>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</si>
  <si>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</si>
  <si>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</si>
  <si>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</si>
  <si>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</si>
  <si>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</si>
  <si>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</si>
  <si>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</si>
  <si>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</si>
  <si>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</si>
  <si>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</si>
  <si>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</si>
  <si>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</si>
  <si>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</si>
  <si>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</si>
  <si>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</si>
  <si>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</si>
  <si>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</si>
  <si>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</si>
  <si>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</si>
  <si>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</si>
  <si>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</si>
  <si>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</si>
  <si>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</si>
  <si>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</si>
  <si>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</si>
  <si>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</si>
  <si>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</si>
  <si>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</si>
  <si>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</si>
  <si>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</si>
  <si>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</si>
  <si>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</si>
  <si>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</si>
  <si>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</si>
  <si>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</si>
  <si>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</si>
  <si>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</si>
  <si>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</si>
  <si>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</si>
  <si>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</si>
  <si>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</si>
  <si>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</si>
  <si>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</si>
  <si>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</si>
  <si>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</si>
  <si>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</si>
  <si>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</si>
  <si>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</si>
  <si>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</si>
  <si>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</si>
  <si>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</si>
  <si>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</si>
  <si>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</si>
  <si>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</si>
  <si>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</si>
  <si>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</si>
  <si>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</si>
  <si>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</si>
  <si>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</si>
  <si>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</si>
  <si>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</si>
  <si>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</si>
  <si>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</si>
  <si>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</si>
  <si>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</si>
  <si>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</si>
  <si>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</si>
  <si>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</si>
  <si>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</si>
  <si>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</si>
  <si>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</si>
  <si>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</si>
  <si>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</si>
  <si>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</si>
  <si>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</si>
  <si>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</si>
  <si>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</si>
  <si>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</si>
  <si>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</si>
  <si>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</si>
  <si>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</si>
  <si>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</si>
  <si>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</si>
  <si>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</si>
  <si>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</si>
  <si>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</si>
  <si>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</si>
  <si>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</si>
  <si>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</si>
  <si>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</si>
  <si>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</si>
  <si>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</si>
  <si>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</si>
  <si>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</si>
  <si>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</si>
  <si>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</si>
  <si>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</si>
  <si>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</si>
  <si>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</si>
  <si>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</si>
  <si>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</si>
  <si>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</si>
  <si>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</si>
  <si>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</si>
  <si>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</si>
  <si>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</si>
  <si>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</si>
  <si>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</si>
  <si>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</si>
  <si>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</si>
  <si>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</si>
  <si>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</si>
  <si>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</si>
  <si>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</si>
  <si>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</si>
  <si>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</si>
  <si>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</si>
  <si>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</si>
  <si>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</si>
  <si>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</si>
  <si>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</si>
  <si>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</si>
  <si>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</si>
  <si>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</si>
  <si>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</si>
  <si>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</si>
  <si>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</si>
  <si>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</si>
  <si>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</si>
  <si>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</si>
  <si>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</si>
  <si>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</si>
  <si>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</si>
  <si>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</si>
  <si>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</si>
  <si>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</si>
  <si>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</si>
  <si>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</si>
  <si>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</si>
  <si>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</si>
  <si>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</si>
  <si>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</si>
  <si>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</si>
  <si>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</si>
  <si>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</si>
  <si>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</si>
  <si>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</si>
  <si>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</si>
  <si>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</si>
  <si>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</si>
  <si>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</si>
  <si>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</si>
  <si>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</si>
  <si>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</si>
  <si>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</si>
  <si>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</si>
  <si>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</si>
  <si>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</si>
  <si>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</si>
  <si>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</si>
  <si>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</si>
  <si>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</si>
  <si>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</si>
  <si>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</si>
  <si>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</si>
  <si>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</si>
  <si>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</si>
  <si>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</si>
  <si>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</si>
  <si>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</si>
  <si>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</si>
  <si>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</si>
  <si>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</si>
  <si>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</si>
  <si>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</si>
  <si>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</si>
  <si>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</si>
  <si>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</si>
  <si>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</si>
  <si>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</si>
  <si>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</si>
  <si>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</si>
  <si>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</si>
  <si>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</si>
  <si>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</si>
  <si>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</si>
  <si>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</si>
  <si>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</si>
  <si>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</si>
  <si>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</si>
  <si>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</si>
  <si>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</si>
  <si>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</si>
  <si>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</si>
  <si>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</si>
  <si>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</si>
  <si>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</si>
  <si>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</si>
  <si>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</si>
  <si>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</si>
  <si>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</si>
  <si>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</si>
  <si>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</si>
  <si>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</si>
  <si>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</si>
  <si>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</si>
  <si>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</si>
  <si>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</si>
  <si>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</si>
  <si>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</si>
  <si>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</si>
  <si>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</si>
  <si>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</si>
  <si>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</si>
  <si>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</si>
  <si>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</si>
  <si>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</si>
  <si>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</si>
  <si>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</si>
  <si>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</si>
  <si>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</si>
  <si>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</si>
  <si>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</si>
  <si>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</si>
  <si>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</si>
  <si>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</si>
  <si>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</si>
  <si>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</si>
  <si>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</si>
  <si>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</si>
  <si>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</si>
  <si>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</si>
  <si>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</si>
  <si>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</si>
  <si>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</si>
  <si>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</si>
  <si>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</si>
  <si>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</si>
  <si>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</si>
  <si>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</si>
  <si>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</si>
  <si>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</si>
  <si>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</si>
  <si>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</si>
  <si>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</si>
  <si>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</si>
  <si>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</si>
  <si>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</si>
  <si>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</si>
  <si>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</si>
  <si>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</si>
  <si>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</si>
  <si>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</si>
  <si>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</si>
  <si>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</si>
  <si>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</si>
  <si>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</si>
  <si>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</si>
  <si>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</si>
  <si>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</si>
  <si>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</si>
  <si>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</si>
  <si>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</si>
  <si>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</si>
  <si>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</si>
  <si>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</si>
  <si>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</si>
  <si>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</si>
  <si>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</si>
  <si>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</si>
  <si>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</si>
  <si>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</si>
  <si>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</si>
  <si>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</si>
  <si>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</si>
  <si>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</si>
  <si>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</si>
  <si>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</si>
  <si>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</si>
  <si>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</si>
  <si>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</si>
  <si>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</si>
  <si>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</si>
  <si>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</si>
  <si>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</si>
  <si>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</si>
  <si>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</si>
  <si>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</si>
  <si>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</si>
  <si>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</si>
  <si>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</si>
  <si>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</si>
  <si>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</si>
  <si>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</si>
  <si>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</si>
  <si>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</si>
  <si>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</si>
  <si>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</si>
  <si>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</si>
  <si>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</si>
  <si>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</si>
  <si>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</si>
  <si>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</si>
  <si>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</si>
  <si>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</si>
  <si>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</si>
  <si>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</si>
  <si>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</si>
  <si>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</si>
  <si>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</si>
  <si>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</si>
  <si>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</si>
  <si>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</si>
  <si>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</si>
  <si>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</si>
  <si>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</si>
  <si>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</si>
  <si>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</si>
  <si>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</si>
  <si>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</si>
  <si>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</si>
  <si>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</si>
  <si>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</si>
  <si>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</si>
  <si>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</si>
  <si>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</si>
  <si>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</si>
  <si>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</si>
  <si>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</si>
  <si>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</si>
  <si>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</si>
  <si>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</si>
  <si>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</si>
  <si>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</si>
  <si>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</si>
  <si>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</si>
  <si>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</si>
  <si>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</si>
  <si>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</si>
  <si>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</si>
  <si>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</si>
  <si>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</si>
  <si>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</si>
  <si>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</si>
  <si>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</si>
  <si>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</si>
  <si>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</si>
  <si>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</si>
  <si>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</si>
  <si>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</si>
  <si>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</si>
  <si>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</si>
  <si>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</si>
  <si>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</si>
  <si>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</si>
  <si>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</si>
  <si>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</si>
  <si>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</si>
  <si>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</si>
  <si>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</si>
  <si>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</si>
  <si>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</si>
  <si>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</si>
  <si>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</si>
  <si>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</si>
  <si>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</si>
  <si>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</si>
  <si>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</si>
  <si>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</si>
  <si>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</si>
  <si>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</si>
  <si>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</si>
  <si>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</si>
  <si>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</si>
  <si>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</si>
  <si>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</si>
  <si>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</si>
  <si>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</si>
  <si>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</si>
  <si>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</si>
  <si>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</si>
  <si>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</si>
  <si>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</si>
  <si>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</si>
  <si>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</si>
  <si>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</si>
  <si>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</si>
  <si>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</si>
  <si>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</si>
  <si>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</si>
  <si>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</si>
  <si>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</si>
  <si>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</si>
  <si>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</si>
  <si>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</si>
  <si>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</si>
  <si>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</si>
  <si>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</si>
  <si>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</si>
  <si>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</si>
  <si>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</si>
  <si>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</si>
  <si>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</si>
  <si>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</si>
  <si>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</si>
  <si>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</si>
  <si>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</si>
  <si>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</si>
  <si>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</si>
  <si>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</si>
  <si>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</si>
  <si>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</si>
  <si>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</si>
  <si>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</si>
  <si>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</si>
  <si>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</si>
  <si>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</si>
  <si>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</si>
  <si>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</si>
  <si>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</si>
  <si>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</si>
  <si>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</si>
  <si>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</si>
  <si>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</si>
  <si>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</si>
  <si>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</si>
  <si>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</si>
  <si>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</si>
  <si>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</si>
  <si>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</si>
  <si>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</si>
  <si>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</si>
  <si>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</si>
  <si>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</si>
  <si>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</si>
  <si>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</si>
  <si>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</si>
  <si>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</si>
  <si>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</si>
  <si>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</si>
  <si>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</si>
  <si>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</si>
  <si>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</si>
  <si>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</si>
  <si>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</si>
  <si>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</si>
  <si>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</si>
  <si>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</si>
  <si>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</si>
  <si>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</si>
  <si>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</si>
  <si>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</si>
  <si>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</si>
  <si>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</si>
  <si>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</si>
  <si>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</si>
  <si>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</si>
  <si>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</si>
  <si>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</si>
  <si>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</si>
  <si>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</si>
  <si>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</si>
  <si>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</si>
  <si>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</si>
  <si>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</si>
  <si>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</si>
  <si>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</si>
  <si>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</si>
  <si>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</si>
  <si>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</si>
  <si>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</si>
  <si>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</si>
  <si>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</si>
  <si>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</si>
  <si>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</si>
  <si>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</si>
  <si>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</si>
  <si>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</si>
  <si>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</si>
  <si>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</si>
  <si>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</si>
  <si>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</si>
  <si>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</si>
  <si>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</si>
  <si>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</si>
  <si>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</si>
  <si>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</si>
  <si>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</si>
  <si>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</si>
  <si>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</si>
  <si>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</si>
  <si>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</si>
  <si>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</si>
  <si>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</si>
  <si>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</si>
  <si>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</si>
  <si>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</si>
  <si>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</si>
  <si>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</si>
  <si>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</si>
  <si>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</si>
  <si>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</si>
  <si>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</si>
  <si>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</si>
  <si>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</si>
  <si>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</si>
  <si>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</si>
  <si>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</si>
  <si>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</si>
  <si>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</si>
  <si>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</si>
  <si>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</si>
  <si>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</si>
  <si>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</si>
  <si>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</si>
  <si>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</si>
  <si>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</si>
  <si>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</si>
  <si>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</si>
  <si>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</si>
  <si>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</si>
  <si>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</si>
  <si>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</si>
  <si>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</si>
  <si>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</si>
  <si>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</si>
  <si>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</si>
  <si>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</si>
  <si>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</si>
  <si>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</si>
  <si>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</si>
  <si>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</si>
  <si>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</si>
  <si>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</si>
  <si>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</si>
  <si>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</si>
  <si>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</si>
  <si>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</si>
  <si>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</si>
  <si>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</si>
  <si>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</si>
  <si>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</si>
  <si>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</si>
  <si>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</si>
  <si>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</si>
  <si>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</si>
  <si>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</si>
  <si>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</si>
  <si>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</si>
  <si>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</si>
  <si>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</si>
  <si>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</si>
  <si>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</si>
  <si>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</si>
  <si>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</si>
  <si>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</si>
  <si>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</si>
  <si>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</si>
  <si>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</si>
  <si>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</si>
  <si>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</si>
  <si>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</si>
  <si>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</si>
  <si>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</si>
  <si>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</si>
  <si>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</si>
  <si>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</si>
  <si>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</si>
  <si>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</si>
  <si>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</si>
  <si>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</si>
  <si>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</si>
  <si>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</si>
  <si>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</si>
  <si>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</si>
  <si>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</si>
  <si>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</si>
  <si>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</si>
  <si>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</si>
  <si>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</si>
  <si>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</si>
  <si>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</si>
  <si>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</si>
  <si>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</si>
  <si>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</si>
  <si>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</si>
  <si>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</si>
  <si>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</si>
  <si>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</si>
  <si>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</si>
  <si>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</si>
  <si>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</si>
  <si>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</si>
  <si>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</si>
  <si>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</si>
  <si>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</si>
  <si>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</si>
  <si>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</si>
  <si>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</si>
  <si>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</si>
  <si>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</si>
  <si>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</si>
  <si>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</si>
  <si>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</si>
  <si>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</si>
  <si>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</si>
  <si>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</si>
  <si>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</si>
  <si>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</si>
  <si>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</si>
  <si>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</si>
  <si>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</si>
  <si>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</si>
  <si>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</si>
  <si>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</si>
  <si>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</si>
  <si>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</si>
  <si>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</si>
  <si>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</si>
  <si>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</si>
  <si>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</si>
  <si>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</si>
  <si>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</si>
  <si>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</si>
  <si>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</si>
  <si>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</si>
  <si>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</si>
  <si>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</si>
  <si>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</si>
  <si>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</si>
  <si>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</si>
  <si>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</si>
  <si>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</si>
  <si>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</si>
  <si>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</si>
  <si>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</si>
  <si>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</si>
  <si>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</si>
  <si>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</si>
  <si>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</si>
  <si>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</si>
  <si>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</si>
  <si>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</si>
  <si>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</si>
  <si>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</si>
  <si>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</si>
  <si>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</si>
  <si>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</si>
  <si>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</si>
  <si>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</si>
  <si>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</si>
  <si>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</si>
  <si>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</si>
  <si>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</si>
  <si>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</si>
  <si>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</si>
  <si>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</si>
  <si>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</si>
  <si>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</si>
  <si>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</si>
  <si>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</si>
  <si>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</si>
  <si>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</si>
  <si>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</si>
  <si>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</si>
  <si>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</si>
  <si>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</si>
  <si>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</si>
  <si>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</si>
  <si>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</si>
  <si>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</si>
  <si>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</si>
  <si>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</si>
  <si>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</si>
  <si>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</si>
  <si>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</si>
  <si>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</si>
  <si>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</si>
  <si>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</si>
  <si>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</si>
  <si>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</si>
  <si>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</si>
  <si>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</si>
  <si>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</si>
  <si>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</si>
  <si>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</si>
  <si>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</si>
  <si>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</si>
  <si>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</si>
  <si>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</si>
  <si>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</si>
  <si>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</si>
  <si>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</si>
  <si>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</si>
  <si>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</si>
  <si>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</si>
  <si>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</si>
  <si>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</si>
  <si>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</si>
  <si>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</si>
  <si>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</si>
  <si>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</si>
  <si>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</si>
  <si>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</si>
  <si>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</si>
  <si>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</si>
  <si>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</si>
  <si>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</si>
  <si>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</si>
  <si>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</si>
  <si>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</si>
  <si>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</si>
  <si>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</si>
  <si>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</si>
  <si>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</si>
  <si>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</si>
  <si>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</si>
  <si>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</si>
  <si>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</si>
  <si>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</si>
  <si>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</si>
  <si>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</si>
  <si>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</si>
  <si>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</si>
  <si>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</si>
  <si>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</si>
  <si>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</si>
  <si>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</si>
  <si>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</si>
  <si>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</si>
  <si>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</si>
  <si>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</si>
  <si>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</si>
  <si>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</si>
  <si>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</si>
  <si>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</si>
  <si>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</si>
  <si>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</si>
  <si>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</si>
  <si>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</si>
  <si>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</si>
  <si>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</si>
  <si>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</si>
  <si>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</si>
  <si>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</si>
  <si>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</si>
  <si>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</si>
  <si>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</si>
  <si>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</si>
  <si>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</si>
  <si>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</si>
  <si>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</si>
  <si>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</si>
  <si>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</si>
  <si>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</si>
  <si>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</si>
  <si>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</si>
  <si>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</si>
  <si>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</si>
  <si>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</si>
  <si>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</si>
  <si>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</si>
  <si>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</si>
  <si>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</si>
  <si>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</si>
  <si>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</si>
  <si>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</si>
  <si>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</si>
  <si>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</si>
  <si>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</si>
  <si>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</si>
  <si>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</si>
  <si>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</si>
  <si>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</si>
  <si>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</si>
  <si>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</si>
  <si>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</si>
  <si>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</si>
  <si>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</si>
  <si>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</si>
  <si>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</si>
  <si>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</si>
  <si>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</si>
  <si>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</si>
  <si>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</si>
  <si>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</si>
  <si>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</si>
  <si>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</si>
  <si>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</si>
  <si>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</si>
  <si>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</si>
  <si>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</si>
  <si>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</si>
  <si>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</si>
  <si>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</si>
  <si>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</si>
  <si>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</si>
  <si>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</si>
  <si>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</si>
  <si>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</si>
  <si>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</si>
  <si>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</si>
  <si>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</si>
  <si>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</si>
  <si>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</si>
  <si>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</si>
  <si>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</si>
  <si>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</si>
  <si>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</si>
  <si>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</si>
  <si>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</si>
  <si>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</si>
  <si>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</si>
  <si>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</si>
  <si>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</si>
  <si>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</si>
  <si>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</si>
  <si>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</si>
  <si>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</si>
  <si>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</si>
  <si>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</si>
  <si>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</si>
  <si>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</si>
  <si>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</si>
  <si>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</si>
  <si>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</si>
  <si>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</si>
  <si>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</si>
  <si>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</si>
  <si>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</si>
  <si>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</si>
  <si>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</si>
  <si>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</si>
  <si>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</si>
  <si>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</si>
  <si>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</si>
  <si>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</si>
  <si>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</si>
  <si>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</si>
  <si>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</si>
  <si>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</si>
  <si>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</si>
  <si>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</si>
  <si>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</si>
  <si>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</si>
  <si>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</si>
  <si>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</si>
  <si>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</si>
  <si>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</si>
  <si>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</si>
  <si>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</si>
  <si>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</si>
  <si>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</si>
  <si>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</si>
  <si>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</si>
  <si>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</si>
  <si>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</si>
  <si>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</si>
  <si>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</si>
  <si>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</si>
  <si>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</si>
  <si>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</si>
  <si>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</si>
  <si>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</si>
  <si>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</si>
  <si>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</si>
  <si>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</si>
  <si>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</si>
  <si>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</si>
  <si>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</si>
  <si>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</si>
  <si>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</si>
  <si>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</si>
  <si>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</si>
  <si>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</si>
  <si>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</si>
  <si>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</si>
  <si>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</si>
  <si>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</si>
  <si>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</si>
  <si>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</si>
  <si>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</si>
  <si>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</si>
  <si>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</si>
  <si>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</si>
  <si>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</si>
  <si>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</si>
  <si>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</si>
  <si>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</si>
  <si>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</si>
  <si>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</si>
  <si>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</si>
  <si>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</si>
  <si>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</si>
  <si>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</si>
  <si>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</si>
  <si>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</si>
  <si>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</si>
  <si>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</si>
  <si>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</si>
  <si>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</si>
  <si>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</si>
  <si>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</si>
  <si>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</si>
  <si>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</si>
  <si>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</si>
  <si>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</si>
  <si>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</si>
  <si>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</si>
  <si>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</si>
  <si>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</si>
  <si>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</si>
  <si>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</si>
  <si>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</si>
  <si>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</si>
  <si>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</si>
  <si>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</si>
  <si>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</si>
  <si>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</si>
  <si>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</si>
  <si>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</si>
  <si>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</si>
  <si>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</si>
  <si>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</si>
  <si>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</si>
  <si>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</si>
  <si>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</si>
  <si>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</si>
  <si>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</si>
  <si>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</si>
  <si>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</si>
  <si>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</si>
  <si>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</si>
  <si>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</si>
  <si>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</si>
  <si>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</si>
  <si>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</si>
  <si>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</si>
  <si>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</si>
  <si>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</si>
  <si>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</si>
  <si>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</si>
  <si>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</si>
  <si>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</si>
  <si>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</si>
  <si>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</si>
  <si>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</si>
  <si>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</si>
  <si>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</si>
  <si>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</si>
  <si>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</si>
  <si>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</si>
  <si>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</si>
  <si>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</si>
  <si>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</si>
  <si>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</si>
  <si>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</si>
  <si>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</si>
  <si>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</si>
  <si>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</si>
  <si>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</si>
  <si>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</si>
  <si>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</si>
  <si>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</si>
  <si>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</si>
  <si>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</si>
  <si>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</si>
  <si>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</si>
  <si>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</si>
  <si>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</si>
  <si>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</si>
  <si>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</si>
  <si>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</si>
  <si>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</si>
  <si>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</si>
  <si>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</si>
  <si>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</si>
  <si>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</si>
  <si>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</si>
  <si>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</si>
  <si>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</si>
  <si>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</si>
  <si>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</si>
  <si>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</si>
  <si>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</si>
  <si>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</si>
  <si>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</si>
  <si>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</si>
  <si>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</si>
  <si>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</si>
  <si>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</si>
  <si>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</si>
  <si>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</si>
  <si>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</si>
  <si>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</si>
  <si>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</si>
  <si>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</si>
  <si>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</si>
  <si>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</si>
  <si>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</si>
  <si>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</si>
  <si>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</si>
  <si>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</si>
  <si>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</si>
  <si>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</si>
  <si>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</si>
  <si>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</si>
  <si>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</si>
  <si>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</si>
  <si>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</si>
  <si>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</si>
  <si>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</si>
  <si>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</si>
  <si>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</si>
  <si>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</si>
  <si>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</si>
  <si>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</si>
  <si>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</si>
  <si>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</si>
  <si>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</si>
  <si>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</si>
  <si>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</si>
  <si>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</si>
  <si>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</si>
  <si>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</si>
  <si>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</si>
  <si>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</si>
  <si>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</si>
  <si>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</si>
  <si>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</si>
  <si>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</si>
  <si>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</si>
  <si>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</si>
  <si>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</si>
  <si>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</si>
  <si>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</si>
  <si>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</si>
  <si>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</si>
  <si>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</si>
  <si>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</si>
  <si>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</si>
  <si>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</si>
  <si>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</si>
  <si>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</si>
  <si>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</si>
  <si>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</si>
  <si>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</si>
  <si>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</si>
  <si>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</si>
  <si>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</si>
  <si>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</si>
  <si>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</si>
  <si>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</si>
  <si>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</si>
  <si>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</si>
  <si>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</si>
  <si>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</si>
  <si>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</si>
  <si>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</si>
  <si>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</si>
  <si>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</si>
  <si>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</si>
  <si>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</si>
  <si>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</si>
  <si>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</si>
  <si>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</si>
  <si>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</si>
  <si>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</si>
  <si>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</si>
  <si>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</si>
  <si>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</si>
  <si>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</si>
  <si>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</si>
  <si>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</si>
  <si>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</si>
  <si>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</si>
  <si>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</si>
  <si>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</si>
  <si>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</si>
  <si>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</si>
  <si>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</si>
  <si>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</si>
  <si>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</si>
  <si>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</si>
  <si>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</si>
  <si>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</si>
  <si>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</si>
  <si>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</si>
  <si>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</si>
  <si>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</si>
  <si>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</si>
  <si>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</si>
  <si>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</si>
  <si>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</si>
  <si>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</si>
  <si>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</si>
  <si>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</si>
  <si>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</si>
  <si>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</si>
  <si>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</si>
  <si>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</si>
  <si>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</si>
  <si>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</si>
  <si>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</si>
  <si>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</si>
  <si>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</si>
  <si>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</si>
  <si>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</si>
  <si>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</si>
  <si>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</si>
  <si>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</si>
  <si>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</si>
  <si>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</si>
  <si>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</si>
  <si>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</si>
  <si>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</si>
  <si>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</si>
  <si>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</si>
  <si>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</si>
  <si>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</si>
  <si>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</si>
  <si>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</si>
  <si>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</si>
  <si>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</si>
  <si>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</si>
  <si>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</si>
  <si>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</si>
  <si>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</si>
  <si>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</si>
  <si>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</si>
  <si>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</si>
  <si>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</si>
  <si>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</si>
  <si>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</si>
  <si>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</si>
  <si>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</si>
  <si>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</si>
  <si>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</si>
  <si>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</si>
  <si>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</si>
  <si>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</si>
  <si>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</si>
  <si>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</si>
  <si>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</si>
  <si>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</si>
  <si>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</si>
  <si>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</si>
  <si>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</si>
  <si>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</si>
  <si>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</si>
  <si>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</si>
  <si>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</si>
  <si>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</si>
  <si>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</si>
  <si>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</si>
  <si>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</si>
  <si>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</si>
  <si>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</si>
  <si>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</si>
  <si>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</si>
  <si>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</si>
  <si>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</si>
  <si>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</si>
  <si>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</si>
  <si>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</si>
  <si>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</si>
  <si>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</si>
  <si>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</si>
  <si>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</si>
  <si>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</si>
  <si>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</si>
  <si>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</si>
  <si>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</si>
  <si>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</si>
  <si>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</si>
  <si>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</si>
  <si>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</si>
  <si>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</si>
  <si>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</si>
  <si>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</si>
  <si>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</si>
  <si>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</si>
  <si>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</si>
  <si>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</si>
  <si>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</si>
  <si>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</si>
  <si>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</si>
  <si>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</si>
  <si>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</si>
  <si>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</si>
  <si>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</si>
  <si>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</si>
  <si>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</si>
  <si>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</si>
  <si>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</si>
  <si>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</si>
  <si>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</si>
  <si>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</si>
  <si>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</si>
  <si>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</si>
  <si>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</si>
  <si>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</si>
  <si>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</si>
  <si>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</si>
  <si>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</si>
  <si>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</si>
  <si>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</si>
  <si>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</si>
  <si>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</si>
  <si>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</si>
  <si>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</si>
  <si>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</si>
  <si>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</si>
  <si>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</si>
  <si>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</si>
  <si>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</si>
  <si>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</si>
  <si>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</si>
  <si>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</si>
  <si>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</si>
  <si>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</si>
  <si>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</si>
  <si>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</si>
  <si>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</si>
  <si>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</si>
  <si>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</si>
  <si>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</si>
  <si>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</si>
  <si>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</si>
  <si>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</si>
  <si>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</si>
  <si>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</si>
  <si>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</si>
  <si>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</si>
  <si>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</si>
  <si>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</si>
  <si>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</si>
  <si>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</si>
  <si>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</si>
  <si>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</si>
  <si>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</si>
  <si>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</si>
  <si>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</si>
  <si>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</si>
  <si>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</si>
  <si>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</si>
  <si>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</si>
  <si>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</si>
  <si>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</si>
  <si>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</si>
  <si>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</si>
  <si>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</si>
  <si>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</si>
  <si>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</si>
  <si>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</si>
  <si>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</si>
  <si>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</si>
  <si>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</si>
  <si>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</si>
  <si>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</si>
  <si>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</si>
  <si>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</si>
  <si>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</si>
  <si>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</si>
  <si>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</si>
  <si>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</si>
  <si>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</si>
  <si>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</si>
  <si>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</si>
  <si>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</si>
  <si>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</si>
  <si>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</si>
  <si>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</si>
  <si>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</si>
  <si>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</si>
  <si>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</si>
  <si>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</si>
  <si>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</si>
  <si>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</si>
  <si>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</si>
  <si>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</si>
  <si>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</si>
  <si>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</si>
  <si>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</si>
  <si>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</si>
  <si>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</si>
  <si>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</si>
  <si>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</si>
  <si>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</si>
  <si>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</si>
  <si>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</si>
  <si>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</si>
  <si>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</si>
  <si>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</si>
  <si>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</si>
  <si>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</si>
  <si>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</si>
  <si>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</si>
  <si>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</si>
  <si>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</si>
  <si>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</si>
  <si>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</si>
  <si>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</si>
  <si>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</si>
  <si>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</si>
  <si>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</si>
  <si>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</si>
  <si>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</si>
  <si>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</si>
  <si>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</si>
  <si>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</si>
  <si>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</si>
  <si>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</si>
  <si>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</si>
  <si>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</si>
  <si>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</si>
  <si>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</si>
  <si>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</si>
  <si>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</si>
  <si>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</si>
  <si>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</si>
  <si>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</si>
  <si>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</si>
  <si>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</si>
  <si>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</si>
  <si>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</si>
  <si>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</si>
  <si>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</si>
  <si>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</si>
  <si>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</si>
  <si>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</si>
  <si>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</si>
  <si>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</si>
  <si>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</si>
  <si>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</si>
  <si>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</si>
  <si>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</si>
  <si>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</si>
  <si>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</si>
  <si>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</si>
  <si>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</si>
  <si>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</si>
  <si>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</si>
  <si>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</si>
  <si>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</si>
  <si>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</si>
  <si>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</si>
  <si>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</si>
  <si>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</si>
  <si>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</si>
  <si>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</si>
  <si>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</si>
  <si>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</si>
  <si>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</si>
  <si>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</si>
  <si>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</si>
  <si>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</si>
  <si>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</si>
  <si>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</si>
  <si>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</si>
  <si>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</si>
  <si>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</si>
  <si>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</si>
  <si>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</si>
  <si>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</si>
  <si>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</si>
  <si>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</si>
  <si>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</si>
  <si>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</si>
  <si>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</si>
  <si>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</si>
  <si>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</si>
  <si>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</si>
  <si>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</si>
  <si>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</si>
  <si>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</si>
  <si>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</si>
  <si>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</si>
  <si>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</si>
  <si>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</si>
  <si>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</si>
  <si>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</si>
  <si>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</si>
  <si>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</si>
  <si>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</si>
  <si>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</si>
  <si>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</si>
  <si>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</si>
  <si>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</si>
  <si>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</si>
  <si>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</si>
  <si>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</si>
  <si>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</si>
  <si>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</si>
  <si>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</si>
  <si>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</si>
  <si>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</si>
  <si>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</si>
  <si>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</si>
  <si>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</si>
  <si>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</si>
  <si>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</si>
  <si>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</si>
  <si>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</si>
  <si>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</si>
  <si>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</si>
  <si>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</si>
  <si>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</si>
  <si>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</si>
  <si>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</si>
  <si>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</si>
  <si>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</si>
  <si>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</si>
  <si>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</si>
  <si>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</si>
  <si>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</si>
  <si>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</si>
  <si>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</si>
  <si>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</si>
  <si>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</si>
  <si>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</si>
  <si>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</si>
  <si>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</si>
  <si>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</si>
  <si>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</si>
  <si>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</si>
  <si>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</si>
  <si>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</si>
  <si>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</si>
  <si>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</si>
  <si>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</si>
  <si>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</si>
  <si>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</si>
  <si>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</si>
  <si>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</si>
  <si>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</si>
  <si>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</si>
  <si>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</si>
  <si>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</si>
  <si>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</si>
  <si>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</si>
  <si>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</si>
  <si>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</si>
  <si>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</si>
  <si>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</si>
  <si>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</si>
  <si>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</si>
  <si>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</si>
  <si>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</si>
  <si>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</si>
  <si>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</si>
  <si>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</si>
  <si>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</si>
  <si>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</si>
  <si>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</si>
  <si>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</si>
  <si>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</si>
  <si>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</si>
  <si>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</si>
  <si>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</si>
  <si>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</si>
  <si>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</si>
  <si>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</si>
  <si>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</si>
  <si>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</si>
  <si>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</si>
  <si>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</si>
  <si>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</si>
  <si>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</si>
  <si>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</si>
  <si>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</si>
  <si>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</si>
  <si>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</si>
  <si>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</si>
  <si>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</si>
  <si>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</si>
  <si>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</si>
  <si>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</si>
  <si>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</si>
  <si>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</si>
  <si>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</si>
  <si>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</si>
  <si>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</si>
  <si>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</si>
  <si>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</si>
  <si>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</si>
  <si>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</si>
  <si>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</si>
  <si>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</si>
  <si>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</si>
  <si>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</si>
  <si>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</si>
  <si>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</si>
  <si>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</si>
  <si>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</si>
  <si>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</si>
  <si>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</si>
  <si>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</si>
  <si>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</si>
  <si>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</si>
  <si>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</si>
  <si>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</si>
  <si>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</si>
  <si>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</si>
  <si>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</si>
  <si>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</si>
  <si>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</si>
  <si>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</si>
  <si>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</si>
  <si>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</si>
  <si>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</si>
  <si>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</si>
  <si>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</si>
  <si>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</si>
  <si>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</si>
  <si>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</si>
  <si>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</si>
  <si>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</si>
  <si>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</si>
  <si>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</si>
  <si>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</si>
  <si>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</si>
  <si>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</si>
  <si>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</si>
  <si>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</si>
  <si>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</si>
  <si>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</si>
  <si>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</si>
  <si>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</si>
  <si>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</si>
  <si>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</si>
  <si>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</si>
  <si>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</si>
  <si>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</si>
  <si>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</si>
  <si>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</si>
  <si>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</si>
  <si>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</si>
  <si>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</si>
  <si>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</si>
  <si>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</si>
  <si>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</si>
  <si>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</si>
  <si>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</si>
  <si>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</si>
  <si>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</si>
  <si>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</si>
  <si>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</si>
  <si>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</si>
  <si>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</si>
  <si>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</si>
  <si>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</si>
  <si>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</si>
  <si>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</si>
  <si>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</si>
  <si>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</si>
  <si>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</si>
  <si>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</si>
  <si>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</si>
  <si>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</si>
  <si>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</si>
  <si>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</si>
  <si>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</si>
  <si>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</si>
  <si>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</si>
  <si>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</si>
  <si>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</si>
  <si>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</si>
  <si>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</si>
  <si>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</si>
  <si>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</si>
  <si>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</si>
  <si>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</si>
  <si>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</si>
  <si>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</si>
  <si>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</si>
  <si>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</si>
  <si>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</si>
  <si>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</si>
  <si>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</si>
  <si>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</si>
  <si>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</si>
  <si>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</si>
  <si>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</si>
  <si>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</si>
  <si>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</si>
  <si>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</si>
  <si>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</si>
  <si>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</si>
  <si>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</si>
  <si>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</si>
  <si>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</si>
  <si>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</si>
  <si>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</si>
  <si>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</si>
  <si>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</si>
  <si>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</si>
  <si>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</si>
  <si>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</si>
  <si>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</si>
  <si>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</si>
  <si>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</si>
  <si>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</si>
  <si>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</si>
  <si>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</si>
  <si>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</si>
  <si>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</si>
  <si>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</si>
  <si>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</si>
  <si>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</si>
  <si>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</si>
  <si>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</si>
  <si>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</si>
  <si>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</si>
  <si>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</si>
  <si>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</si>
  <si>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</si>
  <si>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</si>
  <si>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</si>
  <si>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</si>
  <si>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</si>
  <si>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</si>
  <si>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</si>
  <si>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</si>
  <si>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</si>
  <si>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</si>
  <si>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</si>
  <si>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</si>
  <si>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</si>
  <si>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</si>
  <si>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</si>
  <si>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</si>
  <si>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</si>
  <si>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</si>
  <si>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</si>
  <si>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</si>
  <si>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</si>
  <si>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</si>
  <si>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</si>
  <si>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</si>
  <si>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</si>
  <si>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</si>
  <si>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</si>
  <si>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</si>
  <si>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</si>
  <si>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</si>
  <si>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</si>
  <si>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</si>
  <si>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</si>
  <si>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</si>
  <si>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</si>
  <si>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</si>
  <si>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</si>
  <si>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</si>
  <si>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</si>
  <si>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</si>
  <si>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</si>
  <si>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</si>
  <si>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</si>
  <si>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</si>
  <si>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</si>
  <si>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</si>
  <si>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</si>
  <si>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</si>
  <si>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</si>
  <si>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</si>
  <si>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</si>
  <si>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</si>
  <si>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</si>
  <si>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</si>
  <si>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</si>
  <si>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</si>
  <si>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</si>
  <si>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</si>
  <si>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</si>
  <si>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</si>
  <si>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</si>
  <si>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</si>
  <si>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</si>
  <si>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</si>
  <si>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</si>
  <si>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</si>
  <si>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</si>
  <si>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</si>
  <si>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</si>
  <si>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</si>
  <si>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</si>
  <si>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</si>
  <si>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</si>
  <si>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</si>
  <si>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</si>
  <si>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</si>
  <si>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</si>
  <si>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</si>
  <si>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</si>
  <si>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</si>
  <si>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</si>
  <si>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</si>
  <si>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</si>
  <si>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</si>
  <si>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</si>
  <si>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</si>
  <si>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</si>
  <si>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</si>
  <si>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</si>
  <si>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</si>
  <si>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</si>
  <si>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</si>
  <si>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</si>
  <si>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</si>
  <si>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</si>
  <si>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</si>
  <si>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</si>
  <si>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</si>
  <si>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</si>
  <si>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</si>
  <si>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</si>
  <si>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</si>
  <si>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</si>
  <si>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</si>
  <si>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</si>
  <si>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</si>
  <si>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</si>
  <si>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</si>
  <si>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</si>
  <si>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</si>
  <si>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</si>
  <si>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</si>
  <si>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</si>
  <si>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</si>
  <si>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</si>
  <si>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</si>
  <si>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</si>
  <si>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</si>
  <si>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</si>
  <si>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</si>
  <si>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</si>
  <si>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</si>
  <si>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</si>
  <si>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</si>
  <si>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</si>
  <si>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</si>
  <si>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</si>
  <si>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</si>
  <si>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</si>
  <si>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</si>
  <si>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</si>
  <si>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</si>
  <si>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</si>
  <si>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</si>
  <si>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</si>
  <si>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</si>
  <si>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</si>
  <si>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</si>
  <si>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</si>
  <si>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</si>
  <si>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</si>
  <si>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</si>
  <si>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</si>
  <si>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</si>
  <si>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</si>
  <si>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</si>
  <si>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</si>
  <si>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</si>
  <si>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</si>
  <si>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</si>
  <si>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</si>
  <si>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</si>
  <si>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</si>
  <si>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</si>
  <si>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</si>
  <si>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</si>
  <si>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</si>
  <si>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</si>
  <si>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</si>
  <si>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</si>
  <si>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</si>
  <si>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</si>
  <si>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</si>
  <si>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</si>
  <si>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</si>
  <si>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</si>
  <si>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</si>
  <si>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</si>
  <si>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</si>
  <si>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</si>
  <si>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</si>
  <si>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</si>
  <si>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</si>
  <si>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</si>
  <si>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</si>
  <si>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</si>
  <si>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</si>
  <si>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</si>
  <si>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</si>
  <si>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</si>
  <si>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</si>
  <si>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</si>
  <si>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</si>
  <si>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</si>
  <si>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</si>
  <si>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</si>
  <si>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</si>
  <si>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</si>
  <si>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</si>
  <si>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</si>
  <si>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</si>
  <si>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</si>
  <si>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</si>
  <si>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</si>
  <si>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</si>
  <si>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</si>
  <si>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</si>
  <si>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</si>
  <si>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</si>
  <si>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</si>
  <si>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</si>
  <si>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</si>
  <si>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</si>
  <si>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</si>
  <si>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</si>
  <si>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</si>
  <si>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</si>
  <si>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</si>
  <si>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</si>
  <si>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</si>
  <si>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</si>
  <si>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</si>
  <si>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</si>
  <si>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</si>
  <si>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</si>
  <si>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</si>
  <si>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</si>
  <si>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</si>
  <si>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</si>
  <si>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</si>
  <si>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</si>
  <si>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</si>
  <si>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</si>
  <si>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</si>
  <si>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</si>
  <si>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</si>
  <si>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</si>
  <si>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</si>
  <si>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</si>
  <si>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</si>
  <si>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</si>
  <si>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</si>
  <si>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</si>
  <si>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</si>
  <si>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</si>
  <si>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</si>
  <si>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</si>
  <si>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</si>
  <si>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</si>
  <si>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</si>
  <si>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</si>
  <si>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</si>
  <si>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</si>
  <si>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</si>
  <si>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</si>
  <si>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</si>
  <si>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</si>
  <si>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</si>
  <si>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</si>
  <si>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</si>
  <si>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</si>
  <si>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</si>
  <si>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</si>
  <si>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</si>
  <si>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</si>
  <si>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</si>
  <si>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</si>
  <si>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</si>
  <si>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</si>
  <si>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</si>
  <si>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</si>
  <si>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</si>
  <si>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</si>
  <si>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</si>
  <si>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</si>
  <si>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</si>
  <si>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</si>
  <si>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</si>
  <si>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</si>
  <si>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</si>
  <si>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</si>
  <si>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</si>
  <si>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</si>
  <si>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</si>
  <si>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</si>
  <si>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</si>
  <si>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</si>
  <si>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</si>
  <si>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</si>
  <si>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</si>
  <si>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</si>
  <si>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</si>
  <si>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</si>
  <si>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</si>
  <si>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</si>
  <si>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</si>
  <si>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</si>
  <si>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</si>
  <si>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</si>
  <si>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</si>
  <si>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</si>
  <si>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</si>
  <si>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</si>
  <si>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</si>
  <si>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</si>
  <si>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</si>
  <si>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</si>
  <si>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</si>
  <si>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</si>
  <si>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</si>
  <si>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</si>
  <si>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</si>
  <si>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</si>
  <si>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</si>
  <si>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</si>
  <si>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</si>
  <si>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</si>
  <si>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</si>
  <si>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</si>
  <si>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</si>
  <si>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</si>
  <si>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</si>
  <si>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</si>
  <si>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</si>
  <si>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</si>
  <si>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</si>
  <si>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</si>
  <si>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</si>
  <si>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</si>
  <si>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</si>
  <si>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</si>
  <si>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</si>
  <si>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</si>
  <si>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</si>
  <si>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</si>
  <si>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</si>
  <si>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</si>
  <si>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</si>
  <si>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</si>
  <si>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</si>
  <si>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</si>
  <si>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</si>
  <si>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</si>
  <si>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</si>
  <si>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</si>
  <si>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</si>
  <si>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</si>
  <si>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</si>
  <si>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</si>
  <si>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</si>
  <si>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</si>
  <si>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</si>
  <si>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</si>
  <si>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</si>
  <si>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</si>
  <si>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</si>
  <si>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</si>
  <si>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</si>
  <si>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</si>
  <si>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</si>
  <si>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</si>
  <si>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</si>
  <si>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</si>
  <si>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</si>
  <si>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</si>
  <si>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</si>
  <si>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</si>
  <si>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</si>
  <si>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</si>
  <si>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</si>
  <si>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</si>
  <si>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</si>
  <si>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</si>
  <si>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</si>
  <si>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</si>
  <si>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</si>
  <si>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</si>
  <si>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</si>
  <si>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</si>
  <si>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</si>
  <si>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</si>
  <si>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</si>
  <si>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</si>
  <si>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</si>
  <si>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</si>
  <si>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</si>
  <si>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</si>
  <si>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</si>
  <si>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</si>
  <si>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</si>
  <si>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</si>
  <si>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</si>
  <si>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</si>
  <si>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</si>
  <si>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</si>
  <si>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</si>
  <si>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</si>
  <si>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</si>
  <si>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</si>
  <si>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</si>
  <si>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</si>
  <si>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</si>
  <si>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</si>
  <si>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</si>
  <si>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</si>
  <si>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</si>
  <si>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</si>
  <si>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</si>
  <si>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</si>
  <si>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</si>
  <si>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</si>
  <si>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</si>
  <si>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</si>
  <si>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</si>
  <si>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</si>
  <si>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</si>
  <si>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</si>
  <si>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</si>
  <si>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</si>
  <si>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</si>
  <si>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</si>
  <si>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</si>
  <si>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</si>
  <si>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</si>
  <si>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</si>
  <si>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</si>
  <si>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</si>
  <si>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</si>
  <si>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</si>
  <si>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</si>
  <si>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</si>
  <si>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</si>
  <si>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</si>
  <si>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</si>
  <si>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</si>
  <si>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</si>
  <si>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</si>
  <si>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</si>
  <si>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</si>
  <si>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</si>
  <si>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</si>
  <si>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</si>
  <si>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</si>
  <si>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</si>
  <si>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</si>
  <si>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</si>
  <si>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</si>
  <si>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</si>
  <si>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</si>
  <si>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</si>
  <si>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</si>
  <si>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</si>
  <si>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</si>
  <si>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</si>
  <si>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</si>
  <si>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</si>
  <si>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</si>
  <si>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</si>
  <si>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</si>
  <si>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</si>
  <si>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</si>
  <si>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</si>
  <si>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</si>
  <si>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</si>
  <si>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</si>
  <si>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</si>
  <si>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</si>
  <si>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</si>
  <si>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</si>
  <si>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</si>
  <si>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</si>
  <si>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</si>
  <si>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</si>
  <si>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</si>
  <si>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</si>
  <si>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</si>
  <si>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</si>
  <si>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</si>
  <si>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</si>
  <si>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</si>
  <si>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</si>
  <si>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</si>
  <si>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</si>
  <si>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</si>
  <si>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</si>
  <si>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</si>
  <si>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</si>
  <si>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</si>
  <si>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</si>
  <si>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</si>
  <si>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</si>
  <si>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</si>
  <si>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</si>
  <si>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</si>
  <si>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</si>
  <si>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</si>
  <si>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</si>
  <si>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</si>
  <si>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</si>
  <si>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</si>
  <si>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</si>
  <si>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</si>
  <si>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</si>
  <si>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</si>
  <si>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</si>
  <si>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</si>
  <si>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</si>
  <si>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</si>
  <si>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</si>
  <si>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</si>
  <si>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</si>
  <si>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</si>
  <si>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</si>
  <si>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</si>
  <si>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</si>
  <si>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</si>
  <si>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</si>
  <si>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</si>
  <si>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</si>
  <si>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</si>
  <si>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</si>
  <si>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</si>
  <si>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</si>
  <si>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</si>
  <si>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</si>
  <si>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</si>
  <si>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</si>
  <si>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</si>
  <si>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</si>
  <si>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</si>
  <si>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</si>
  <si>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</si>
  <si>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</si>
  <si>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</si>
  <si>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</si>
  <si>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</si>
  <si>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</si>
  <si>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</si>
  <si>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</si>
  <si>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</si>
  <si>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</si>
  <si>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</si>
  <si>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</si>
  <si>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</si>
  <si>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</si>
  <si>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</si>
  <si>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</si>
  <si>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</si>
  <si>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</si>
  <si>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</si>
  <si>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</si>
  <si>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</si>
  <si>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</si>
  <si>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</si>
  <si>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</si>
  <si>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</si>
  <si>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</si>
  <si>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</si>
  <si>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</si>
  <si>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</si>
  <si>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</si>
  <si>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</si>
  <si>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</si>
  <si>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</si>
  <si>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</si>
  <si>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</si>
  <si>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</si>
  <si>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</si>
  <si>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</si>
  <si>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</si>
  <si>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</si>
  <si>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</si>
  <si>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</si>
  <si>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</si>
  <si>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</si>
  <si>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</si>
  <si>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</si>
  <si>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</si>
  <si>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</si>
  <si>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</si>
  <si>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</si>
  <si>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</si>
  <si>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</si>
  <si>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</si>
  <si>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</si>
  <si>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</si>
  <si>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</si>
  <si>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</si>
  <si>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</si>
  <si>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</si>
  <si>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</si>
  <si>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</si>
  <si>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</si>
  <si>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</si>
  <si>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</si>
  <si>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</si>
  <si>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</si>
  <si>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</si>
  <si>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</si>
  <si>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</si>
  <si>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</si>
  <si>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</si>
  <si>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</si>
  <si>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</si>
  <si>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</si>
  <si>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</si>
  <si>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</si>
  <si>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</si>
  <si>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</si>
  <si>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</si>
  <si>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</si>
  <si>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</si>
  <si>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</si>
  <si>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</si>
  <si>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</si>
  <si>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</si>
  <si>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</si>
  <si>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</si>
  <si>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</si>
  <si>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</si>
  <si>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</si>
  <si>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</si>
  <si>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</si>
  <si>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</si>
  <si>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</si>
  <si>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</si>
  <si>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</si>
  <si>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</si>
  <si>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</si>
  <si>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</si>
  <si>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</si>
  <si>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</si>
  <si>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</si>
  <si>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</si>
  <si>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</si>
  <si>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</si>
  <si>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</si>
  <si>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</si>
  <si>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</si>
  <si>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</si>
  <si>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</si>
  <si>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</si>
  <si>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</si>
  <si>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</si>
  <si>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</si>
  <si>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</si>
  <si>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</si>
  <si>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</si>
  <si>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</si>
  <si>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</si>
  <si>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</si>
  <si>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</si>
  <si>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</si>
  <si>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</si>
  <si>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</si>
  <si>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</si>
  <si>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</si>
  <si>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</si>
  <si>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</si>
  <si>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</si>
  <si>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</si>
  <si>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</si>
  <si>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</si>
  <si>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</si>
  <si>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</si>
  <si>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</si>
  <si>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</si>
  <si>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</si>
  <si>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</si>
  <si>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</si>
  <si>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</si>
  <si>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</si>
  <si>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</si>
  <si>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</si>
  <si>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</si>
  <si>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</si>
  <si>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</si>
  <si>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</si>
  <si>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</si>
  <si>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</si>
  <si>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</si>
  <si>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</si>
  <si>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</si>
  <si>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</si>
  <si>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</si>
  <si>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</si>
  <si>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</si>
  <si>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</si>
  <si>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</si>
  <si>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</si>
  <si>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</si>
  <si>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</si>
  <si>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</si>
  <si>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</si>
  <si>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</si>
  <si>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</si>
  <si>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</si>
  <si>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</si>
  <si>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</si>
  <si>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</si>
  <si>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</si>
  <si>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</si>
  <si>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</si>
  <si>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</si>
  <si>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</si>
  <si>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</si>
  <si>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</si>
  <si>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</si>
  <si>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</si>
  <si>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</si>
  <si>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</si>
  <si>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</si>
  <si>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</si>
  <si>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</si>
  <si>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</si>
  <si>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</si>
  <si>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</si>
  <si>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</si>
  <si>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</si>
  <si>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</si>
  <si>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</si>
  <si>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</si>
  <si>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</si>
  <si>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</si>
  <si>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</si>
  <si>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</si>
  <si>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</si>
  <si>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</si>
  <si>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</si>
  <si>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</si>
  <si>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</si>
  <si>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</si>
  <si>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</si>
  <si>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</si>
  <si>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</si>
  <si>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</si>
  <si>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</si>
  <si>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</si>
  <si>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</si>
  <si>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</si>
  <si>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</si>
  <si>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</si>
  <si>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</si>
  <si>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</si>
  <si>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</si>
  <si>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</si>
  <si>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</si>
  <si>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</si>
  <si>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</si>
  <si>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</si>
  <si>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</si>
  <si>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</si>
  <si>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</si>
  <si>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</si>
  <si>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</si>
  <si>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</si>
  <si>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</si>
  <si>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</si>
  <si>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</si>
  <si>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</si>
  <si>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</si>
  <si>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</si>
  <si>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</si>
  <si>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</si>
  <si>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</si>
  <si>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</si>
  <si>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</si>
  <si>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</si>
  <si>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</si>
  <si>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</si>
  <si>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</si>
  <si>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</si>
  <si>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</si>
  <si>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</si>
  <si>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</si>
  <si>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</si>
  <si>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</si>
  <si>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</si>
  <si>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</si>
  <si>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</si>
  <si>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</si>
  <si>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</si>
  <si>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</si>
  <si>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无租约</t>
  </si>
  <si>
    <t>叶凌</t>
  </si>
  <si>
    <t>杨红英</t>
  </si>
  <si>
    <t>北京市</t>
  </si>
  <si>
    <t>自然人</t>
  </si>
  <si>
    <t>元</t>
  </si>
  <si>
    <t>总价</t>
  </si>
  <si>
    <t>住宅</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</si>
  <si>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</si>
  <si>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</si>
  <si>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</si>
  <si>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</si>
  <si>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</si>
  <si>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</si>
  <si>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</si>
  <si>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</si>
  <si>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</si>
  <si>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</si>
  <si>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</si>
  <si>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</si>
  <si>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</si>
  <si>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</si>
  <si>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</si>
  <si>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</si>
  <si>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</si>
  <si>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11</t>
    <phoneticPr fontId="4" type="noConversion"/>
  </si>
  <si>
    <t>设定收益年期(n)</t>
  </si>
  <si>
    <t>估价对象</t>
  </si>
  <si>
    <t>钢混</t>
  </si>
  <si>
    <t>非生产用房</t>
  </si>
  <si>
    <t>否</t>
  </si>
  <si>
    <t>押三</t>
  </si>
  <si>
    <t>收益法</t>
  </si>
  <si>
    <t>比较法-住宅</t>
  </si>
  <si>
    <t>售价</t>
  </si>
  <si>
    <t>海淀区清景园4号楼6层6单元601</t>
    <phoneticPr fontId="4" type="noConversion"/>
  </si>
  <si>
    <t>清景园</t>
    <phoneticPr fontId="4" type="noConversion"/>
  </si>
  <si>
    <t>住宅</t>
    <phoneticPr fontId="20" type="noConversion"/>
  </si>
  <si>
    <t>50-60（含）</t>
  </si>
  <si>
    <t>七通</t>
  </si>
  <si>
    <t>七通</t>
    <phoneticPr fontId="4" type="noConversion"/>
  </si>
  <si>
    <t>周边有清润家园、水木天成、永泰园、清缘里中区、永泰东里等居住社区成熟度较好</t>
    <phoneticPr fontId="4" type="noConversion"/>
  </si>
  <si>
    <t>估价对象位于XX商圈，周边办公楼项目较多，入驻率高，办公集聚程度较好</t>
    <phoneticPr fontId="4" type="noConversion"/>
  </si>
  <si>
    <t>临近城市高速路——京藏高速，周边有专43号、专89号、307号、345号、355号路等多条公交线路及地铁8号线（永泰站），交通状况较好。</t>
    <phoneticPr fontId="4" type="noConversion"/>
  </si>
  <si>
    <t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t>
    <phoneticPr fontId="4" type="noConversion"/>
  </si>
  <si>
    <t>区域自然环境：清河、奥林匹克森林公园、西三旗公园；人文环境：北京信息科技大学（清河小营校区）；综合评价环境状况较好。</t>
    <phoneticPr fontId="4" type="noConversion"/>
  </si>
  <si>
    <t>估价对象1（结果表）</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</si>
  <si>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</si>
  <si>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</si>
  <si>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</si>
  <si>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</si>
  <si>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</si>
  <si>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</si>
  <si>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</si>
  <si>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</si>
  <si>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</si>
  <si>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东西</t>
  </si>
  <si>
    <t>南北</t>
  </si>
  <si>
    <t>东</t>
  </si>
  <si>
    <t>城市高速路—京藏高速</t>
    <phoneticPr fontId="20" type="noConversion"/>
  </si>
  <si>
    <t>楼层</t>
    <phoneticPr fontId="20" type="noConversion"/>
  </si>
  <si>
    <t>6/24</t>
    <phoneticPr fontId="20" type="noConversion"/>
  </si>
  <si>
    <r>
      <rPr>
        <sz val="11"/>
        <rFont val="宋体"/>
        <family val="3"/>
        <charset val="134"/>
      </rPr>
      <t>低楼层</t>
    </r>
    <r>
      <rPr>
        <sz val="11"/>
        <rFont val="Arial"/>
        <family val="2"/>
      </rPr>
      <t>/24</t>
    </r>
    <phoneticPr fontId="20" type="noConversion"/>
  </si>
  <si>
    <r>
      <rPr>
        <sz val="11"/>
        <rFont val="宋体"/>
        <family val="3"/>
        <charset val="134"/>
      </rPr>
      <t>高楼层</t>
    </r>
    <r>
      <rPr>
        <sz val="11"/>
        <rFont val="Arial"/>
        <family val="2"/>
      </rPr>
      <t>/19</t>
    </r>
    <phoneticPr fontId="20" type="noConversion"/>
  </si>
  <si>
    <r>
      <rPr>
        <sz val="11"/>
        <rFont val="宋体"/>
        <family val="3"/>
        <charset val="134"/>
      </rPr>
      <t>中楼层</t>
    </r>
    <r>
      <rPr>
        <sz val="11"/>
        <rFont val="Arial"/>
        <family val="2"/>
      </rPr>
      <t>/22</t>
    </r>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</si>
  <si>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</si>
  <si>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</si>
  <si>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</si>
  <si>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</si>
  <si>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</si>
  <si>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</si>
  <si>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</si>
  <si>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</si>
  <si>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</si>
  <si>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平层</t>
  </si>
  <si>
    <t>平层</t>
    <phoneticPr fontId="20" type="noConversion"/>
  </si>
  <si>
    <t>七通</t>
    <phoneticPr fontId="20" type="noConversion"/>
  </si>
  <si>
    <t>六通</t>
    <phoneticPr fontId="20" type="noConversion"/>
  </si>
  <si>
    <t>物业公司管理</t>
  </si>
  <si>
    <t>物业公司管理</t>
    <phoneticPr fontId="20" type="noConversion"/>
  </si>
  <si>
    <t>高板</t>
  </si>
  <si>
    <t>普通装修</t>
    <phoneticPr fontId="20" type="noConversion"/>
  </si>
  <si>
    <t>建成年代</t>
    <phoneticPr fontId="20" type="noConversion"/>
  </si>
  <si>
    <r>
      <rPr>
        <sz val="11"/>
        <rFont val="宋体"/>
        <family val="3"/>
        <charset val="134"/>
      </rPr>
      <t>高楼层</t>
    </r>
    <r>
      <rPr>
        <sz val="11"/>
        <rFont val="Arial"/>
        <family val="2"/>
      </rPr>
      <t>/19</t>
    </r>
    <phoneticPr fontId="20" type="noConversion"/>
  </si>
  <si>
    <t>按房产原值计税</t>
  </si>
  <si>
    <t>60-70（含）</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</si>
</sst>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181" fontId="42" fillId="0" borderId="58" xfId="0"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49" fontId="113" fillId="0" borderId="31" xfId="0" applyNumberFormat="1" applyFont="1" applyFill="1" applyBorder="1" applyAlignment="1" applyProtection="1">
      <alignment horizontal="center" vertical="center" wrapText="1"/>
      <protection locked="0"/>
    </xf>
    <xf numFmtId="0" fontId="113" fillId="0" borderId="6" xfId="0" applyFont="1" applyBorder="1" applyAlignment="1" applyProtection="1">
      <alignment horizontal="center" vertical="center" wrapText="1"/>
      <protection locked="0"/>
    </xf>
    <xf numFmtId="49" fontId="113"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104775</xdr:colOff>
      <xdr:row>39</xdr:row>
      <xdr:rowOff>1017</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962775" cy="6687567"/>
        </a:xfrm>
        <a:prstGeom prst="rect">
          <a:avLst/>
        </a:prstGeom>
        <a:noFill/>
        <a:ln w="1">
          <a:noFill/>
          <a:miter lim="800000"/>
          <a:headEnd/>
          <a:tailEnd type="none" w="med" len="med"/>
        </a:ln>
        <a:effectLst/>
      </xdr:spPr>
    </xdr:pic>
    <xdr:clientData/>
  </xdr:twoCellAnchor>
  <xdr:twoCellAnchor editAs="oneCell">
    <xdr:from>
      <xdr:col>0</xdr:col>
      <xdr:colOff>9526</xdr:colOff>
      <xdr:row>40</xdr:row>
      <xdr:rowOff>95250</xdr:rowOff>
    </xdr:from>
    <xdr:to>
      <xdr:col>10</xdr:col>
      <xdr:colOff>124916</xdr:colOff>
      <xdr:row>79</xdr:row>
      <xdr:rowOff>152400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6" y="6953250"/>
          <a:ext cx="6973390" cy="6743700"/>
        </a:xfrm>
        <a:prstGeom prst="rect">
          <a:avLst/>
        </a:prstGeom>
        <a:noFill/>
        <a:ln w="1">
          <a:noFill/>
          <a:miter lim="800000"/>
          <a:headEnd/>
          <a:tailEnd type="none" w="med" len="med"/>
        </a:ln>
        <a:effectLst/>
      </xdr:spPr>
    </xdr:pic>
    <xdr:clientData/>
  </xdr:twoCellAnchor>
  <xdr:twoCellAnchor editAs="oneCell">
    <xdr:from>
      <xdr:col>0</xdr:col>
      <xdr:colOff>0</xdr:colOff>
      <xdr:row>81</xdr:row>
      <xdr:rowOff>38100</xdr:rowOff>
    </xdr:from>
    <xdr:to>
      <xdr:col>10</xdr:col>
      <xdr:colOff>178888</xdr:colOff>
      <xdr:row>119</xdr:row>
      <xdr:rowOff>47624</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3925550"/>
          <a:ext cx="7036888" cy="6524624"/>
        </a:xfrm>
        <a:prstGeom prst="rect">
          <a:avLst/>
        </a:prstGeom>
        <a:noFill/>
        <a:ln w="1">
          <a:noFill/>
          <a:miter lim="800000"/>
          <a:headEnd/>
          <a:tailEnd type="none" w="med" len="med"/>
        </a:ln>
        <a:effectLst/>
      </xdr:spPr>
    </xdr:pic>
    <xdr:clientData/>
  </xdr:twoCellAnchor>
  <xdr:twoCellAnchor editAs="oneCell">
    <xdr:from>
      <xdr:col>0</xdr:col>
      <xdr:colOff>0</xdr:colOff>
      <xdr:row>122</xdr:row>
      <xdr:rowOff>109284</xdr:rowOff>
    </xdr:from>
    <xdr:to>
      <xdr:col>18</xdr:col>
      <xdr:colOff>676275</xdr:colOff>
      <xdr:row>127</xdr:row>
      <xdr:rowOff>57150</xdr:rowOff>
    </xdr:to>
    <xdr:pic>
      <xdr:nvPicPr>
        <xdr:cNvPr id="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21026184"/>
          <a:ext cx="13020675" cy="805116"/>
        </a:xfrm>
        <a:prstGeom prst="rect">
          <a:avLst/>
        </a:prstGeom>
        <a:noFill/>
        <a:ln w="1">
          <a:noFill/>
          <a:miter lim="800000"/>
          <a:headEnd/>
          <a:tailEnd type="none" w="med" len="med"/>
        </a:ln>
        <a:effectLst/>
      </xdr:spPr>
    </xdr:pic>
    <xdr:clientData/>
  </xdr:twoCellAnchor>
  <xdr:twoCellAnchor editAs="oneCell">
    <xdr:from>
      <xdr:col>10</xdr:col>
      <xdr:colOff>295275</xdr:colOff>
      <xdr:row>13</xdr:row>
      <xdr:rowOff>155321</xdr:rowOff>
    </xdr:from>
    <xdr:to>
      <xdr:col>18</xdr:col>
      <xdr:colOff>190500</xdr:colOff>
      <xdr:row>47</xdr:row>
      <xdr:rowOff>47625</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7153275" y="2384171"/>
          <a:ext cx="5381625" cy="5721604"/>
        </a:xfrm>
        <a:prstGeom prst="rect">
          <a:avLst/>
        </a:prstGeom>
        <a:noFill/>
        <a:ln w="1">
          <a:noFill/>
          <a:miter lim="800000"/>
          <a:headEnd/>
          <a:tailEnd type="none" w="med" len="med"/>
        </a:ln>
        <a:effectLst/>
      </xdr:spPr>
    </xdr:pic>
    <xdr:clientData/>
  </xdr:twoCellAnchor>
  <xdr:twoCellAnchor editAs="oneCell">
    <xdr:from>
      <xdr:col>10</xdr:col>
      <xdr:colOff>247650</xdr:colOff>
      <xdr:row>0</xdr:row>
      <xdr:rowOff>0</xdr:rowOff>
    </xdr:from>
    <xdr:to>
      <xdr:col>18</xdr:col>
      <xdr:colOff>171450</xdr:colOff>
      <xdr:row>14</xdr:row>
      <xdr:rowOff>125598</xdr:rowOff>
    </xdr:to>
    <xdr:pic>
      <xdr:nvPicPr>
        <xdr:cNvPr id="8"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7105650" y="0"/>
          <a:ext cx="5410200" cy="2525898"/>
        </a:xfrm>
        <a:prstGeom prst="rect">
          <a:avLst/>
        </a:prstGeom>
        <a:noFill/>
        <a:ln w="1">
          <a:noFill/>
          <a:miter lim="800000"/>
          <a:headEnd/>
          <a:tailEnd type="none" w="med" len="med"/>
        </a:ln>
        <a:effectLst/>
      </xdr:spPr>
    </xdr:pic>
    <xdr:clientData/>
  </xdr:twoCellAnchor>
  <xdr:twoCellAnchor editAs="oneCell">
    <xdr:from>
      <xdr:col>10</xdr:col>
      <xdr:colOff>400049</xdr:colOff>
      <xdr:row>47</xdr:row>
      <xdr:rowOff>69158</xdr:rowOff>
    </xdr:from>
    <xdr:to>
      <xdr:col>18</xdr:col>
      <xdr:colOff>114300</xdr:colOff>
      <xdr:row>61</xdr:row>
      <xdr:rowOff>123824</xdr:rowOff>
    </xdr:to>
    <xdr:pic>
      <xdr:nvPicPr>
        <xdr:cNvPr id="64518" name="Picture 6"/>
        <xdr:cNvPicPr>
          <a:picLocks noChangeAspect="1" noChangeArrowheads="1"/>
        </xdr:cNvPicPr>
      </xdr:nvPicPr>
      <xdr:blipFill>
        <a:blip xmlns:r="http://schemas.openxmlformats.org/officeDocument/2006/relationships" r:embed="rId7" cstate="print"/>
        <a:srcRect/>
        <a:stretch>
          <a:fillRect/>
        </a:stretch>
      </xdr:blipFill>
      <xdr:spPr bwMode="auto">
        <a:xfrm>
          <a:off x="7258049" y="8127308"/>
          <a:ext cx="5200651" cy="2454966"/>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叶凌（注册号:1119970111）、杨红英（注册号:1120070085)</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估价对象为北京市房地产，为所有。根据《不动产权证书》[]，估价对象建筑面积为99.8平方米，（分摊）出让国有建设用地使用权面积为平方米。估价对象用途为。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2018年12月5日（评估专业人员实地查勘之日）</v>
      </c>
    </row>
    <row r="10" spans="1:2">
      <c r="A10" s="1702" t="s">
        <v>1116</v>
      </c>
      <c r="B10" s="1689" t="str">
        <f>'预评函-1'!A13</f>
        <v>本次估价的“房地产价值”是指在正常市场情况下，在价值时点2018年12月5日，估价对象规划用途为，假定未设立法定优先受偿款下的房地产市场价值。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本次评估采用的主估价方法为收益法和比较法。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99.8</v>
      </c>
    </row>
    <row r="19" spans="1:2">
      <c r="A19" s="1702" t="s">
        <v>1125</v>
      </c>
      <c r="B19" s="1689">
        <f ca="1">'预评函-2（1）'!D7</f>
        <v>5691794</v>
      </c>
    </row>
    <row r="20" spans="1:2">
      <c r="A20" s="1702" t="s">
        <v>1163</v>
      </c>
      <c r="B20" s="1689" t="str">
        <f>'预评函-2（1）'!C7</f>
        <v>总价（元）</v>
      </c>
    </row>
    <row r="21" spans="1:2">
      <c r="A21" s="1702" t="s">
        <v>1126</v>
      </c>
      <c r="B21" s="1689">
        <f ca="1">'预评函-2（1）'!D9</f>
        <v>57032</v>
      </c>
    </row>
    <row r="22" spans="1:2">
      <c r="A22" s="1702" t="s">
        <v>1127</v>
      </c>
      <c r="B22" s="1689" t="str">
        <f ca="1">'预评函-2（1）'!D8</f>
        <v>伍佰陆拾玖万壹仟柒佰玖拾肆元整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5691794</v>
      </c>
    </row>
    <row r="30" spans="1:2">
      <c r="A30" s="1702" t="s">
        <v>1133</v>
      </c>
      <c r="B30" s="1689" t="str">
        <f ca="1">'预评函-2（1）'!D16</f>
        <v>伍佰陆拾玖万壹仟柒佰玖拾肆元整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5242142</v>
      </c>
    </row>
    <row r="38" spans="1:2">
      <c r="A38" s="1702" t="s">
        <v>1141</v>
      </c>
      <c r="B38" s="1689">
        <f ca="1">'预评函-2（2）'!E4</f>
        <v>52526</v>
      </c>
    </row>
    <row r="39" spans="1:2">
      <c r="A39" s="1702" t="s">
        <v>1142</v>
      </c>
      <c r="B39" s="1689" t="str">
        <f ca="1">'预评函-2（2）'!D5</f>
        <v>伍佰贰拾肆万贰仟壹佰肆拾贰元整</v>
      </c>
    </row>
    <row r="40" spans="1:2">
      <c r="A40" s="1702" t="s">
        <v>1143</v>
      </c>
      <c r="B40" s="1689">
        <f ca="1">'预评函-2（2）'!F4</f>
        <v>449652</v>
      </c>
    </row>
    <row r="41" spans="1:2">
      <c r="A41" s="1702" t="s">
        <v>1144</v>
      </c>
      <c r="B41" s="1689">
        <f ca="1">'预评函-2（2）'!G4</f>
        <v>4506</v>
      </c>
    </row>
    <row r="42" spans="1:2" s="1699" customFormat="1" ht="15.75" thickBot="1">
      <c r="A42" s="1703" t="s">
        <v>1145</v>
      </c>
      <c r="B42" s="1691" t="str">
        <f ca="1">'预评函-2（2）'!F5</f>
        <v>肆拾肆万玖仟陆佰伍拾贰元整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杨红英</v>
      </c>
    </row>
    <row r="55" spans="1:2" s="1699" customFormat="1" ht="15.75" thickBot="1">
      <c r="A55" s="1703" t="s">
        <v>1157</v>
      </c>
      <c r="B55" s="1691">
        <f>'预评函-3'!B5</f>
        <v>1120070085</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57032</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J19" sqref="J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1543</v>
      </c>
      <c r="B1" s="1994" t="str">
        <f>IF(B6="北京市","北京市",C6)&amp;IF(E12="房屋所有权证",B28,E28)&amp;D5&amp;"预评估"</f>
        <v>北京市预评估</v>
      </c>
      <c r="C1" s="1063"/>
      <c r="D1" s="1995"/>
      <c r="E1" s="1063"/>
      <c r="F1" s="1996" t="s">
        <v>1544</v>
      </c>
      <c r="G1" s="1682"/>
      <c r="I1" s="1020" t="str">
        <f>IF(B6="北京市","北京市",C6)&amp;IF(E12="房屋所有权证",B28,E28)&amp;"房地产"</f>
        <v>北京市房地产</v>
      </c>
    </row>
    <row r="2" spans="1:10" ht="13.5" thickTop="1">
      <c r="A2" s="1997" t="s">
        <v>1545</v>
      </c>
      <c r="B2" s="1088">
        <v>43439</v>
      </c>
      <c r="C2" s="1998" t="s">
        <v>1546</v>
      </c>
      <c r="D2" s="1088">
        <v>43439</v>
      </c>
      <c r="E2" s="1064"/>
      <c r="F2" s="1064"/>
      <c r="G2" s="1683"/>
      <c r="H2" s="1020"/>
    </row>
    <row r="3" spans="1:10" ht="13.5" thickBot="1">
      <c r="A3" s="1999" t="s">
        <v>1547</v>
      </c>
      <c r="B3" s="2000" t="s">
        <v>2817</v>
      </c>
      <c r="C3" s="1065">
        <f ca="1">SUMIF(注册房地产估价师,B3,估价师及机构信息!B3:B24)</f>
        <v>1119970111</v>
      </c>
      <c r="D3" s="2000" t="s">
        <v>2818</v>
      </c>
      <c r="E3" s="1066">
        <f>SUMIF(注册房地产估价师,D3,估价师及机构信息!B3:B24)</f>
        <v>1120070085</v>
      </c>
      <c r="F3" s="1067"/>
      <c r="G3" s="1684"/>
      <c r="H3" s="1020"/>
    </row>
    <row r="4" spans="1:10" ht="13.5" customHeight="1" thickTop="1">
      <c r="A4" s="2001" t="s">
        <v>1548</v>
      </c>
      <c r="B4" s="2002"/>
      <c r="C4" s="2003" t="s">
        <v>1549</v>
      </c>
      <c r="D4" s="2004"/>
      <c r="E4" s="1064"/>
      <c r="F4" s="1064"/>
      <c r="G4" s="1683"/>
    </row>
    <row r="5" spans="1:10">
      <c r="A5" s="2005" t="s">
        <v>1550</v>
      </c>
      <c r="B5" s="2006"/>
      <c r="C5" s="2007" t="s">
        <v>1551</v>
      </c>
      <c r="D5" s="2008"/>
      <c r="E5" s="2009" t="s">
        <v>1552</v>
      </c>
      <c r="F5" s="2010"/>
      <c r="G5" s="2011"/>
      <c r="I5" s="1020" t="str">
        <f>IF(C16="否","截至估价时点，估价对象抵押权未见登记。","截至价值时点，估价对象已设定抵押。")</f>
        <v>截至价值时点，估价对象已设定抵押。</v>
      </c>
    </row>
    <row r="6" spans="1:10">
      <c r="A6" s="2012" t="s">
        <v>1553</v>
      </c>
      <c r="B6" s="2013" t="s">
        <v>2819</v>
      </c>
      <c r="C6" s="2014"/>
      <c r="D6" s="2015" t="s">
        <v>1554</v>
      </c>
      <c r="E6" s="1022"/>
      <c r="F6" s="1021"/>
      <c r="G6" s="1074"/>
      <c r="I6" s="1070" t="str">
        <f>IF(COUNTIF(B5,"*上海银行*"),"上海银行","")</f>
        <v/>
      </c>
    </row>
    <row r="7" spans="1:10" ht="13.5" thickBot="1">
      <c r="A7" s="1999" t="s">
        <v>1555</v>
      </c>
      <c r="B7" s="2016" t="s">
        <v>2820</v>
      </c>
      <c r="C7" s="2017" t="str">
        <f>IF(B7="自然人","姓名","名称")</f>
        <v>姓名</v>
      </c>
      <c r="D7" s="2018"/>
      <c r="E7" s="1068"/>
      <c r="F7" s="1067"/>
      <c r="G7" s="1684"/>
    </row>
    <row r="8" spans="1:10" ht="13.5" thickTop="1">
      <c r="A8" s="2820" t="s">
        <v>1556</v>
      </c>
      <c r="B8" s="2019" t="s">
        <v>1557</v>
      </c>
      <c r="C8" s="2833"/>
      <c r="D8" s="2834"/>
      <c r="E8" s="2020" t="s">
        <v>1558</v>
      </c>
      <c r="F8" s="2021" t="s">
        <v>1559</v>
      </c>
      <c r="G8" s="690">
        <f>C6</f>
        <v>0</v>
      </c>
    </row>
    <row r="9" spans="1:10">
      <c r="A9" s="2820"/>
      <c r="B9" s="344" t="s">
        <v>1560</v>
      </c>
      <c r="C9" s="2006"/>
      <c r="D9" s="2022"/>
      <c r="E9" s="1010" t="s">
        <v>1561</v>
      </c>
      <c r="F9" s="996"/>
      <c r="G9" s="1012"/>
    </row>
    <row r="10" spans="1:10" ht="13.5" thickBot="1">
      <c r="A10" s="2820"/>
      <c r="B10" s="344" t="s">
        <v>1562</v>
      </c>
      <c r="C10" s="2835"/>
      <c r="D10" s="2836"/>
      <c r="E10" s="2023" t="s">
        <v>1563</v>
      </c>
      <c r="F10" s="1013"/>
      <c r="G10" s="1014"/>
    </row>
    <row r="11" spans="1:10" ht="13.5" thickBot="1">
      <c r="A11" s="2820"/>
      <c r="B11" s="2024" t="s">
        <v>1564</v>
      </c>
      <c r="C11" s="2837"/>
      <c r="D11" s="2838"/>
      <c r="E11" s="1022"/>
      <c r="F11" s="1021"/>
      <c r="G11" s="1074"/>
    </row>
    <row r="12" spans="1:10" ht="24.75" thickBot="1">
      <c r="A12" s="2824" t="s">
        <v>1565</v>
      </c>
      <c r="B12" s="2025" t="s">
        <v>1566</v>
      </c>
      <c r="C12" s="1016">
        <v>99.8</v>
      </c>
      <c r="D12" s="2025" t="s">
        <v>1567</v>
      </c>
      <c r="E12" s="2026" t="s">
        <v>1568</v>
      </c>
      <c r="F12" s="2027" t="s">
        <v>1569</v>
      </c>
      <c r="G12" s="1074"/>
    </row>
    <row r="13" spans="1:10" ht="21" customHeight="1" thickBot="1">
      <c r="A13" s="2825"/>
      <c r="B13" s="2028" t="s">
        <v>1570</v>
      </c>
      <c r="C13" s="1017"/>
      <c r="D13" s="2028" t="s">
        <v>1571</v>
      </c>
      <c r="E13" s="2029" t="s">
        <v>1568</v>
      </c>
      <c r="F13" s="1021"/>
      <c r="G13" s="1074"/>
      <c r="I13" s="2843" t="s">
        <v>1572</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1573</v>
      </c>
      <c r="C14" s="2033"/>
      <c r="D14" s="1021"/>
      <c r="E14" s="1021"/>
      <c r="F14" s="1021"/>
      <c r="G14" s="1074"/>
      <c r="I14" s="2843"/>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c r="D15" s="1067"/>
      <c r="E15" s="1067"/>
      <c r="F15" s="1067"/>
      <c r="G15" s="1684"/>
      <c r="I15" s="2843"/>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39" t="s">
        <v>1579</v>
      </c>
      <c r="C17" s="2840"/>
      <c r="D17" s="2841" t="s">
        <v>1580</v>
      </c>
      <c r="E17" s="2842"/>
      <c r="F17" s="2042" t="s">
        <v>1581</v>
      </c>
      <c r="G17" s="2043"/>
      <c r="J17" s="1020"/>
    </row>
    <row r="18" spans="1:15" ht="24">
      <c r="A18" s="2041"/>
      <c r="B18" s="2044" t="s">
        <v>1582</v>
      </c>
      <c r="C18" s="2011" t="s">
        <v>1583</v>
      </c>
      <c r="D18" s="2045" t="s">
        <v>1584</v>
      </c>
      <c r="E18" s="2046" t="s">
        <v>1585</v>
      </c>
      <c r="F18" s="2047"/>
      <c r="G18" s="1867"/>
      <c r="H18" s="1020"/>
      <c r="J18" s="1020"/>
    </row>
    <row r="19" spans="1:15" ht="21.75" customHeight="1" thickBot="1">
      <c r="A19" s="2041"/>
      <c r="B19" s="2048"/>
      <c r="C19" s="2029"/>
      <c r="D19" s="2049"/>
      <c r="E19" s="1021"/>
      <c r="F19" s="1021"/>
      <c r="G19" s="1867"/>
    </row>
    <row r="20" spans="1:15">
      <c r="A20" s="2050" t="s">
        <v>1586</v>
      </c>
      <c r="B20" s="2051" t="s">
        <v>1587</v>
      </c>
      <c r="C20" s="2052"/>
      <c r="D20" s="2053" t="s">
        <v>1587</v>
      </c>
      <c r="E20" s="2052"/>
      <c r="F20" s="1021"/>
      <c r="G20" s="1867"/>
    </row>
    <row r="21" spans="1:15">
      <c r="A21" s="2054"/>
      <c r="B21" s="2055" t="s">
        <v>1588</v>
      </c>
      <c r="C21" s="2056"/>
      <c r="D21" s="2041" t="s">
        <v>1588</v>
      </c>
      <c r="E21" s="2057"/>
      <c r="F21" s="1021"/>
      <c r="G21" s="1867"/>
    </row>
    <row r="22" spans="1:15">
      <c r="A22" s="2054"/>
      <c r="B22" s="2058" t="s">
        <v>1589</v>
      </c>
      <c r="C22" s="2059"/>
      <c r="D22" s="2058" t="s">
        <v>1589</v>
      </c>
      <c r="E22" s="2057"/>
      <c r="F22" s="1021"/>
      <c r="G22" s="1867"/>
    </row>
    <row r="23" spans="1:15" s="1865" customFormat="1" ht="21" thickBot="1">
      <c r="A23" s="2060"/>
      <c r="B23" s="2061" t="s">
        <v>1590</v>
      </c>
      <c r="C23" s="2062"/>
      <c r="D23" s="2061" t="s">
        <v>1591</v>
      </c>
      <c r="E23" s="2063"/>
      <c r="F23" s="1021"/>
      <c r="G23" s="1867"/>
      <c r="H23" s="2064"/>
      <c r="I23" s="1866"/>
      <c r="K23" s="1864"/>
      <c r="L23" s="1864"/>
      <c r="M23" s="1864"/>
      <c r="O23" s="1866"/>
    </row>
    <row r="24" spans="1:15" ht="13.5" thickBot="1">
      <c r="A24" s="1072" t="s">
        <v>1592</v>
      </c>
      <c r="B24" s="1021"/>
      <c r="C24" s="1021"/>
      <c r="D24" s="1021"/>
      <c r="E24" s="1021"/>
      <c r="F24" s="1021"/>
      <c r="G24" s="1868"/>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7" t="s">
        <v>1596</v>
      </c>
      <c r="D27" s="2828"/>
      <c r="E27" s="1004"/>
      <c r="F27" s="1011" t="s">
        <v>1596</v>
      </c>
      <c r="G27" s="1004"/>
      <c r="I27" s="1071"/>
      <c r="K27" s="1071"/>
    </row>
    <row r="28" spans="1:15">
      <c r="A28" s="1008" t="s">
        <v>1597</v>
      </c>
      <c r="B28" s="978"/>
      <c r="C28" s="2829" t="s">
        <v>1598</v>
      </c>
      <c r="D28" s="2830"/>
      <c r="E28" s="978"/>
      <c r="F28" s="1893" t="s">
        <v>1598</v>
      </c>
      <c r="G28" s="978"/>
      <c r="I28" s="1071"/>
      <c r="K28" s="1071"/>
    </row>
    <row r="29" spans="1:15">
      <c r="A29" s="1008" t="s">
        <v>1599</v>
      </c>
      <c r="B29" s="978"/>
      <c r="C29" s="2829" t="s">
        <v>1599</v>
      </c>
      <c r="D29" s="2830"/>
      <c r="E29" s="978"/>
      <c r="F29" s="1893" t="s">
        <v>1600</v>
      </c>
      <c r="G29" s="978"/>
      <c r="I29" s="1071"/>
      <c r="K29" s="1071"/>
    </row>
    <row r="30" spans="1:15">
      <c r="A30" s="1008" t="s">
        <v>1601</v>
      </c>
      <c r="B30" s="978"/>
      <c r="C30" s="2849" t="s">
        <v>1602</v>
      </c>
      <c r="D30" s="2067"/>
      <c r="E30" s="1023" t="str">
        <f>E31&amp;" "&amp;E32&amp;" "&amp;E33&amp;" "&amp;E34</f>
        <v xml:space="preserve">   </v>
      </c>
      <c r="F30" s="1893" t="s">
        <v>1603</v>
      </c>
      <c r="G30" s="978"/>
    </row>
    <row r="31" spans="1:15">
      <c r="A31" s="1008" t="s">
        <v>1604</v>
      </c>
      <c r="B31" s="978"/>
      <c r="C31" s="2850"/>
      <c r="D31" s="1892" t="s">
        <v>1605</v>
      </c>
      <c r="E31" s="978"/>
      <c r="F31" s="1893" t="s">
        <v>1606</v>
      </c>
      <c r="G31" s="978"/>
    </row>
    <row r="32" spans="1:15" ht="24.75" thickBot="1">
      <c r="A32" s="1009" t="s">
        <v>1607</v>
      </c>
      <c r="B32" s="1005"/>
      <c r="C32" s="2850"/>
      <c r="D32" s="1892" t="s">
        <v>1608</v>
      </c>
      <c r="E32" s="978"/>
      <c r="F32" s="1893" t="s">
        <v>1609</v>
      </c>
      <c r="G32" s="978"/>
    </row>
    <row r="33" spans="1:7">
      <c r="A33" s="1007" t="s">
        <v>1610</v>
      </c>
      <c r="B33" s="1004"/>
      <c r="C33" s="2850"/>
      <c r="D33" s="1892" t="s">
        <v>1611</v>
      </c>
      <c r="E33" s="978"/>
      <c r="F33" s="1893" t="s">
        <v>1612</v>
      </c>
      <c r="G33" s="978"/>
    </row>
    <row r="34" spans="1:7" ht="13.5" thickBot="1">
      <c r="A34" s="1008" t="s">
        <v>1613</v>
      </c>
      <c r="B34" s="978"/>
      <c r="C34" s="2851"/>
      <c r="D34" s="1892" t="s">
        <v>1614</v>
      </c>
      <c r="E34" s="978"/>
      <c r="F34" s="1894" t="s">
        <v>1615</v>
      </c>
      <c r="G34" s="1006"/>
    </row>
    <row r="35" spans="1:7">
      <c r="A35" s="1008" t="s">
        <v>1566</v>
      </c>
      <c r="B35" s="978"/>
      <c r="C35" s="2829" t="s">
        <v>1616</v>
      </c>
      <c r="D35" s="2830"/>
      <c r="E35" s="978"/>
      <c r="F35" s="1019" t="s">
        <v>1617</v>
      </c>
      <c r="G35" s="1004"/>
    </row>
    <row r="36" spans="1:7" ht="13.5" thickBot="1">
      <c r="A36" s="1008" t="s">
        <v>1618</v>
      </c>
      <c r="B36" s="978"/>
      <c r="C36" s="2831" t="s">
        <v>1619</v>
      </c>
      <c r="D36" s="2832"/>
      <c r="E36" s="1005"/>
      <c r="F36" s="1890" t="s">
        <v>1620</v>
      </c>
      <c r="G36" s="978"/>
    </row>
    <row r="37" spans="1:7" ht="13.5" thickBot="1">
      <c r="A37" s="1008" t="s">
        <v>1621</v>
      </c>
      <c r="B37" s="978"/>
      <c r="C37" s="2821" t="s">
        <v>1622</v>
      </c>
      <c r="D37" s="2068" t="s">
        <v>1606</v>
      </c>
      <c r="E37" s="1004"/>
      <c r="F37" s="1894" t="s">
        <v>1623</v>
      </c>
      <c r="G37" s="1005"/>
    </row>
    <row r="38" spans="1:7">
      <c r="A38" s="1008" t="s">
        <v>1624</v>
      </c>
      <c r="B38" s="978"/>
      <c r="C38" s="2822"/>
      <c r="D38" s="1892" t="s">
        <v>1613</v>
      </c>
      <c r="E38" s="978"/>
      <c r="F38" s="1011" t="s">
        <v>1625</v>
      </c>
      <c r="G38" s="1004"/>
    </row>
    <row r="39" spans="1:7">
      <c r="A39" s="1008" t="s">
        <v>1626</v>
      </c>
      <c r="B39" s="978"/>
      <c r="C39" s="2822" t="s">
        <v>1627</v>
      </c>
      <c r="D39" s="1892" t="s">
        <v>1566</v>
      </c>
      <c r="E39" s="978"/>
      <c r="F39" s="1893" t="s">
        <v>1628</v>
      </c>
      <c r="G39" s="978"/>
    </row>
    <row r="40" spans="1:7" ht="24.75" customHeight="1" thickBot="1">
      <c r="A40" s="1009" t="s">
        <v>1629</v>
      </c>
      <c r="B40" s="1005"/>
      <c r="C40" s="2823"/>
      <c r="D40" s="1895" t="s">
        <v>1570</v>
      </c>
      <c r="E40" s="1005"/>
      <c r="F40" s="1894" t="s">
        <v>1630</v>
      </c>
      <c r="G40" s="1005"/>
    </row>
    <row r="41" spans="1:7">
      <c r="A41" s="1010" t="s">
        <v>1631</v>
      </c>
      <c r="B41" s="1060"/>
      <c r="C41" s="2844" t="s">
        <v>1631</v>
      </c>
      <c r="D41" s="2845"/>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46" t="s">
        <v>1634</v>
      </c>
      <c r="D48" s="2847"/>
      <c r="E48" s="1055"/>
      <c r="F48" s="1894" t="s">
        <v>1635</v>
      </c>
      <c r="G48" s="1005"/>
    </row>
    <row r="49" spans="1:15">
      <c r="A49" s="1008" t="s">
        <v>1636</v>
      </c>
      <c r="B49" s="1054"/>
      <c r="C49" s="2821" t="s">
        <v>1637</v>
      </c>
      <c r="D49" s="2848"/>
      <c r="E49" s="1056"/>
      <c r="F49" s="1084"/>
      <c r="G49" s="1085"/>
    </row>
    <row r="50" spans="1:15" ht="13.5" thickBot="1">
      <c r="A50" s="1008" t="s">
        <v>1638</v>
      </c>
      <c r="B50" s="1054"/>
      <c r="C50" s="2823" t="s">
        <v>1639</v>
      </c>
      <c r="D50" s="2826"/>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tabSelected="1"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I19" sqref="I19"/>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2"/>
      <c r="E1" s="1852"/>
      <c r="AE1" s="1237"/>
      <c r="AF1" s="1237"/>
      <c r="AG1" s="1237"/>
      <c r="AH1" s="1237"/>
      <c r="AI1" s="1237"/>
      <c r="AJ1" s="1237"/>
      <c r="AK1" s="1237"/>
      <c r="AL1" s="1237"/>
      <c r="AM1" s="1237"/>
      <c r="AN1" s="1237"/>
      <c r="AO1" s="1237"/>
    </row>
    <row r="2" spans="1:41" s="2077" customFormat="1" ht="15.75" thickBot="1">
      <c r="A2" s="2074" t="s">
        <v>1642</v>
      </c>
      <c r="B2" s="1209">
        <f>项目基本情况!D2</f>
        <v>43439</v>
      </c>
      <c r="C2" s="1854"/>
      <c r="D2" s="2854" t="s">
        <v>1643</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1644</v>
      </c>
      <c r="B3" s="2078" t="s">
        <v>2821</v>
      </c>
      <c r="C3" s="1854"/>
      <c r="D3" s="2855"/>
      <c r="E3" s="1188" t="s">
        <v>1645</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5" t="s">
        <v>1646</v>
      </c>
      <c r="B4" s="2078" t="s">
        <v>2822</v>
      </c>
      <c r="C4" s="1854"/>
      <c r="D4" s="2855"/>
      <c r="E4" s="1188"/>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1647</v>
      </c>
      <c r="B5" s="1318">
        <f>项目基本情况!C12</f>
        <v>99.8</v>
      </c>
      <c r="C5" s="1854"/>
      <c r="D5" s="2080" t="s">
        <v>1648</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1649</v>
      </c>
      <c r="B6" s="1319">
        <f>项目基本情况!C13</f>
        <v>0</v>
      </c>
      <c r="C6" s="1854"/>
      <c r="D6" s="2080" t="s">
        <v>1650</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1651</v>
      </c>
      <c r="B10" s="2085" t="s">
        <v>2823</v>
      </c>
      <c r="C10" s="1854"/>
      <c r="D10" s="2074" t="s">
        <v>1652</v>
      </c>
      <c r="E10" s="2086" t="s">
        <v>1653</v>
      </c>
      <c r="F10" s="1145" t="s">
        <v>1654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1655</v>
      </c>
      <c r="B11" s="990">
        <v>70</v>
      </c>
      <c r="C11" s="1854"/>
      <c r="D11" s="2088" t="s">
        <v>1656</v>
      </c>
      <c r="E11" s="34">
        <v>160</v>
      </c>
      <c r="F11" s="1853" t="s">
        <v>1657</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1658</v>
      </c>
      <c r="B12" s="2092">
        <v>72686</v>
      </c>
      <c r="C12" s="1854"/>
      <c r="D12" s="2093" t="s">
        <v>1659</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1660</v>
      </c>
      <c r="B13" s="991">
        <f>IF(B12="",B11-(YEAR($B$2)-B26+B23),ROUNDDOWN(MIN((B12-$B$2)/365,B11),2))</f>
        <v>70</v>
      </c>
      <c r="C13" s="2095"/>
      <c r="D13" s="2096" t="s">
        <v>1661</v>
      </c>
      <c r="E13" s="39"/>
      <c r="F13" s="1848" t="s">
        <v>1662</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1663</v>
      </c>
      <c r="B14" s="992">
        <f>IF(ISERROR(ROUND(POWER(1+B15,B11-B13)*(POWER(1+B15,B13)-1)/(POWER(1+B15,B11)-1),3)),0,ROUND(POWER(1+B15,B11-B13)*(POWER(1+B15,B13)-1)/(POWER(1+B15,B11)-1),3))</f>
        <v>1</v>
      </c>
      <c r="C14" s="1854"/>
      <c r="D14" s="2097" t="s">
        <v>1664</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1665</v>
      </c>
      <c r="B15" s="30">
        <v>0.04</v>
      </c>
      <c r="C15" s="1854"/>
      <c r="D15" s="2093" t="s">
        <v>1666</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1667</v>
      </c>
      <c r="B16" s="30">
        <v>4.4999999999999998E-2</v>
      </c>
      <c r="C16" s="1854"/>
      <c r="D16" s="2098" t="s">
        <v>1668</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1669</v>
      </c>
      <c r="B17" s="997">
        <v>0.08</v>
      </c>
      <c r="C17" s="1854"/>
      <c r="D17" s="2084" t="s">
        <v>1670</v>
      </c>
      <c r="E17" s="985">
        <v>2500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6">
        <f>ROUND(B5*E17*IF(B25=0,1,E20),0)</f>
        <v>249500</v>
      </c>
      <c r="F18" s="1320">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1671</v>
      </c>
      <c r="B19" s="1854"/>
      <c r="C19" s="1854"/>
      <c r="D19" s="2100"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4.25">
      <c r="A20" s="2101" t="s">
        <v>1672</v>
      </c>
      <c r="B20" s="31">
        <v>0</v>
      </c>
      <c r="C20" s="1854"/>
      <c r="D20" s="2102" t="str">
        <f>IF(B25=0,"成新率","工程进度")</f>
        <v>成新率</v>
      </c>
      <c r="E20" s="987">
        <f>G63</f>
        <v>0.84</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1673</v>
      </c>
      <c r="B21" s="32">
        <v>2</v>
      </c>
      <c r="C21" s="1854"/>
      <c r="D21" s="2093" t="s">
        <v>1674</v>
      </c>
      <c r="E21" s="40">
        <v>0.02</v>
      </c>
      <c r="F21" s="1851" t="s">
        <v>1675</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1676</v>
      </c>
      <c r="B22" s="1454">
        <v>2</v>
      </c>
      <c r="C22" s="1854"/>
      <c r="D22" s="2093" t="s">
        <v>1677</v>
      </c>
      <c r="E22" s="40">
        <v>0.02</v>
      </c>
      <c r="F22" s="1851" t="s">
        <v>1678</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1679</v>
      </c>
      <c r="B23" s="33">
        <f>B20+B21</f>
        <v>2</v>
      </c>
      <c r="C23" s="1854"/>
      <c r="D23" s="2093" t="s">
        <v>1680</v>
      </c>
      <c r="E23" s="37">
        <v>200</v>
      </c>
      <c r="F23" s="1851" t="s">
        <v>1681</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1682</v>
      </c>
      <c r="B24" s="1742">
        <f>B20+B22</f>
        <v>2</v>
      </c>
      <c r="C24" s="1854"/>
      <c r="D24" s="2098" t="s">
        <v>1683</v>
      </c>
      <c r="E24" s="2751">
        <v>1.4999999999999999E-2</v>
      </c>
      <c r="F24" s="1851" t="s">
        <v>1684</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1685</v>
      </c>
      <c r="B25" s="1453">
        <f>B21-B22</f>
        <v>0</v>
      </c>
      <c r="C25" s="1237"/>
      <c r="D25" s="2088" t="s">
        <v>1686</v>
      </c>
      <c r="E25" s="711">
        <v>0.01</v>
      </c>
      <c r="F25" s="1851" t="s">
        <v>1687</v>
      </c>
      <c r="I25" s="1852"/>
      <c r="AE25" s="1237"/>
      <c r="AF25" s="1237"/>
      <c r="AG25" s="1237"/>
      <c r="AH25" s="1237"/>
      <c r="AI25" s="1237"/>
      <c r="AJ25" s="1237"/>
      <c r="AK25" s="1237"/>
      <c r="AL25" s="1237"/>
      <c r="AM25" s="1237"/>
      <c r="AN25" s="1237"/>
      <c r="AO25" s="1237"/>
    </row>
    <row r="26" spans="1:41" ht="15.75" thickBot="1">
      <c r="A26" s="2107" t="s">
        <v>1688</v>
      </c>
      <c r="B26" s="1094">
        <v>2007</v>
      </c>
      <c r="C26" s="1854"/>
      <c r="D26" s="2093" t="s">
        <v>1689</v>
      </c>
      <c r="E26" s="40">
        <v>0.01</v>
      </c>
      <c r="F26" s="1851" t="s">
        <v>1687</v>
      </c>
      <c r="G26" s="2076"/>
      <c r="H26" s="2076"/>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1" t="s">
        <v>1691</v>
      </c>
      <c r="G27" s="2076"/>
      <c r="H27" s="2076"/>
      <c r="K27" s="1854"/>
      <c r="N27" s="1854"/>
      <c r="AE27" s="1237"/>
      <c r="AF27" s="1237"/>
      <c r="AG27" s="1237"/>
      <c r="AH27" s="1237"/>
      <c r="AI27" s="1237"/>
      <c r="AJ27" s="1237"/>
      <c r="AK27" s="1237"/>
      <c r="AL27" s="1237"/>
      <c r="AM27" s="1237"/>
      <c r="AN27" s="1237"/>
      <c r="AO27" s="1237"/>
    </row>
    <row r="28" spans="1:41" ht="15" thickBot="1">
      <c r="A28" s="2108" t="s">
        <v>1692</v>
      </c>
      <c r="B28" s="2109" t="s">
        <v>2816</v>
      </c>
      <c r="C28" s="1237"/>
      <c r="D28" s="2110" t="s">
        <v>1693</v>
      </c>
      <c r="E28" s="989">
        <v>0.2</v>
      </c>
      <c r="G28" s="2076"/>
      <c r="H28" s="2076"/>
      <c r="K28" s="1854"/>
      <c r="N28" s="1854"/>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7000</v>
      </c>
      <c r="C29" s="1237"/>
      <c r="D29" s="2097" t="s">
        <v>1694</v>
      </c>
      <c r="E29" s="988">
        <f>E30+E31</f>
        <v>5.6000000000000001E-2</v>
      </c>
      <c r="F29" s="1848"/>
      <c r="G29" s="2076"/>
      <c r="H29" s="2076"/>
      <c r="K29" s="1854"/>
      <c r="N29" s="1854"/>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59">
        <f>IF(B2&lt;DATE(2016,5,1),0,E30)</f>
        <v>0.05</v>
      </c>
      <c r="G30" s="2076"/>
      <c r="H30" s="2076"/>
      <c r="K30" s="1854"/>
      <c r="N30" s="1854"/>
      <c r="AE30" s="1237"/>
      <c r="AF30" s="1237"/>
      <c r="AG30" s="1237"/>
      <c r="AH30" s="1237"/>
      <c r="AI30" s="1237"/>
      <c r="AJ30" s="1237"/>
      <c r="AK30" s="1237"/>
      <c r="AL30" s="1237"/>
      <c r="AM30" s="1237"/>
      <c r="AN30" s="1237"/>
      <c r="AO30" s="1237"/>
    </row>
    <row r="31" spans="1:41" ht="14.25">
      <c r="A31" s="2091" t="s">
        <v>1697</v>
      </c>
      <c r="B31" s="30">
        <v>0.04</v>
      </c>
      <c r="C31" s="1237"/>
      <c r="D31" s="2111" t="s">
        <v>1698</v>
      </c>
      <c r="E31" s="42">
        <f>E30*(E32+E33+E34)+E35</f>
        <v>6.000000000000001E-3</v>
      </c>
      <c r="F31" s="1848"/>
      <c r="G31" s="2076"/>
      <c r="H31" s="2076"/>
      <c r="K31" s="1854"/>
      <c r="N31" s="1854"/>
      <c r="AE31" s="1237"/>
      <c r="AF31" s="1237"/>
      <c r="AG31" s="1237"/>
      <c r="AH31" s="1237"/>
      <c r="AI31" s="1237"/>
      <c r="AJ31" s="1237"/>
      <c r="AK31" s="1237"/>
      <c r="AL31" s="1237"/>
      <c r="AM31" s="1237"/>
      <c r="AN31" s="1237"/>
      <c r="AO31" s="1237"/>
    </row>
    <row r="32" spans="1:41" ht="14.25">
      <c r="A32" s="2091" t="s">
        <v>1699</v>
      </c>
      <c r="B32" s="30">
        <v>0.05</v>
      </c>
      <c r="C32" s="1237"/>
      <c r="D32" s="2112" t="s">
        <v>1700</v>
      </c>
      <c r="E32" s="43">
        <v>7.0000000000000007E-2</v>
      </c>
      <c r="F32" s="1846" t="s">
        <v>1701</v>
      </c>
      <c r="G32" s="2076"/>
      <c r="H32" s="2076"/>
      <c r="K32" s="1854"/>
      <c r="L32" s="1854"/>
      <c r="M32" s="1854"/>
      <c r="N32" s="1854"/>
      <c r="AE32" s="1237"/>
      <c r="AF32" s="1237"/>
      <c r="AG32" s="1237"/>
      <c r="AH32" s="1237"/>
      <c r="AI32" s="1237"/>
      <c r="AJ32" s="1237"/>
      <c r="AK32" s="1237"/>
      <c r="AL32" s="1237"/>
      <c r="AM32" s="1237"/>
      <c r="AN32" s="1237"/>
      <c r="AO32" s="1237"/>
    </row>
    <row r="33" spans="1:41" ht="14.25">
      <c r="A33" s="2091" t="s">
        <v>1702</v>
      </c>
      <c r="B33" s="1380">
        <f>收益法!J54</f>
        <v>70</v>
      </c>
      <c r="C33" s="1237"/>
      <c r="D33" s="2112" t="s">
        <v>1703</v>
      </c>
      <c r="E33" s="41">
        <v>0.03</v>
      </c>
      <c r="F33" s="1845" t="s">
        <v>1704</v>
      </c>
      <c r="G33" s="2076"/>
      <c r="H33" s="2076"/>
      <c r="K33" s="1854"/>
      <c r="L33" s="1854"/>
      <c r="M33" s="1854"/>
      <c r="N33" s="1854"/>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5" t="s">
        <v>1706</v>
      </c>
      <c r="G34" s="2113"/>
      <c r="H34" s="2113"/>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v>0</v>
      </c>
      <c r="F35" s="1853" t="s">
        <v>1709</v>
      </c>
      <c r="G35" s="2113"/>
      <c r="H35" s="2113"/>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49" t="s">
        <v>1711</v>
      </c>
      <c r="G36" s="2113"/>
      <c r="H36" s="2113"/>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49" t="s">
        <v>1713</v>
      </c>
      <c r="G37" s="2076"/>
      <c r="H37" s="2076"/>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7"/>
      <c r="G38" s="1852"/>
      <c r="H38" s="1852"/>
      <c r="I38" s="2076"/>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7"/>
      <c r="G39" s="2113"/>
      <c r="H39" s="2113"/>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7"/>
      <c r="G40" s="2076"/>
      <c r="H40" s="2076"/>
      <c r="I40" s="1854"/>
      <c r="J40" s="1854"/>
      <c r="K40" s="1854"/>
      <c r="L40" s="1854"/>
      <c r="M40" s="1854"/>
      <c r="N40" s="1854"/>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7" t="s">
        <v>1719</v>
      </c>
      <c r="G41" s="2122" t="s">
        <v>1720</v>
      </c>
      <c r="H41" s="2076"/>
      <c r="I41" s="1854"/>
      <c r="J41" s="1854"/>
      <c r="K41" s="1854"/>
      <c r="L41" s="1854"/>
      <c r="M41" s="1854"/>
      <c r="N41" s="1854"/>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7">
        <v>30</v>
      </c>
      <c r="G42" s="2076"/>
      <c r="H42" s="2076"/>
      <c r="I42" s="1854"/>
      <c r="J42" s="1854"/>
      <c r="K42" s="1854"/>
      <c r="L42" s="1854"/>
      <c r="M42" s="1854"/>
      <c r="N42" s="1854"/>
      <c r="AE42" s="1237"/>
      <c r="AF42" s="1237"/>
      <c r="AG42" s="1237"/>
      <c r="AH42" s="1237"/>
      <c r="AI42" s="1237"/>
      <c r="AJ42" s="1237"/>
      <c r="AK42" s="1237"/>
      <c r="AL42" s="1237"/>
      <c r="AM42" s="1237"/>
      <c r="AN42" s="1237"/>
      <c r="AO42" s="1237"/>
    </row>
    <row r="43" spans="1:41" ht="14.25">
      <c r="A43" s="2091" t="s">
        <v>1723</v>
      </c>
      <c r="B43" s="29"/>
      <c r="C43" s="1237"/>
      <c r="D43" s="2123" t="s">
        <v>1724</v>
      </c>
      <c r="E43" s="29"/>
      <c r="F43" s="1847">
        <v>24</v>
      </c>
      <c r="G43" s="2076"/>
      <c r="H43" s="2076"/>
      <c r="I43" s="1854"/>
      <c r="J43" s="1854"/>
      <c r="K43" s="1854"/>
      <c r="L43" s="1854"/>
      <c r="M43" s="1854"/>
      <c r="N43" s="1854"/>
      <c r="AE43" s="1237"/>
      <c r="AF43" s="1237"/>
      <c r="AG43" s="1237"/>
      <c r="AH43" s="1237"/>
      <c r="AI43" s="1237"/>
      <c r="AJ43" s="1237"/>
      <c r="AK43" s="1237"/>
      <c r="AL43" s="1237"/>
      <c r="AM43" s="1237"/>
      <c r="AN43" s="1237"/>
      <c r="AO43" s="1237"/>
    </row>
    <row r="44" spans="1:41" ht="14.25">
      <c r="A44" s="2091" t="s">
        <v>1725</v>
      </c>
      <c r="B44" s="1001">
        <v>0.01</v>
      </c>
      <c r="C44" s="1237" t="s">
        <v>969</v>
      </c>
      <c r="D44" s="2123" t="s">
        <v>1726</v>
      </c>
      <c r="E44" s="29"/>
      <c r="F44" s="1847">
        <v>18</v>
      </c>
      <c r="G44" s="1237"/>
      <c r="H44" s="1237"/>
      <c r="I44" s="2076"/>
      <c r="J44" s="1854"/>
      <c r="K44" s="1854"/>
      <c r="L44" s="1854"/>
      <c r="M44" s="1854"/>
      <c r="N44" s="1854"/>
      <c r="AE44" s="1237"/>
      <c r="AF44" s="1237"/>
      <c r="AG44" s="1237"/>
      <c r="AH44" s="1237"/>
      <c r="AI44" s="1237"/>
      <c r="AJ44" s="1237"/>
      <c r="AK44" s="1237"/>
      <c r="AL44" s="1237"/>
      <c r="AM44" s="1237"/>
      <c r="AN44" s="1237"/>
      <c r="AO44" s="1237"/>
    </row>
    <row r="45" spans="1:41" ht="14.25">
      <c r="A45" s="2091" t="s">
        <v>1727</v>
      </c>
      <c r="B45" s="1002">
        <v>1E-3</v>
      </c>
      <c r="C45" s="1237" t="s">
        <v>970</v>
      </c>
      <c r="D45" s="2123" t="s">
        <v>1728</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23" t="s">
        <v>1730</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23" t="s">
        <v>1731</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23" t="s">
        <v>1732</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23" t="s">
        <v>1733</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4" t="s">
        <v>1734</v>
      </c>
      <c r="E51" s="49"/>
      <c r="F51" s="1854"/>
      <c r="M51" s="1854"/>
      <c r="N51" s="1854"/>
      <c r="O51" s="84"/>
      <c r="P51" s="84"/>
    </row>
    <row r="52" spans="1:41" s="1237" customFormat="1" ht="14.25">
      <c r="D52" s="2076"/>
      <c r="E52" s="2076"/>
      <c r="F52" s="2076"/>
      <c r="G52" s="2076"/>
      <c r="H52" s="2076"/>
      <c r="I52" s="1854"/>
      <c r="J52" s="1854"/>
      <c r="K52" s="1854"/>
      <c r="L52" s="1854"/>
      <c r="M52" s="1854"/>
      <c r="N52" s="1854"/>
      <c r="O52" s="84"/>
      <c r="P52" s="84"/>
    </row>
    <row r="53" spans="1:41" s="1237" customFormat="1" ht="14.25">
      <c r="D53" s="2076"/>
      <c r="E53" s="2076"/>
      <c r="F53" s="2076"/>
      <c r="G53" s="2076"/>
      <c r="H53" s="2076"/>
      <c r="I53" s="1854"/>
      <c r="J53" s="1854"/>
      <c r="K53" s="1854"/>
      <c r="L53" s="1854"/>
      <c r="M53" s="1854"/>
      <c r="N53" s="1854"/>
      <c r="O53" s="84"/>
      <c r="P53" s="84"/>
    </row>
    <row r="54" spans="1:41" s="1237" customFormat="1" ht="14.25">
      <c r="A54" s="2856" t="s">
        <v>2824</v>
      </c>
      <c r="B54" s="2857"/>
      <c r="C54" s="2731"/>
      <c r="D54" s="2732"/>
      <c r="E54" s="2732"/>
      <c r="F54" s="2733"/>
      <c r="G54" s="2733"/>
      <c r="H54" s="2076"/>
      <c r="I54" s="1854"/>
      <c r="J54" s="1854"/>
      <c r="K54" s="1854"/>
      <c r="L54" s="1854"/>
      <c r="M54" s="1854"/>
      <c r="N54" s="1854"/>
      <c r="O54" s="84"/>
      <c r="P54" s="84"/>
    </row>
    <row r="55" spans="1:41" s="1237" customFormat="1" ht="14.25">
      <c r="A55" s="2734" t="s">
        <v>2825</v>
      </c>
      <c r="B55" s="2735">
        <v>0</v>
      </c>
      <c r="C55" s="2731"/>
      <c r="D55" s="2736"/>
      <c r="E55" s="2736"/>
      <c r="F55" s="2733"/>
      <c r="G55" s="2733"/>
      <c r="H55" s="2076"/>
      <c r="I55" s="1854"/>
      <c r="J55" s="1854"/>
      <c r="K55" s="1854"/>
      <c r="L55" s="1854"/>
      <c r="M55" s="1854"/>
      <c r="N55" s="1854"/>
      <c r="O55" s="84"/>
      <c r="P55" s="84"/>
    </row>
    <row r="56" spans="1:41" s="1237" customFormat="1" ht="14.25">
      <c r="A56" s="2734" t="s">
        <v>2826</v>
      </c>
      <c r="B56" s="2737" t="s">
        <v>2841</v>
      </c>
      <c r="C56" s="2731"/>
      <c r="D56" s="2736"/>
      <c r="E56" s="2738"/>
      <c r="F56" s="2733"/>
      <c r="G56" s="2733"/>
      <c r="H56" s="2076"/>
      <c r="I56" s="1854"/>
      <c r="J56" s="1854"/>
      <c r="K56" s="1854"/>
      <c r="L56" s="1854"/>
      <c r="M56" s="1854"/>
      <c r="N56" s="1854"/>
      <c r="O56" s="84"/>
      <c r="P56" s="84"/>
    </row>
    <row r="57" spans="1:41" s="1237" customFormat="1" ht="14.25">
      <c r="A57" s="2734" t="s">
        <v>2827</v>
      </c>
      <c r="B57" s="2737" t="s">
        <v>2828</v>
      </c>
      <c r="C57" s="2731"/>
      <c r="D57" s="2736"/>
      <c r="E57" s="2736"/>
      <c r="F57" s="2733"/>
      <c r="G57" s="2733"/>
      <c r="H57" s="2076"/>
      <c r="I57" s="1854"/>
      <c r="J57" s="1854"/>
      <c r="K57" s="1854"/>
      <c r="L57" s="1854"/>
      <c r="M57" s="1854"/>
      <c r="N57" s="1854"/>
      <c r="O57" s="84"/>
      <c r="P57" s="84"/>
    </row>
    <row r="58" spans="1:41" s="1237" customFormat="1" ht="14.25">
      <c r="A58" s="2734" t="s">
        <v>2829</v>
      </c>
      <c r="B58" s="2739">
        <f>ROUND(1-(1-B55)*B56/B57,2)</f>
        <v>0.82</v>
      </c>
      <c r="C58" s="2731"/>
      <c r="D58" s="2736"/>
      <c r="E58" s="2736"/>
      <c r="F58" s="2733"/>
      <c r="G58" s="2733"/>
      <c r="H58" s="2076"/>
      <c r="I58" s="1854"/>
      <c r="J58" s="1854"/>
      <c r="K58" s="1854"/>
      <c r="L58" s="1854"/>
      <c r="M58" s="1854"/>
      <c r="N58" s="1854"/>
      <c r="O58" s="84"/>
      <c r="P58" s="84"/>
    </row>
    <row r="59" spans="1:41" s="1237" customFormat="1" ht="14.25">
      <c r="A59" s="2740" t="s">
        <v>2830</v>
      </c>
      <c r="B59" s="2741">
        <v>0.5</v>
      </c>
      <c r="C59" s="2731"/>
      <c r="D59" s="2736"/>
      <c r="E59" s="2736"/>
      <c r="F59" s="2733"/>
      <c r="G59" s="2733"/>
      <c r="H59" s="2076"/>
      <c r="I59" s="1854"/>
      <c r="J59" s="1854"/>
      <c r="K59" s="1854"/>
      <c r="L59" s="1854"/>
      <c r="M59" s="2125"/>
      <c r="N59" s="1854"/>
      <c r="O59" s="84"/>
      <c r="P59" s="84"/>
    </row>
    <row r="60" spans="1:41" s="1237" customFormat="1" ht="14.25">
      <c r="A60" s="2858" t="s">
        <v>2831</v>
      </c>
      <c r="B60" s="2858"/>
      <c r="C60" s="2858"/>
      <c r="D60" s="2858"/>
      <c r="E60" s="2858"/>
      <c r="F60" s="2733"/>
      <c r="G60" s="2733"/>
      <c r="H60" s="2076"/>
      <c r="I60" s="1854"/>
      <c r="J60" s="1854"/>
      <c r="K60" s="1854"/>
      <c r="L60" s="1854"/>
      <c r="M60" s="1854"/>
      <c r="N60" s="1854"/>
      <c r="O60" s="84"/>
      <c r="P60" s="84"/>
    </row>
    <row r="61" spans="1:41" s="1237" customFormat="1" ht="14.25">
      <c r="A61" s="2742" t="s">
        <v>2832</v>
      </c>
      <c r="B61" s="2743" t="s">
        <v>2833</v>
      </c>
      <c r="C61" s="2743" t="s">
        <v>2834</v>
      </c>
      <c r="D61" s="2743" t="s">
        <v>2835</v>
      </c>
      <c r="E61" s="2743" t="s">
        <v>2836</v>
      </c>
      <c r="F61" s="2733"/>
      <c r="G61" s="2733"/>
      <c r="H61" s="2076"/>
      <c r="I61" s="1854"/>
      <c r="J61" s="1854"/>
      <c r="K61" s="1854"/>
      <c r="L61" s="1854"/>
      <c r="M61" s="1854"/>
      <c r="N61" s="1854"/>
      <c r="O61" s="84"/>
      <c r="P61" s="84"/>
    </row>
    <row r="62" spans="1:41" s="1237" customFormat="1" ht="14.25">
      <c r="A62" s="2742" t="s">
        <v>2837</v>
      </c>
      <c r="B62" s="2743">
        <v>100</v>
      </c>
      <c r="C62" s="2744" t="s">
        <v>2838</v>
      </c>
      <c r="D62" s="2743">
        <v>85</v>
      </c>
      <c r="E62" s="2745">
        <v>0.3</v>
      </c>
      <c r="F62" s="2733"/>
      <c r="G62" s="2733"/>
      <c r="H62" s="2076"/>
      <c r="I62" s="1854"/>
      <c r="J62" s="1854"/>
      <c r="K62" s="1854"/>
      <c r="L62" s="1854"/>
      <c r="M62" s="1854"/>
      <c r="N62" s="1854"/>
      <c r="O62" s="84"/>
      <c r="P62" s="84"/>
    </row>
    <row r="63" spans="1:41" s="1237" customFormat="1" ht="14.25">
      <c r="A63" s="2742" t="s">
        <v>2839</v>
      </c>
      <c r="B63" s="2743">
        <v>100</v>
      </c>
      <c r="C63" s="2744" t="s">
        <v>2838</v>
      </c>
      <c r="D63" s="2743">
        <v>85</v>
      </c>
      <c r="E63" s="2745">
        <v>0.5</v>
      </c>
      <c r="F63" s="2733"/>
      <c r="G63" s="2746">
        <f>ROUND(B58*B59+D65*B65,2)</f>
        <v>0.84</v>
      </c>
      <c r="H63" s="2076"/>
      <c r="I63" s="1854"/>
      <c r="J63" s="1854"/>
      <c r="K63" s="1854"/>
      <c r="L63" s="1854"/>
      <c r="M63" s="1854"/>
      <c r="N63" s="1854"/>
      <c r="O63" s="84"/>
      <c r="P63" s="84"/>
    </row>
    <row r="64" spans="1:41" s="1237" customFormat="1" ht="14.25">
      <c r="A64" s="2742" t="s">
        <v>2840</v>
      </c>
      <c r="B64" s="2743">
        <v>100</v>
      </c>
      <c r="C64" s="2744" t="s">
        <v>2838</v>
      </c>
      <c r="D64" s="2743">
        <v>85</v>
      </c>
      <c r="E64" s="2745">
        <f>1-E62-E63</f>
        <v>0.19999999999999996</v>
      </c>
      <c r="F64" s="2733"/>
      <c r="G64" s="2733"/>
      <c r="H64" s="2076"/>
      <c r="I64" s="1854"/>
      <c r="J64" s="1854"/>
      <c r="K64" s="1854"/>
      <c r="L64" s="1854"/>
      <c r="M64" s="1854"/>
      <c r="N64" s="1854"/>
      <c r="O64" s="84"/>
      <c r="P64" s="84"/>
    </row>
    <row r="65" spans="1:16" s="1237" customFormat="1" ht="14.25">
      <c r="A65" s="2747" t="s">
        <v>2830</v>
      </c>
      <c r="B65" s="2748">
        <f>1-B59</f>
        <v>0.5</v>
      </c>
      <c r="C65" s="2743" t="s">
        <v>2829</v>
      </c>
      <c r="D65" s="2749">
        <f>ROUND((D62*E62+D63*E63+D64*E64)/100,2)</f>
        <v>0.85</v>
      </c>
      <c r="E65" s="2750"/>
      <c r="F65" s="2733"/>
      <c r="G65" s="2733"/>
      <c r="H65" s="2076"/>
      <c r="I65" s="1854"/>
      <c r="J65" s="1854"/>
      <c r="K65" s="1854"/>
      <c r="L65" s="1854"/>
      <c r="M65" s="1854"/>
      <c r="N65" s="1854"/>
      <c r="O65" s="84"/>
      <c r="P65" s="84"/>
    </row>
    <row r="66" spans="1:16" s="1237" customFormat="1" ht="14.25">
      <c r="A66" s="2126"/>
      <c r="D66" s="2076"/>
      <c r="E66" s="2076"/>
      <c r="F66" s="2076"/>
      <c r="G66" s="2076"/>
      <c r="H66" s="2076"/>
      <c r="I66" s="1854"/>
      <c r="J66" s="1854"/>
      <c r="K66" s="1854"/>
      <c r="L66" s="1854"/>
      <c r="M66" s="1854"/>
      <c r="N66" s="1854"/>
      <c r="O66" s="84"/>
      <c r="P66" s="84"/>
    </row>
    <row r="67" spans="1:16" s="1237" customFormat="1" ht="14.25">
      <c r="A67" s="2126"/>
      <c r="D67" s="2076"/>
      <c r="E67" s="2076"/>
      <c r="F67" s="2076"/>
      <c r="G67" s="2076"/>
      <c r="H67" s="2076"/>
      <c r="I67" s="1854"/>
      <c r="J67" s="1854"/>
      <c r="K67" s="1854"/>
      <c r="L67" s="1854"/>
      <c r="M67" s="1854"/>
      <c r="N67" s="1854"/>
      <c r="O67" s="84"/>
      <c r="P67" s="84"/>
    </row>
    <row r="68" spans="1:16" s="1237" customFormat="1" ht="14.25">
      <c r="A68" s="2126"/>
      <c r="D68" s="2076"/>
      <c r="E68" s="2076"/>
      <c r="F68" s="2076"/>
      <c r="G68" s="1852"/>
      <c r="H68" s="1852"/>
      <c r="O68" s="84"/>
      <c r="P68" s="84"/>
    </row>
    <row r="69" spans="1:16" s="1237" customFormat="1">
      <c r="A69" s="2126"/>
      <c r="D69" s="1852"/>
      <c r="E69" s="1852"/>
      <c r="F69" s="1852"/>
      <c r="G69" s="1852"/>
      <c r="H69" s="1852"/>
      <c r="O69" s="84"/>
      <c r="P69" s="84"/>
    </row>
    <row r="70" spans="1:16" s="1237" customFormat="1">
      <c r="A70" s="2126"/>
      <c r="D70" s="1852"/>
      <c r="E70" s="1852"/>
      <c r="F70" s="1852"/>
      <c r="G70" s="1852"/>
      <c r="H70" s="1852"/>
      <c r="O70" s="84"/>
      <c r="P70" s="84"/>
    </row>
    <row r="71" spans="1:16" s="1237" customFormat="1">
      <c r="A71" s="2126"/>
      <c r="D71" s="1852"/>
      <c r="E71" s="1852"/>
      <c r="F71" s="1852"/>
      <c r="G71" s="1852"/>
      <c r="H71" s="1852"/>
      <c r="O71" s="84"/>
      <c r="P71" s="84"/>
    </row>
    <row r="72" spans="1:16" s="1237" customFormat="1">
      <c r="A72" s="2126"/>
      <c r="D72" s="1852"/>
      <c r="E72" s="1852"/>
      <c r="F72" s="1852"/>
      <c r="G72" s="1852"/>
      <c r="H72" s="1852"/>
      <c r="O72" s="84"/>
      <c r="P72" s="84"/>
    </row>
    <row r="73" spans="1:16" s="1237" customFormat="1">
      <c r="A73" s="2126"/>
      <c r="D73" s="1852"/>
      <c r="E73" s="1852"/>
      <c r="F73" s="1852"/>
      <c r="G73" s="1852"/>
      <c r="H73" s="1852"/>
      <c r="O73" s="84"/>
      <c r="P73" s="84"/>
    </row>
    <row r="74" spans="1:16" s="1237" customFormat="1">
      <c r="A74" s="2126"/>
      <c r="D74" s="1852"/>
      <c r="E74" s="1852"/>
      <c r="F74" s="1852"/>
      <c r="G74" s="1852"/>
      <c r="H74" s="1852"/>
      <c r="O74" s="84"/>
      <c r="P74" s="84"/>
    </row>
    <row r="75" spans="1:16" s="1237" customFormat="1">
      <c r="A75" s="2126"/>
      <c r="D75" s="1852"/>
      <c r="E75" s="1852"/>
      <c r="F75" s="1852"/>
      <c r="G75" s="1852"/>
      <c r="H75" s="1852"/>
      <c r="O75" s="84"/>
      <c r="P75" s="84"/>
    </row>
    <row r="76" spans="1:16" s="1237" customFormat="1">
      <c r="A76" s="2126"/>
      <c r="D76" s="1852"/>
      <c r="E76" s="1852"/>
      <c r="F76" s="1852"/>
      <c r="G76" s="1852"/>
      <c r="H76" s="1852"/>
      <c r="O76" s="84"/>
      <c r="P76" s="84"/>
    </row>
    <row r="77" spans="1:16" s="1237" customFormat="1">
      <c r="A77" s="2126"/>
      <c r="D77" s="1852"/>
      <c r="E77" s="1852"/>
      <c r="F77" s="1852"/>
      <c r="G77" s="1852"/>
      <c r="H77" s="1852"/>
      <c r="O77" s="84"/>
      <c r="P77" s="84"/>
    </row>
    <row r="78" spans="1:16" s="1237" customFormat="1">
      <c r="A78" s="2126"/>
      <c r="D78" s="1852"/>
      <c r="E78" s="1852"/>
      <c r="F78" s="1852"/>
      <c r="G78" s="1852"/>
      <c r="H78" s="1852"/>
      <c r="O78" s="84"/>
      <c r="P78" s="84"/>
    </row>
    <row r="79" spans="1:16" s="1237" customFormat="1">
      <c r="A79" s="2126"/>
      <c r="D79" s="1852"/>
      <c r="E79" s="1852"/>
      <c r="F79" s="1852"/>
      <c r="G79" s="1852"/>
      <c r="H79" s="1852"/>
      <c r="O79" s="84"/>
      <c r="P79" s="84"/>
    </row>
    <row r="80" spans="1:16" s="1237" customFormat="1">
      <c r="A80" s="2126"/>
      <c r="D80" s="1852"/>
      <c r="E80" s="1852"/>
      <c r="F80" s="1852"/>
      <c r="G80" s="1852"/>
      <c r="H80" s="1852"/>
      <c r="O80" s="84"/>
      <c r="P80" s="84"/>
    </row>
    <row r="81" spans="1:16" s="1237" customFormat="1">
      <c r="A81" s="2126"/>
      <c r="D81" s="1852"/>
      <c r="E81" s="1852"/>
      <c r="F81" s="1852"/>
      <c r="G81" s="1852"/>
      <c r="H81" s="1852"/>
      <c r="O81" s="84"/>
      <c r="P81" s="84"/>
    </row>
    <row r="82" spans="1:16" s="1237" customFormat="1">
      <c r="A82" s="2126"/>
      <c r="D82" s="1852"/>
      <c r="E82" s="1852"/>
      <c r="F82" s="1852"/>
      <c r="G82" s="1852"/>
      <c r="H82" s="1852"/>
      <c r="O82" s="84"/>
      <c r="P82" s="84"/>
    </row>
    <row r="83" spans="1:16" s="1237" customFormat="1">
      <c r="A83" s="2126"/>
      <c r="D83" s="1852"/>
      <c r="E83" s="1852"/>
      <c r="F83" s="1852"/>
      <c r="G83" s="1852"/>
      <c r="H83" s="1852"/>
      <c r="O83" s="84"/>
      <c r="P83" s="84"/>
    </row>
    <row r="84" spans="1:16" s="1237" customFormat="1">
      <c r="A84" s="2126"/>
      <c r="D84" s="1852"/>
      <c r="E84" s="1852"/>
      <c r="F84" s="1852"/>
      <c r="G84" s="1852"/>
      <c r="H84" s="1852"/>
      <c r="O84" s="84"/>
      <c r="P84" s="84"/>
    </row>
    <row r="85" spans="1:16" s="1237" customFormat="1">
      <c r="A85" s="2126"/>
      <c r="D85" s="1852"/>
      <c r="E85" s="1852"/>
      <c r="F85" s="1852"/>
      <c r="G85" s="1852"/>
      <c r="H85" s="1852"/>
      <c r="O85" s="84"/>
      <c r="P85" s="84"/>
    </row>
    <row r="86" spans="1:16" s="1237" customFormat="1">
      <c r="A86" s="2126"/>
      <c r="D86" s="1852"/>
      <c r="E86" s="1852"/>
      <c r="F86" s="1852"/>
      <c r="G86" s="1852"/>
      <c r="H86" s="1852"/>
      <c r="O86" s="84"/>
      <c r="P86" s="84"/>
    </row>
    <row r="87" spans="1:16" s="1237" customFormat="1">
      <c r="A87" s="2126"/>
      <c r="D87" s="1852"/>
      <c r="E87" s="1852"/>
      <c r="F87" s="1852"/>
      <c r="G87" s="1852"/>
      <c r="H87" s="1852"/>
      <c r="O87" s="84"/>
      <c r="P87" s="84"/>
    </row>
    <row r="88" spans="1:16" s="1237" customFormat="1">
      <c r="A88" s="2126"/>
      <c r="D88" s="1852"/>
      <c r="E88" s="1852"/>
      <c r="F88" s="1852"/>
      <c r="G88" s="1852"/>
      <c r="H88" s="1852"/>
      <c r="O88" s="84"/>
      <c r="P88" s="84"/>
    </row>
    <row r="89" spans="1:16" s="1237" customFormat="1">
      <c r="A89" s="2126"/>
      <c r="D89" s="1852"/>
      <c r="E89" s="1852"/>
      <c r="F89" s="1852"/>
      <c r="G89" s="1852"/>
      <c r="H89" s="1852"/>
      <c r="O89" s="84"/>
      <c r="P89" s="84"/>
    </row>
    <row r="90" spans="1:16" s="1237" customFormat="1">
      <c r="A90" s="2126"/>
      <c r="D90" s="1852"/>
      <c r="E90" s="1852"/>
      <c r="F90" s="1852"/>
      <c r="G90" s="1852"/>
      <c r="H90" s="1852"/>
      <c r="O90" s="84"/>
      <c r="P90" s="84"/>
    </row>
    <row r="91" spans="1:16" s="1237" customFormat="1">
      <c r="A91" s="2126"/>
      <c r="D91" s="1852"/>
      <c r="E91" s="1852"/>
      <c r="F91" s="1852"/>
      <c r="G91" s="1852"/>
      <c r="H91" s="1852"/>
      <c r="O91" s="84"/>
      <c r="P91" s="84"/>
    </row>
    <row r="92" spans="1:16" s="1237" customFormat="1">
      <c r="A92" s="2126"/>
      <c r="D92" s="1852"/>
      <c r="E92" s="1852"/>
      <c r="F92" s="1852"/>
      <c r="G92" s="1852"/>
      <c r="H92" s="1852"/>
      <c r="O92" s="84"/>
      <c r="P92" s="84"/>
    </row>
    <row r="93" spans="1:16" s="1237" customFormat="1">
      <c r="A93" s="2126"/>
      <c r="D93" s="1852"/>
      <c r="E93" s="1852"/>
      <c r="F93" s="1852"/>
      <c r="G93" s="1852"/>
      <c r="H93" s="1852"/>
      <c r="O93" s="84"/>
      <c r="P93" s="84"/>
    </row>
    <row r="94" spans="1:16" s="1237" customFormat="1">
      <c r="A94" s="2126"/>
      <c r="D94" s="1852"/>
      <c r="E94" s="1852"/>
      <c r="F94" s="1852"/>
      <c r="G94" s="1852"/>
      <c r="H94" s="1852"/>
      <c r="O94" s="84"/>
      <c r="P94" s="84"/>
    </row>
    <row r="95" spans="1:16" s="1237" customFormat="1">
      <c r="A95" s="2126"/>
      <c r="D95" s="1852"/>
      <c r="E95" s="1852"/>
      <c r="F95" s="1852"/>
      <c r="G95" s="1852"/>
      <c r="H95" s="1852"/>
      <c r="O95" s="84"/>
      <c r="P95" s="84"/>
    </row>
    <row r="96" spans="1:16" s="1237" customFormat="1">
      <c r="A96" s="2126"/>
      <c r="D96" s="1852"/>
      <c r="E96" s="1852"/>
      <c r="F96" s="1852"/>
      <c r="G96" s="1852"/>
      <c r="H96" s="1852"/>
      <c r="O96" s="84"/>
      <c r="P96" s="84"/>
    </row>
    <row r="97" spans="1:16" s="1237" customFormat="1">
      <c r="A97" s="2126"/>
      <c r="D97" s="1852"/>
      <c r="E97" s="1852"/>
      <c r="F97" s="1852"/>
      <c r="G97" s="1852"/>
      <c r="H97" s="1852"/>
      <c r="O97" s="84"/>
      <c r="P97" s="84"/>
    </row>
    <row r="98" spans="1:16" s="1237" customFormat="1">
      <c r="A98" s="2126"/>
      <c r="D98" s="1852"/>
      <c r="E98" s="1852"/>
      <c r="F98" s="1852"/>
      <c r="G98" s="1852"/>
      <c r="H98" s="1852"/>
      <c r="O98" s="84"/>
      <c r="P98" s="84"/>
    </row>
    <row r="99" spans="1:16" s="1237" customFormat="1">
      <c r="A99" s="2126"/>
      <c r="D99" s="1852"/>
      <c r="E99" s="1852"/>
      <c r="F99" s="1852"/>
      <c r="G99" s="1852"/>
      <c r="H99" s="1852"/>
      <c r="O99" s="84"/>
      <c r="P99" s="84"/>
    </row>
    <row r="100" spans="1:16" s="1237" customFormat="1">
      <c r="A100" s="2126"/>
      <c r="D100" s="1852"/>
      <c r="E100" s="1852"/>
      <c r="F100" s="1852"/>
      <c r="G100" s="1852"/>
      <c r="H100" s="1852"/>
      <c r="O100" s="84"/>
      <c r="P100" s="84"/>
    </row>
    <row r="101" spans="1:16" s="1237" customFormat="1">
      <c r="A101" s="2126"/>
      <c r="D101" s="1852"/>
      <c r="E101" s="1852"/>
      <c r="F101" s="1852"/>
      <c r="G101" s="1852"/>
      <c r="H101" s="1852"/>
      <c r="O101" s="84"/>
      <c r="P101" s="84"/>
    </row>
    <row r="102" spans="1:16" s="1237" customFormat="1">
      <c r="A102" s="2126"/>
      <c r="D102" s="1852"/>
      <c r="E102" s="1852"/>
      <c r="F102" s="1852"/>
      <c r="G102" s="1852"/>
      <c r="H102" s="1852"/>
      <c r="O102" s="84"/>
      <c r="P102" s="84"/>
    </row>
    <row r="103" spans="1:16" s="1237" customFormat="1">
      <c r="A103" s="2126"/>
      <c r="D103" s="1852"/>
      <c r="E103" s="1852"/>
      <c r="F103" s="1852"/>
      <c r="G103" s="1852"/>
      <c r="H103" s="1852"/>
      <c r="O103" s="84"/>
      <c r="P103" s="84"/>
    </row>
    <row r="104" spans="1:16" s="1237" customFormat="1">
      <c r="A104" s="2126"/>
      <c r="D104" s="1852"/>
      <c r="E104" s="1852"/>
      <c r="F104" s="1852"/>
      <c r="G104" s="1852"/>
      <c r="H104" s="1852"/>
      <c r="O104" s="84"/>
      <c r="P104" s="84"/>
    </row>
    <row r="105" spans="1:16" s="1237" customFormat="1">
      <c r="A105" s="2126"/>
      <c r="D105" s="1852"/>
      <c r="E105" s="1852"/>
      <c r="F105" s="1852"/>
      <c r="G105" s="1852"/>
      <c r="H105" s="1852"/>
      <c r="O105" s="84"/>
      <c r="P105" s="84"/>
    </row>
    <row r="106" spans="1:16" s="1237" customFormat="1">
      <c r="A106" s="2126"/>
      <c r="D106" s="1852"/>
      <c r="E106" s="1852"/>
      <c r="F106" s="1852"/>
      <c r="G106" s="1852"/>
      <c r="H106" s="1852"/>
      <c r="O106" s="84"/>
      <c r="P106" s="84"/>
    </row>
    <row r="107" spans="1:16" s="1237" customFormat="1">
      <c r="A107" s="2126"/>
      <c r="D107" s="1852"/>
      <c r="E107" s="1852"/>
      <c r="F107" s="1852"/>
      <c r="G107" s="1852"/>
      <c r="H107" s="1852"/>
      <c r="O107" s="84"/>
      <c r="P107" s="84"/>
    </row>
    <row r="108" spans="1:16" s="1237" customFormat="1">
      <c r="A108" s="2126"/>
      <c r="D108" s="1852"/>
      <c r="E108" s="1852"/>
      <c r="F108" s="1852"/>
      <c r="G108" s="1852"/>
      <c r="H108" s="1852"/>
      <c r="O108" s="84"/>
      <c r="P108" s="84"/>
    </row>
    <row r="109" spans="1:16" s="1237" customFormat="1">
      <c r="A109" s="2126"/>
      <c r="D109" s="1852"/>
      <c r="E109" s="1852"/>
      <c r="F109" s="1852"/>
      <c r="G109" s="1852"/>
      <c r="H109" s="1852"/>
      <c r="O109" s="84"/>
      <c r="P109" s="84"/>
    </row>
    <row r="110" spans="1:16" s="1237" customFormat="1">
      <c r="A110" s="2126"/>
      <c r="D110" s="1852"/>
      <c r="E110" s="1852"/>
      <c r="F110" s="1852"/>
      <c r="G110" s="1852"/>
      <c r="H110" s="1852"/>
      <c r="O110" s="84"/>
      <c r="P110" s="84"/>
    </row>
    <row r="111" spans="1:16" s="1237" customFormat="1">
      <c r="A111" s="2126"/>
      <c r="D111" s="1852"/>
      <c r="E111" s="1852"/>
      <c r="F111" s="1852"/>
      <c r="G111" s="1852"/>
      <c r="H111" s="1852"/>
      <c r="O111" s="84"/>
      <c r="P111" s="84"/>
    </row>
    <row r="112" spans="1:16" s="1237" customFormat="1">
      <c r="A112" s="2126"/>
      <c r="D112" s="1852"/>
      <c r="E112" s="1852"/>
      <c r="F112" s="1852"/>
      <c r="G112" s="1852"/>
      <c r="H112" s="1852"/>
      <c r="O112" s="84"/>
      <c r="P112" s="84"/>
    </row>
    <row r="113" spans="1:16" s="1237" customFormat="1">
      <c r="A113" s="2126"/>
      <c r="D113" s="1852"/>
      <c r="E113" s="1852"/>
      <c r="F113" s="1852"/>
      <c r="G113" s="1852"/>
      <c r="H113" s="1852"/>
      <c r="O113" s="84"/>
      <c r="P113" s="84"/>
    </row>
    <row r="114" spans="1:16" s="1237" customFormat="1">
      <c r="A114" s="2126"/>
      <c r="D114" s="1852"/>
      <c r="E114" s="1852"/>
      <c r="F114" s="1852"/>
      <c r="G114" s="1852"/>
      <c r="H114" s="1852"/>
      <c r="O114" s="84"/>
      <c r="P114" s="84"/>
    </row>
    <row r="115" spans="1:16" s="1237" customFormat="1">
      <c r="A115" s="2126"/>
      <c r="D115" s="1852"/>
      <c r="E115" s="1852"/>
      <c r="F115" s="1852"/>
      <c r="G115" s="1852"/>
      <c r="H115" s="1852"/>
      <c r="O115" s="84"/>
      <c r="P115" s="84"/>
    </row>
    <row r="116" spans="1:16" s="1237" customFormat="1">
      <c r="A116" s="2126"/>
      <c r="D116" s="1852"/>
      <c r="E116" s="1852"/>
      <c r="F116" s="1852"/>
      <c r="G116" s="1852"/>
      <c r="H116" s="1852"/>
      <c r="O116" s="84"/>
      <c r="P116" s="84"/>
    </row>
    <row r="117" spans="1:16" s="1237" customFormat="1">
      <c r="A117" s="2126"/>
      <c r="D117" s="1852"/>
      <c r="E117" s="1852"/>
      <c r="F117" s="1852"/>
      <c r="G117" s="1852"/>
      <c r="H117" s="1852"/>
      <c r="O117" s="84"/>
      <c r="P117" s="84"/>
    </row>
    <row r="118" spans="1:16" s="1237" customFormat="1">
      <c r="A118" s="2126"/>
      <c r="D118" s="1852"/>
      <c r="E118" s="1852"/>
      <c r="F118" s="1852"/>
      <c r="G118" s="1852"/>
      <c r="H118" s="1852"/>
      <c r="O118" s="84"/>
      <c r="P118" s="84"/>
    </row>
    <row r="119" spans="1:16" s="1237" customFormat="1">
      <c r="A119" s="2126"/>
      <c r="D119" s="1852"/>
      <c r="E119" s="1852"/>
      <c r="F119" s="1852"/>
      <c r="G119" s="1852"/>
      <c r="H119" s="1852"/>
      <c r="O119" s="84"/>
      <c r="P119" s="84"/>
    </row>
    <row r="120" spans="1:16" s="1237" customFormat="1">
      <c r="A120" s="2126"/>
      <c r="D120" s="1852"/>
      <c r="E120" s="1852"/>
      <c r="F120" s="1852"/>
      <c r="G120" s="1852"/>
      <c r="H120" s="1852"/>
      <c r="O120" s="84"/>
      <c r="P120" s="84"/>
    </row>
    <row r="121" spans="1:16" s="1237" customFormat="1">
      <c r="A121" s="2126"/>
      <c r="D121" s="1852"/>
      <c r="E121" s="1852"/>
      <c r="F121" s="1852"/>
      <c r="G121" s="1852"/>
      <c r="H121" s="1852"/>
      <c r="O121" s="84"/>
      <c r="P121" s="84"/>
    </row>
    <row r="122" spans="1:16" s="1237" customFormat="1">
      <c r="A122" s="2126"/>
      <c r="D122" s="1852"/>
      <c r="E122" s="1852"/>
      <c r="F122" s="1852"/>
      <c r="G122" s="1852"/>
      <c r="H122" s="1852"/>
      <c r="O122" s="84"/>
      <c r="P122" s="84"/>
    </row>
    <row r="123" spans="1:16" s="1237" customFormat="1">
      <c r="A123" s="2126"/>
      <c r="D123" s="1852"/>
      <c r="E123" s="1852"/>
      <c r="F123" s="1852"/>
      <c r="G123" s="1852"/>
      <c r="H123" s="1852"/>
      <c r="O123" s="84"/>
      <c r="P123" s="84"/>
    </row>
    <row r="124" spans="1:16" s="1237" customFormat="1">
      <c r="A124" s="2126"/>
      <c r="D124" s="1852"/>
      <c r="E124" s="1852"/>
      <c r="F124" s="1852"/>
      <c r="G124" s="1852"/>
      <c r="H124" s="1852"/>
      <c r="O124" s="84"/>
      <c r="P124" s="84"/>
    </row>
    <row r="125" spans="1:16" s="1237" customFormat="1">
      <c r="A125" s="2126"/>
      <c r="D125" s="1852"/>
      <c r="E125" s="1852"/>
      <c r="F125" s="1852"/>
      <c r="G125" s="1852"/>
      <c r="H125" s="1852"/>
      <c r="O125" s="84"/>
      <c r="P125" s="84"/>
    </row>
    <row r="126" spans="1:16" s="1237" customFormat="1">
      <c r="A126" s="2126"/>
      <c r="D126" s="1852"/>
      <c r="E126" s="1852"/>
      <c r="F126" s="1852"/>
      <c r="G126" s="1852"/>
      <c r="H126" s="1852"/>
      <c r="O126" s="84"/>
      <c r="P126" s="84"/>
    </row>
    <row r="127" spans="1:16" s="1237" customFormat="1">
      <c r="A127" s="2126"/>
      <c r="D127" s="1852"/>
      <c r="E127" s="1852"/>
      <c r="F127" s="1852"/>
      <c r="G127" s="1852"/>
      <c r="H127" s="1852"/>
      <c r="O127" s="84"/>
      <c r="P127" s="84"/>
    </row>
    <row r="128" spans="1:16" s="1237" customFormat="1">
      <c r="A128" s="2126"/>
      <c r="D128" s="1852"/>
      <c r="E128" s="1852"/>
      <c r="F128" s="1852"/>
      <c r="G128" s="1852"/>
      <c r="H128" s="1852"/>
      <c r="O128" s="84"/>
      <c r="P128" s="84"/>
    </row>
    <row r="129" spans="1:16" s="1237" customFormat="1">
      <c r="A129" s="2126"/>
      <c r="D129" s="1852"/>
      <c r="E129" s="1852"/>
      <c r="F129" s="1852"/>
      <c r="G129" s="1852"/>
      <c r="H129" s="1852"/>
      <c r="O129" s="84"/>
      <c r="P129" s="84"/>
    </row>
    <row r="130" spans="1:16" s="1237" customFormat="1">
      <c r="A130" s="2126"/>
      <c r="D130" s="1852"/>
      <c r="E130" s="1852"/>
      <c r="F130" s="1852"/>
      <c r="G130" s="1852"/>
      <c r="H130" s="1852"/>
      <c r="O130" s="84"/>
      <c r="P130" s="84"/>
    </row>
    <row r="131" spans="1:16" s="1237" customFormat="1">
      <c r="A131" s="2126"/>
      <c r="D131" s="1852"/>
      <c r="E131" s="1852"/>
      <c r="F131" s="1852"/>
      <c r="G131" s="1852"/>
      <c r="H131" s="1852"/>
      <c r="O131" s="84"/>
      <c r="P131" s="84"/>
    </row>
    <row r="132" spans="1:16" s="1237" customFormat="1">
      <c r="A132" s="2126"/>
      <c r="D132" s="1852"/>
      <c r="E132" s="1852"/>
      <c r="F132" s="1852"/>
      <c r="G132" s="1852"/>
      <c r="H132" s="1852"/>
      <c r="O132" s="84"/>
      <c r="P132" s="84"/>
    </row>
    <row r="133" spans="1:16" s="1237" customFormat="1">
      <c r="A133" s="2126"/>
      <c r="D133" s="1852"/>
      <c r="E133" s="1852"/>
      <c r="F133" s="1852"/>
      <c r="G133" s="1852"/>
      <c r="H133" s="1852"/>
      <c r="O133" s="84"/>
      <c r="P133" s="84"/>
    </row>
    <row r="134" spans="1:16" s="1237" customFormat="1">
      <c r="A134" s="2126"/>
      <c r="D134" s="1852"/>
      <c r="E134" s="1852"/>
      <c r="F134" s="1852"/>
      <c r="G134" s="1852"/>
      <c r="H134" s="1852"/>
      <c r="O134" s="84"/>
      <c r="P134" s="84"/>
    </row>
    <row r="135" spans="1:16" s="1237" customFormat="1">
      <c r="A135" s="2126"/>
      <c r="D135" s="1852"/>
      <c r="E135" s="1852"/>
      <c r="F135" s="1852"/>
      <c r="G135" s="1852"/>
      <c r="H135" s="1852"/>
      <c r="O135" s="84"/>
      <c r="P135" s="84"/>
    </row>
    <row r="136" spans="1:16" s="1237" customFormat="1">
      <c r="A136" s="2126"/>
      <c r="D136" s="1852"/>
      <c r="E136" s="1852"/>
      <c r="F136" s="1852"/>
      <c r="G136" s="1852"/>
      <c r="H136" s="1852"/>
      <c r="O136" s="84"/>
      <c r="P136" s="84"/>
    </row>
    <row r="137" spans="1:16" s="1237" customFormat="1">
      <c r="A137" s="2126"/>
      <c r="D137" s="1852"/>
      <c r="E137" s="1852"/>
      <c r="F137" s="1852"/>
      <c r="G137" s="1852"/>
      <c r="H137" s="1852"/>
      <c r="O137" s="84"/>
      <c r="P137" s="84"/>
    </row>
    <row r="138" spans="1:16" s="1237" customFormat="1">
      <c r="A138" s="2126"/>
      <c r="D138" s="1852"/>
      <c r="E138" s="1852"/>
      <c r="F138" s="1852"/>
      <c r="G138" s="1852"/>
      <c r="H138" s="1852"/>
      <c r="O138" s="84"/>
      <c r="P138" s="84"/>
    </row>
    <row r="139" spans="1:16" s="1237" customFormat="1">
      <c r="A139" s="2126"/>
      <c r="D139" s="1852"/>
      <c r="E139" s="1852"/>
      <c r="F139" s="1852"/>
      <c r="G139" s="1852"/>
      <c r="H139" s="1852"/>
      <c r="O139" s="84"/>
      <c r="P139" s="84"/>
    </row>
    <row r="140" spans="1:16" s="1237" customFormat="1">
      <c r="A140" s="2126"/>
      <c r="D140" s="1852"/>
      <c r="E140" s="1852"/>
      <c r="F140" s="1852"/>
      <c r="G140" s="1852"/>
      <c r="H140" s="1852"/>
      <c r="O140" s="84"/>
      <c r="P140" s="84"/>
    </row>
    <row r="141" spans="1:16" s="1237" customFormat="1">
      <c r="A141" s="2126"/>
      <c r="D141" s="1852"/>
      <c r="E141" s="1852"/>
      <c r="F141" s="1852"/>
      <c r="G141" s="1852"/>
      <c r="H141" s="1852"/>
      <c r="O141" s="84"/>
      <c r="P141" s="84"/>
    </row>
    <row r="142" spans="1:16" s="1237" customFormat="1">
      <c r="A142" s="2126"/>
      <c r="D142" s="1852"/>
      <c r="E142" s="1852"/>
      <c r="F142" s="1852"/>
      <c r="G142" s="1852"/>
      <c r="H142" s="1852"/>
      <c r="O142" s="84"/>
      <c r="P142" s="84"/>
    </row>
    <row r="143" spans="1:16" s="1237" customFormat="1">
      <c r="A143" s="2126"/>
      <c r="D143" s="1852"/>
      <c r="E143" s="1852"/>
      <c r="F143" s="1852"/>
      <c r="G143" s="1852"/>
      <c r="H143" s="1852"/>
      <c r="O143" s="84"/>
      <c r="P143" s="84"/>
    </row>
    <row r="144" spans="1:16" s="1237" customFormat="1">
      <c r="A144" s="2126"/>
      <c r="D144" s="1852"/>
      <c r="E144" s="1852"/>
      <c r="F144" s="1852"/>
      <c r="G144" s="1852"/>
      <c r="H144" s="1852"/>
      <c r="O144" s="84"/>
      <c r="P144" s="84"/>
    </row>
    <row r="145" spans="1:16" s="1237" customFormat="1">
      <c r="A145" s="2126"/>
      <c r="D145" s="1852"/>
      <c r="E145" s="1852"/>
      <c r="F145" s="1852"/>
      <c r="G145" s="1852"/>
      <c r="H145" s="1852"/>
      <c r="O145" s="84"/>
      <c r="P145" s="84"/>
    </row>
    <row r="146" spans="1:16" s="1237" customFormat="1">
      <c r="A146" s="2126"/>
      <c r="D146" s="1852"/>
      <c r="E146" s="1852"/>
      <c r="F146" s="1852"/>
      <c r="G146" s="1852"/>
      <c r="H146" s="1852"/>
      <c r="O146" s="84"/>
      <c r="P146" s="84"/>
    </row>
    <row r="147" spans="1:16" s="1237" customFormat="1">
      <c r="A147" s="2126"/>
      <c r="D147" s="1852"/>
      <c r="E147" s="1852"/>
      <c r="F147" s="1852"/>
      <c r="G147" s="1852"/>
      <c r="H147" s="1852"/>
      <c r="O147" s="84"/>
      <c r="P147" s="84"/>
    </row>
    <row r="148" spans="1:16" s="1237" customFormat="1">
      <c r="A148" s="2126"/>
      <c r="D148" s="1852"/>
      <c r="E148" s="1852"/>
      <c r="F148" s="1852"/>
      <c r="G148" s="1852"/>
      <c r="H148" s="1852"/>
      <c r="O148" s="84"/>
      <c r="P148" s="84"/>
    </row>
    <row r="149" spans="1:16" s="1237" customFormat="1">
      <c r="A149" s="2126"/>
      <c r="D149" s="1852"/>
      <c r="E149" s="1852"/>
      <c r="F149" s="1852"/>
      <c r="G149" s="1852"/>
      <c r="H149" s="1852"/>
      <c r="O149" s="84"/>
      <c r="P149" s="84"/>
    </row>
    <row r="150" spans="1:16" s="1237" customFormat="1">
      <c r="A150" s="2126"/>
      <c r="D150" s="1852"/>
      <c r="E150" s="1852"/>
      <c r="F150" s="1852"/>
      <c r="G150" s="1852"/>
      <c r="H150" s="1852"/>
      <c r="O150" s="84"/>
      <c r="P150" s="84"/>
    </row>
    <row r="151" spans="1:16" s="1237" customFormat="1">
      <c r="A151" s="2126"/>
      <c r="D151" s="1852"/>
      <c r="E151" s="1852"/>
      <c r="F151" s="1852"/>
      <c r="G151" s="1852"/>
      <c r="H151" s="1852"/>
      <c r="O151" s="84"/>
      <c r="P151" s="84"/>
    </row>
    <row r="152" spans="1:16" s="1237" customFormat="1">
      <c r="A152" s="2126"/>
      <c r="D152" s="1852"/>
      <c r="E152" s="1852"/>
      <c r="F152" s="1852"/>
      <c r="G152" s="1852"/>
      <c r="H152" s="1852"/>
      <c r="O152" s="84"/>
      <c r="P152" s="84"/>
    </row>
    <row r="153" spans="1:16" s="1237" customFormat="1">
      <c r="A153" s="2127"/>
      <c r="B153" s="2073"/>
      <c r="D153" s="1852"/>
      <c r="E153" s="1852"/>
      <c r="F153" s="1852"/>
      <c r="G153" s="1852"/>
      <c r="H153" s="1852"/>
      <c r="O153" s="84"/>
      <c r="P153" s="84"/>
    </row>
    <row r="154" spans="1:16" s="1237" customFormat="1">
      <c r="A154" s="2127"/>
      <c r="B154" s="2073"/>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A54:B54"/>
    <mergeCell ref="A60:E6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59" t="s">
        <v>1735</v>
      </c>
      <c r="B1" s="2860"/>
      <c r="C1" s="2860"/>
      <c r="D1" s="2860"/>
      <c r="E1" s="2860"/>
      <c r="F1" s="2860"/>
      <c r="G1" s="2860"/>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56" t="s">
        <v>2857</v>
      </c>
      <c r="D3" s="2144"/>
      <c r="E3" s="411" t="s">
        <v>1738</v>
      </c>
      <c r="F3" s="2145" t="s">
        <v>1740</v>
      </c>
      <c r="G3" s="2146" t="s">
        <v>1741</v>
      </c>
      <c r="H3" s="2141"/>
      <c r="I3" s="2141"/>
      <c r="J3" s="2141"/>
      <c r="K3" s="2141"/>
      <c r="L3" s="2141"/>
      <c r="M3" s="2141"/>
      <c r="N3" s="2141"/>
      <c r="O3" s="2141"/>
      <c r="P3" s="2141"/>
      <c r="Q3" s="2141"/>
      <c r="R3" s="2141"/>
    </row>
    <row r="4" spans="1:29" ht="40.5" hidden="1">
      <c r="A4" s="411"/>
      <c r="B4" s="1886" t="s">
        <v>1742</v>
      </c>
      <c r="C4" s="2757"/>
      <c r="D4" s="2144"/>
      <c r="E4" s="2147"/>
      <c r="F4" s="2148" t="s">
        <v>1743</v>
      </c>
      <c r="G4" s="2149" t="s">
        <v>1744</v>
      </c>
      <c r="H4" s="2141"/>
      <c r="I4" s="2141"/>
      <c r="J4" s="2141"/>
      <c r="K4" s="2141"/>
      <c r="L4" s="2141"/>
      <c r="M4" s="2141"/>
      <c r="N4" s="2141"/>
      <c r="O4" s="2141"/>
      <c r="P4" s="2141"/>
      <c r="Q4" s="2141"/>
      <c r="R4" s="2141"/>
    </row>
    <row r="5" spans="1:29" ht="40.5" hidden="1">
      <c r="A5" s="411"/>
      <c r="B5" s="1886" t="s">
        <v>1745</v>
      </c>
      <c r="C5" s="2758" t="s">
        <v>2858</v>
      </c>
      <c r="D5" s="2144"/>
      <c r="E5" s="2147"/>
      <c r="F5" s="1886" t="s">
        <v>1746</v>
      </c>
      <c r="G5" s="2149" t="s">
        <v>1747</v>
      </c>
      <c r="H5" s="2141"/>
      <c r="I5" s="2141"/>
      <c r="J5" s="2141"/>
      <c r="K5" s="2141"/>
      <c r="L5" s="2141"/>
      <c r="M5" s="2141"/>
      <c r="N5" s="2141"/>
      <c r="O5" s="2141"/>
      <c r="P5" s="2141"/>
      <c r="Q5" s="2141"/>
      <c r="R5" s="2141"/>
    </row>
    <row r="6" spans="1:29" ht="81">
      <c r="A6" s="411"/>
      <c r="B6" s="1886" t="s">
        <v>1748</v>
      </c>
      <c r="C6" s="2757" t="s">
        <v>2859</v>
      </c>
      <c r="D6" s="2144"/>
      <c r="E6" s="2147"/>
      <c r="F6" s="1886" t="s">
        <v>1749</v>
      </c>
      <c r="G6" s="2149" t="s">
        <v>1750</v>
      </c>
      <c r="H6" s="2141"/>
      <c r="I6" s="2141"/>
      <c r="J6" s="2141"/>
      <c r="K6" s="2141"/>
      <c r="L6" s="2141"/>
      <c r="M6" s="2141"/>
      <c r="N6" s="2141"/>
      <c r="O6" s="2141"/>
      <c r="P6" s="2141"/>
      <c r="Q6" s="2141"/>
      <c r="R6" s="2141"/>
    </row>
    <row r="7" spans="1:29" ht="201.75" customHeight="1" thickBot="1">
      <c r="A7" s="411"/>
      <c r="B7" s="1886" t="s">
        <v>1746</v>
      </c>
      <c r="C7" s="2757" t="s">
        <v>2860</v>
      </c>
      <c r="D7" s="2150"/>
      <c r="E7" s="2151"/>
      <c r="F7" s="2152" t="s">
        <v>1751</v>
      </c>
      <c r="G7" s="2153" t="s">
        <v>1752</v>
      </c>
      <c r="H7" s="2141"/>
      <c r="I7" s="2141"/>
      <c r="J7" s="2141"/>
      <c r="K7" s="2141"/>
      <c r="L7" s="2141"/>
      <c r="M7" s="2141"/>
      <c r="N7" s="2141"/>
      <c r="O7" s="2141"/>
      <c r="P7" s="2141"/>
      <c r="Q7" s="2141"/>
      <c r="R7" s="2141"/>
    </row>
    <row r="8" spans="1:29" ht="15">
      <c r="A8" s="411"/>
      <c r="B8" s="1886" t="s">
        <v>1749</v>
      </c>
      <c r="C8" s="2755" t="s">
        <v>2856</v>
      </c>
      <c r="D8" s="2150"/>
      <c r="E8" s="2150"/>
      <c r="F8" s="1246"/>
      <c r="G8" s="1246"/>
      <c r="H8" s="2141"/>
      <c r="I8" s="2141"/>
      <c r="J8" s="2141"/>
      <c r="K8" s="2141"/>
      <c r="L8" s="2141"/>
      <c r="M8" s="2141"/>
      <c r="N8" s="2141"/>
      <c r="O8" s="2141"/>
      <c r="P8" s="2141"/>
      <c r="Q8" s="2141"/>
      <c r="R8" s="2141"/>
    </row>
    <row r="9" spans="1:29" ht="81">
      <c r="A9" s="411"/>
      <c r="B9" s="1886" t="s">
        <v>1753</v>
      </c>
      <c r="C9" s="2757" t="s">
        <v>2861</v>
      </c>
      <c r="D9" s="2144"/>
      <c r="E9" s="2150"/>
      <c r="F9" s="1246"/>
      <c r="G9" s="1246"/>
      <c r="H9" s="2141"/>
      <c r="I9" s="2141"/>
      <c r="J9" s="2141"/>
      <c r="K9" s="2141"/>
      <c r="L9" s="2141"/>
      <c r="M9" s="2141"/>
      <c r="N9" s="2141"/>
      <c r="O9" s="2141"/>
      <c r="P9" s="2141"/>
      <c r="Q9" s="2141"/>
      <c r="R9" s="2141"/>
    </row>
    <row r="10" spans="1:29" s="35" customFormat="1" ht="15.75" thickBot="1">
      <c r="A10" s="2154"/>
      <c r="B10" s="2155" t="s">
        <v>1754</v>
      </c>
      <c r="C10" s="2156"/>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0"/>
      <c r="C11" s="2144"/>
      <c r="D11" s="2144"/>
      <c r="E11" s="2144"/>
      <c r="F11" s="2150"/>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0"/>
      <c r="C12" s="2144"/>
      <c r="D12" s="2161"/>
      <c r="E12" s="2144"/>
      <c r="F12" s="2150"/>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1755</v>
      </c>
      <c r="B13" s="2161"/>
      <c r="C13" s="2161"/>
      <c r="D13" s="2138"/>
      <c r="E13" s="2161"/>
      <c r="F13" s="2161"/>
      <c r="G13" s="2161"/>
    </row>
    <row r="14" spans="1:29" ht="15.75" thickBot="1">
      <c r="A14" s="2171"/>
      <c r="B14" s="2172"/>
      <c r="C14" s="2173" t="s">
        <v>1756</v>
      </c>
      <c r="D14" s="2144"/>
      <c r="E14" s="2174"/>
      <c r="F14" s="2174"/>
      <c r="G14" s="2137" t="s">
        <v>1757</v>
      </c>
    </row>
    <row r="15" spans="1:29" ht="57">
      <c r="A15" s="25" t="s">
        <v>1758</v>
      </c>
      <c r="B15" s="2175" t="s">
        <v>1739</v>
      </c>
      <c r="C15" s="2176" t="str">
        <f>C3</f>
        <v>周边有清润家园、水木天成、永泰园、清缘里中区、永泰东里等居住社区成熟度较好</v>
      </c>
      <c r="D15" s="2144"/>
      <c r="E15" s="2177" t="s">
        <v>1759</v>
      </c>
      <c r="F15" s="2175" t="s">
        <v>1760</v>
      </c>
      <c r="G15" s="51" t="str">
        <f>G3</f>
        <v>估价对象位于XX开发区，园区建设成熟度XX，产业集聚程度XX</v>
      </c>
    </row>
    <row r="16" spans="1:29" ht="42.75">
      <c r="A16" s="629"/>
      <c r="B16" s="1493" t="s">
        <v>1742</v>
      </c>
      <c r="C16" s="2178">
        <f>C4</f>
        <v>0</v>
      </c>
      <c r="D16" s="2144"/>
      <c r="E16" s="2179"/>
      <c r="F16" s="2180" t="s">
        <v>1743</v>
      </c>
      <c r="G16" s="52" t="str">
        <f>G4</f>
        <v>估价对象周边道路状况、公共交通通达情况、停车便捷程度，综合评价交通便捷度较好</v>
      </c>
    </row>
    <row r="17" spans="1:18" ht="42.75">
      <c r="A17" s="629"/>
      <c r="B17" s="1493" t="s">
        <v>1745</v>
      </c>
      <c r="C17" s="2178" t="str">
        <f>C5</f>
        <v>估价对象位于XX商圈，周边办公楼项目较多，入驻率高，办公集聚程度较好</v>
      </c>
      <c r="D17" s="2150"/>
      <c r="E17" s="2179"/>
      <c r="F17" s="2180" t="s">
        <v>1761</v>
      </c>
      <c r="G17" s="2181"/>
    </row>
    <row r="18" spans="1:18" ht="85.5">
      <c r="A18" s="629"/>
      <c r="B18" s="2180" t="s">
        <v>1748</v>
      </c>
      <c r="C18" s="52" t="str">
        <f>C6</f>
        <v>临近城市高速路——京藏高速，周边有专43号、专89号、307号、345号、355号路等多条公交线路及地铁8号线（永泰站），交通状况较好。</v>
      </c>
      <c r="D18" s="2150"/>
      <c r="E18" s="2179"/>
      <c r="F18" s="2180" t="s">
        <v>1751</v>
      </c>
      <c r="G18" s="52" t="str">
        <f>G7</f>
        <v>该园区内是否有污染型企业，绿化情况，卫生条件，整体环境状况判断</v>
      </c>
    </row>
    <row r="19" spans="1:18" ht="28.5">
      <c r="A19" s="629"/>
      <c r="B19" s="2180" t="s">
        <v>1762</v>
      </c>
      <c r="C19" s="2181"/>
      <c r="D19" s="2144"/>
      <c r="E19" s="2179"/>
      <c r="F19" s="1886" t="s">
        <v>1746</v>
      </c>
      <c r="G19" s="52" t="str">
        <f>G5</f>
        <v>估价对象所在区域公共配套设施齐备情况</v>
      </c>
    </row>
    <row r="20" spans="1:18" ht="71.25">
      <c r="A20" s="629"/>
      <c r="B20" s="2180" t="s">
        <v>1763</v>
      </c>
      <c r="C20" s="2178" t="str">
        <f>C9</f>
        <v>区域自然环境：清河、奥林匹克森林公园、西三旗公园；人文环境：北京信息科技大学（清河小营校区）；综合评价环境状况较好。</v>
      </c>
      <c r="D20" s="2150"/>
      <c r="E20" s="2179"/>
      <c r="F20" s="1886" t="s">
        <v>1764</v>
      </c>
      <c r="G20" s="52" t="str">
        <f>G6</f>
        <v>估价对象所在区域基础设施水平</v>
      </c>
    </row>
    <row r="21" spans="1:18" ht="228">
      <c r="A21" s="629"/>
      <c r="B21" s="1886" t="s">
        <v>1746</v>
      </c>
      <c r="C21" s="52" t="str">
        <f>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D21" s="2144"/>
      <c r="E21" s="2179"/>
      <c r="F21" s="2180" t="s">
        <v>1765</v>
      </c>
      <c r="G21" s="2182"/>
    </row>
    <row r="22" spans="1:18" ht="15">
      <c r="A22" s="629"/>
      <c r="B22" s="1886" t="s">
        <v>1749</v>
      </c>
      <c r="C22" s="52" t="str">
        <f>C8</f>
        <v>七通</v>
      </c>
      <c r="D22" s="2144"/>
      <c r="E22" s="2179"/>
      <c r="F22" s="2180" t="s">
        <v>1754</v>
      </c>
      <c r="G22" s="2183"/>
    </row>
    <row r="23" spans="1:18" s="2141" customFormat="1" ht="15.75" thickBot="1">
      <c r="A23" s="629"/>
      <c r="B23" s="2180" t="s">
        <v>1765</v>
      </c>
      <c r="C23" s="2182"/>
      <c r="D23" s="2168"/>
      <c r="E23" s="2184"/>
      <c r="F23" s="2185" t="s">
        <v>1766</v>
      </c>
      <c r="G23" s="2186"/>
      <c r="H23" s="2168"/>
      <c r="I23" s="2169"/>
      <c r="J23" s="2168"/>
      <c r="K23" s="2168"/>
      <c r="L23" s="2169"/>
      <c r="M23" s="2168"/>
      <c r="N23" s="2168"/>
      <c r="O23" s="2169"/>
      <c r="P23" s="2168"/>
      <c r="Q23" s="2168"/>
      <c r="R23" s="2170"/>
    </row>
    <row r="24" spans="1:18" s="2141" customFormat="1" ht="15.75" thickBot="1">
      <c r="A24" s="2187"/>
      <c r="B24" s="2185" t="s">
        <v>1767</v>
      </c>
      <c r="C24" s="53">
        <f>C10</f>
        <v>0</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27" sqref="D27"/>
    </sheetView>
  </sheetViews>
  <sheetFormatPr defaultColWidth="14.625" defaultRowHeight="13.5"/>
  <cols>
    <col min="1" max="1" width="24.375" customWidth="1"/>
  </cols>
  <sheetData>
    <row r="1" spans="1:9" ht="16.5">
      <c r="A1" s="1829" t="s">
        <v>1225</v>
      </c>
      <c r="B1" s="1829">
        <f>SUM(B14:B23)</f>
        <v>99.8</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43439</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569.17939999999999</v>
      </c>
      <c r="C5" s="1829">
        <f ca="1">ROUND(B5*10000/$B$1,0)</f>
        <v>57032</v>
      </c>
      <c r="D5" s="1829" t="e">
        <f ca="1">ROUND(B5*10000/$B$2,0)</f>
        <v>#DIV/0!</v>
      </c>
      <c r="E5" s="1830"/>
      <c r="F5" s="1834"/>
      <c r="G5" s="1834"/>
    </row>
    <row r="6" spans="1:9" ht="16.5">
      <c r="A6" s="1829" t="s">
        <v>1233</v>
      </c>
      <c r="B6" s="1829">
        <f ca="1">SUM(G14:G23)</f>
        <v>569.17939999999999</v>
      </c>
      <c r="C6" s="1829">
        <f t="shared" ref="C6:C8" ca="1" si="0">ROUND(B6*10000/$B$1,0)</f>
        <v>57032</v>
      </c>
      <c r="D6" s="1829" t="e">
        <f t="shared" ref="D6:D8" ca="1"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2862</v>
      </c>
      <c r="B14" s="1833">
        <f>项目基本情况!C12</f>
        <v>99.8</v>
      </c>
      <c r="C14" s="1833">
        <f>项目基本情况!C13</f>
        <v>0</v>
      </c>
      <c r="D14" s="1833">
        <f ca="1">IF('数据-取费表'!B3="万元",IF(A14="估价对象1（结果表）",结果表!H121,'结果表 (1修多)'!H124),IF(A14="估价对象1（结果表）",结果表!H121,'结果表 (1修多)'!H124)/10000)</f>
        <v>569.17939999999999</v>
      </c>
      <c r="E14" s="1833">
        <f ca="1">ROUND(D14*10000/B14,0)</f>
        <v>57032</v>
      </c>
      <c r="F14" s="1833" t="e">
        <f ca="1">ROUND(D14*10000/C14,0)</f>
        <v>#DIV/0!</v>
      </c>
      <c r="G14" s="1833">
        <f ca="1">IF('数据-取费表'!B3="万元",IF(A14="估价对象1（结果表）",结果表!D125,'结果表 (1修多)'!D128),IF(A14="估价对象1（结果表）",结果表!D125,'结果表 (1修多)'!D128)/10000)</f>
        <v>569.17939999999999</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1768</v>
      </c>
      <c r="B1" s="2194"/>
      <c r="C1" s="2194"/>
      <c r="D1" s="2194"/>
      <c r="E1" s="2194"/>
      <c r="F1" s="2194"/>
      <c r="G1" s="2194"/>
      <c r="H1" s="2194"/>
      <c r="I1" s="2194"/>
    </row>
    <row r="2" spans="1:12" ht="21.75" customHeight="1">
      <c r="A2" s="2937" t="str">
        <f>项目基本情况!B1</f>
        <v>北京市预评估</v>
      </c>
      <c r="B2" s="2937"/>
      <c r="C2" s="2937"/>
      <c r="D2" s="2937"/>
      <c r="E2" s="2937"/>
      <c r="F2" s="2937"/>
      <c r="G2" s="2937"/>
      <c r="H2" s="2937"/>
      <c r="I2" s="2937"/>
    </row>
    <row r="3" spans="1:12" ht="12.75">
      <c r="A3" s="2943" t="s">
        <v>1769</v>
      </c>
      <c r="B3" s="2944"/>
      <c r="C3" s="2944"/>
      <c r="D3" s="2944"/>
      <c r="E3" s="2944"/>
      <c r="F3" s="2944"/>
      <c r="G3" s="2944"/>
      <c r="H3" s="2944"/>
      <c r="I3" s="2944"/>
    </row>
    <row r="4" spans="1:12" ht="14.25">
      <c r="A4" s="2196" t="s">
        <v>1770</v>
      </c>
      <c r="B4" s="2197" t="s">
        <v>1771</v>
      </c>
      <c r="C4" s="2198" t="s">
        <v>2848</v>
      </c>
      <c r="D4" s="2198" t="s">
        <v>2849</v>
      </c>
      <c r="E4" s="2948" t="s">
        <v>1772</v>
      </c>
      <c r="F4" s="2949"/>
      <c r="G4" s="2949"/>
      <c r="H4" s="2949"/>
      <c r="I4" s="2950"/>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938" t="s">
        <v>1773</v>
      </c>
      <c r="B5" s="2883">
        <v>25</v>
      </c>
      <c r="C5" s="2945">
        <v>20</v>
      </c>
      <c r="D5" s="2942">
        <f>100-C5</f>
        <v>80</v>
      </c>
      <c r="E5" s="56" t="s">
        <v>1774</v>
      </c>
      <c r="F5" s="2199"/>
      <c r="G5" s="2199"/>
      <c r="H5" s="2199"/>
      <c r="I5" s="2200"/>
    </row>
    <row r="6" spans="1:12" ht="12.75">
      <c r="A6" s="2938"/>
      <c r="B6" s="2883"/>
      <c r="C6" s="2946"/>
      <c r="D6" s="2942"/>
      <c r="E6" s="56" t="s">
        <v>1775</v>
      </c>
      <c r="F6" s="2199"/>
      <c r="G6" s="2199"/>
      <c r="H6" s="2199"/>
      <c r="I6" s="2200"/>
    </row>
    <row r="7" spans="1:12" ht="12.75">
      <c r="A7" s="2938"/>
      <c r="B7" s="2883"/>
      <c r="C7" s="2947"/>
      <c r="D7" s="2942"/>
      <c r="E7" s="56" t="s">
        <v>1776</v>
      </c>
      <c r="F7" s="2199"/>
      <c r="G7" s="2199"/>
      <c r="H7" s="2199"/>
      <c r="I7" s="2200"/>
    </row>
    <row r="8" spans="1:12" ht="12.75">
      <c r="A8" s="2938" t="s">
        <v>1777</v>
      </c>
      <c r="B8" s="2883">
        <v>15</v>
      </c>
      <c r="C8" s="2945"/>
      <c r="D8" s="2942"/>
      <c r="E8" s="56" t="s">
        <v>1778</v>
      </c>
      <c r="F8" s="2199"/>
      <c r="G8" s="2199"/>
      <c r="H8" s="2199"/>
      <c r="I8" s="2200"/>
    </row>
    <row r="9" spans="1:12" ht="12.75">
      <c r="A9" s="2938"/>
      <c r="B9" s="2883"/>
      <c r="C9" s="2947"/>
      <c r="D9" s="2942"/>
      <c r="E9" s="56" t="s">
        <v>1779</v>
      </c>
      <c r="F9" s="2199"/>
      <c r="G9" s="2199"/>
      <c r="H9" s="2199"/>
      <c r="I9" s="2200"/>
    </row>
    <row r="10" spans="1:12" ht="12.75">
      <c r="A10" s="2938" t="s">
        <v>1780</v>
      </c>
      <c r="B10" s="2883">
        <v>15</v>
      </c>
      <c r="C10" s="2945"/>
      <c r="D10" s="2942"/>
      <c r="E10" s="56" t="s">
        <v>1781</v>
      </c>
      <c r="F10" s="2199"/>
      <c r="G10" s="2199"/>
      <c r="H10" s="2199"/>
      <c r="I10" s="2200"/>
    </row>
    <row r="11" spans="1:12" ht="12.75">
      <c r="A11" s="2938"/>
      <c r="B11" s="2883"/>
      <c r="C11" s="2947"/>
      <c r="D11" s="2942"/>
      <c r="E11" s="56" t="s">
        <v>1782</v>
      </c>
      <c r="F11" s="2199"/>
      <c r="G11" s="2199"/>
      <c r="H11" s="2199"/>
      <c r="I11" s="2200"/>
    </row>
    <row r="12" spans="1:12" ht="12.75">
      <c r="A12" s="2938" t="s">
        <v>1783</v>
      </c>
      <c r="B12" s="2883">
        <v>15</v>
      </c>
      <c r="C12" s="2945"/>
      <c r="D12" s="2942"/>
      <c r="E12" s="56" t="s">
        <v>1784</v>
      </c>
      <c r="F12" s="2199"/>
      <c r="G12" s="2199"/>
      <c r="H12" s="2199"/>
      <c r="I12" s="2200"/>
    </row>
    <row r="13" spans="1:12" ht="12.75">
      <c r="A13" s="2938"/>
      <c r="B13" s="2883"/>
      <c r="C13" s="2947"/>
      <c r="D13" s="2942"/>
      <c r="E13" s="56" t="s">
        <v>1785</v>
      </c>
      <c r="F13" s="2199"/>
      <c r="G13" s="2199"/>
      <c r="H13" s="2199"/>
      <c r="I13" s="2200"/>
    </row>
    <row r="14" spans="1:12" ht="12.75">
      <c r="A14" s="2938" t="s">
        <v>1786</v>
      </c>
      <c r="B14" s="2883">
        <v>30</v>
      </c>
      <c r="C14" s="2945"/>
      <c r="D14" s="2942"/>
      <c r="E14" s="56" t="s">
        <v>1787</v>
      </c>
      <c r="F14" s="2199"/>
      <c r="G14" s="2199"/>
      <c r="H14" s="2199"/>
      <c r="I14" s="2200"/>
    </row>
    <row r="15" spans="1:12" ht="12.75">
      <c r="A15" s="2938"/>
      <c r="B15" s="2883"/>
      <c r="C15" s="2946"/>
      <c r="D15" s="2942"/>
      <c r="E15" s="56" t="s">
        <v>1788</v>
      </c>
      <c r="F15" s="2199"/>
      <c r="G15" s="2199"/>
      <c r="H15" s="2199"/>
      <c r="I15" s="2200"/>
    </row>
    <row r="16" spans="1:12" ht="12.75">
      <c r="A16" s="2938"/>
      <c r="B16" s="2883"/>
      <c r="C16" s="2947"/>
      <c r="D16" s="2942"/>
      <c r="E16" s="56" t="s">
        <v>1789</v>
      </c>
      <c r="F16" s="2199"/>
      <c r="G16" s="2199"/>
      <c r="H16" s="2199"/>
      <c r="I16" s="2200"/>
    </row>
    <row r="17" spans="1:35" ht="15">
      <c r="A17" s="2201" t="s">
        <v>1790</v>
      </c>
      <c r="B17" s="2202"/>
      <c r="C17" s="57">
        <f>SUM(C5:C16)</f>
        <v>20</v>
      </c>
      <c r="D17" s="57">
        <f>SUM(D5:D16)</f>
        <v>80</v>
      </c>
      <c r="E17" s="2194"/>
      <c r="F17" s="2194"/>
      <c r="G17" s="2194"/>
      <c r="H17" s="2194"/>
      <c r="I17" s="2194"/>
    </row>
    <row r="18" spans="1:35" ht="15.75" thickBot="1">
      <c r="A18" s="2203" t="s">
        <v>1791</v>
      </c>
      <c r="B18" s="2204"/>
      <c r="C18" s="58">
        <f>ROUND(C17/SUM(C17:D17),2)</f>
        <v>0.2</v>
      </c>
      <c r="D18" s="58">
        <f>1-C18</f>
        <v>0.8</v>
      </c>
      <c r="E18" s="2194"/>
      <c r="F18" s="2194"/>
      <c r="G18" s="2194"/>
      <c r="H18" s="2194"/>
      <c r="I18" s="2194"/>
    </row>
    <row r="19" spans="1:35" ht="15">
      <c r="A19" s="2205" t="s">
        <v>1792</v>
      </c>
      <c r="B19" s="2206" t="s">
        <v>1793</v>
      </c>
      <c r="C19" s="59">
        <f ca="1">SUMIF(INDIRECT("'"&amp;C4&amp;"'"&amp;"!A:A"),结果表!B19,INDIRECT("'"&amp;C4&amp;"'"&amp;"!B:B"))</f>
        <v>4058359</v>
      </c>
      <c r="D19" s="60">
        <f ca="1">SUMIF(INDIRECT("'"&amp;D4&amp;"'"&amp;"!A:A"),结果表!B19,INDIRECT("'"&amp;D4&amp;"'"&amp;"!B:B"))</f>
        <v>6100175</v>
      </c>
      <c r="E19" s="2205" t="s">
        <v>1794</v>
      </c>
      <c r="F19" s="2206" t="s">
        <v>1793</v>
      </c>
      <c r="G19" s="61">
        <f ca="1">ROUND(G20*'数据-取费表'!B5,0)</f>
        <v>5691794</v>
      </c>
      <c r="H19" s="2207" t="str">
        <f>'数据-取费表'!B3</f>
        <v>元</v>
      </c>
      <c r="I19" s="2194"/>
    </row>
    <row r="20" spans="1:35" ht="15">
      <c r="A20" s="2208"/>
      <c r="B20" s="2209" t="s">
        <v>1795</v>
      </c>
      <c r="C20" s="62">
        <f ca="1">SUMIF(INDIRECT("'"&amp;C4&amp;"'"&amp;"!A:A"),结果表!B20,INDIRECT("'"&amp;C4&amp;"'"&amp;"!B:B"))</f>
        <v>40665</v>
      </c>
      <c r="D20" s="63">
        <f ca="1">SUMIF(INDIRECT("'"&amp;D4&amp;"'"&amp;"!A:A"),结果表!B20,INDIRECT("'"&amp;D4&amp;"'"&amp;"!B:B"))</f>
        <v>61124</v>
      </c>
      <c r="E20" s="2208"/>
      <c r="F20" s="2209" t="s">
        <v>1795</v>
      </c>
      <c r="G20" s="64">
        <f ca="1">ROUND(C20*$C$18+D20*$D$18,0)</f>
        <v>57032</v>
      </c>
      <c r="H20" s="2210" t="s">
        <v>1796</v>
      </c>
      <c r="I20" s="2194"/>
    </row>
    <row r="21" spans="1:35" ht="15" customHeight="1" thickBot="1">
      <c r="A21" s="2211"/>
      <c r="B21" s="2212"/>
      <c r="C21" s="770"/>
      <c r="D21" s="771"/>
      <c r="E21" s="2211"/>
      <c r="F21" s="2212"/>
      <c r="G21" s="65"/>
      <c r="H21" s="2213"/>
      <c r="I21" s="2194"/>
    </row>
    <row r="22" spans="1:35" ht="15" thickBot="1">
      <c r="A22" s="2214" t="s">
        <v>1797</v>
      </c>
      <c r="B22" s="2215"/>
      <c r="C22" s="2216"/>
      <c r="D22" s="772">
        <f ca="1">IF(C19&lt;D19,D19/C19-1,C19/D19-1)</f>
        <v>0.50311369694006869</v>
      </c>
      <c r="E22" s="2194"/>
      <c r="F22" s="2194"/>
      <c r="G22" s="2194"/>
      <c r="H22" s="2194"/>
      <c r="I22" s="2194"/>
    </row>
    <row r="23" spans="1:35" ht="13.5" thickBot="1">
      <c r="A23" s="2194"/>
      <c r="B23" s="2194"/>
      <c r="C23" s="2194"/>
      <c r="D23" s="2194"/>
      <c r="E23" s="2194"/>
      <c r="F23" s="2194"/>
      <c r="G23" s="2194"/>
      <c r="H23" s="2194"/>
      <c r="I23" s="2194"/>
    </row>
    <row r="24" spans="1:35" ht="21.75" customHeight="1">
      <c r="A24" s="2951" t="s">
        <v>1798</v>
      </c>
      <c r="B24" s="2206" t="s">
        <v>1793</v>
      </c>
      <c r="C24" s="61">
        <f>D30</f>
        <v>0</v>
      </c>
      <c r="D24" s="994"/>
      <c r="E24" s="2194"/>
      <c r="F24" s="2194"/>
      <c r="G24" s="2194"/>
      <c r="H24" s="2194"/>
      <c r="I24" s="2194"/>
    </row>
    <row r="25" spans="1:35" ht="21.75" customHeight="1">
      <c r="A25" s="2952"/>
      <c r="B25" s="2209" t="s">
        <v>1795</v>
      </c>
      <c r="C25" s="66">
        <f>IF(B30=0,0,C30)</f>
        <v>0</v>
      </c>
      <c r="D25" s="2217"/>
      <c r="E25" s="2194"/>
      <c r="F25" s="2194"/>
      <c r="G25" s="2194"/>
      <c r="H25" s="2194"/>
      <c r="I25" s="2194"/>
    </row>
    <row r="26" spans="1:35" ht="13.5" customHeight="1">
      <c r="A26" s="2218" t="s">
        <v>1799</v>
      </c>
      <c r="B26" s="67" t="s">
        <v>1800</v>
      </c>
      <c r="C26" s="67" t="s">
        <v>1801</v>
      </c>
      <c r="D26" s="68" t="s">
        <v>1802</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1803</v>
      </c>
      <c r="B30" s="67"/>
      <c r="C30" s="67"/>
      <c r="D30" s="67"/>
      <c r="E30" s="2712" t="s">
        <v>2804</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1804</v>
      </c>
      <c r="B32" s="2223" t="str">
        <f>'数据-取费表'!B4</f>
        <v>总价</v>
      </c>
      <c r="C32" s="1145">
        <f ca="1">IF(B32="总价",G19-C24,G20-C25)</f>
        <v>5691794</v>
      </c>
      <c r="D32" s="2194" t="str">
        <f>IF(B32="楼面单价","元/平方米",H19)</f>
        <v>元</v>
      </c>
      <c r="E32" s="2194"/>
      <c r="F32" s="2194"/>
      <c r="G32" s="2194"/>
      <c r="H32" s="2194"/>
      <c r="I32" s="2194"/>
    </row>
    <row r="33" spans="1:16" ht="15">
      <c r="A33" s="2224" t="s">
        <v>1805</v>
      </c>
      <c r="B33" s="2225"/>
      <c r="C33" s="2226"/>
      <c r="D33" s="2227"/>
      <c r="E33" s="2228" t="s">
        <v>1806</v>
      </c>
      <c r="F33" s="2229" t="str">
        <f>IF(B32="楼面单价","取值（单价）","取值（总价）")</f>
        <v>取值（总价）</v>
      </c>
      <c r="G33" s="2194"/>
      <c r="H33" s="2194"/>
      <c r="I33" s="2194"/>
    </row>
    <row r="34" spans="1:16" ht="15">
      <c r="A34" s="2230"/>
      <c r="B34" s="2231" t="s">
        <v>1807</v>
      </c>
      <c r="C34" s="72">
        <f ca="1">IF(D33="自定义",F34,C32-C35)</f>
        <v>5242142</v>
      </c>
      <c r="D34" s="1091">
        <f ca="1">IF(D33="自定义",ROUND(C34/C32,3),1-D35)</f>
        <v>0.92100000000000004</v>
      </c>
      <c r="E34" s="2232" t="s">
        <v>1808</v>
      </c>
      <c r="F34" s="1827">
        <v>2000</v>
      </c>
      <c r="G34" s="2194"/>
      <c r="H34" s="2194"/>
      <c r="I34" s="2194"/>
    </row>
    <row r="35" spans="1:16" ht="15.75" thickBot="1">
      <c r="A35" s="2233"/>
      <c r="B35" s="2234" t="s">
        <v>1809</v>
      </c>
      <c r="C35" s="73">
        <f ca="1">IF(D33="自定义",F35,ROUND(C32*D35,0))</f>
        <v>449652</v>
      </c>
      <c r="D35" s="1090">
        <f ca="1">IF(D33="自定义",ROUND(C35/C32,3),IF(D33="成本法成本比率",成本法!C56,IF(D33="收益法收益比率",收益法!J38,收益法!J41)))</f>
        <v>7.9000000000000001E-2</v>
      </c>
      <c r="E35" s="2235" t="s">
        <v>1810</v>
      </c>
      <c r="F35" s="79">
        <v>4460</v>
      </c>
      <c r="G35" s="2194"/>
      <c r="H35" s="2194"/>
      <c r="I35" s="2194"/>
    </row>
    <row r="36" spans="1:16" ht="15.75" thickBot="1">
      <c r="A36" s="2956" t="s">
        <v>1811</v>
      </c>
      <c r="B36" s="2236" t="s">
        <v>1812</v>
      </c>
      <c r="C36" s="69">
        <v>0</v>
      </c>
      <c r="D36" s="2237"/>
      <c r="E36" s="2238"/>
      <c r="F36" s="2238"/>
      <c r="G36" s="2194"/>
      <c r="H36" s="2194"/>
      <c r="I36" s="2194"/>
    </row>
    <row r="37" spans="1:16" ht="15.75" thickBot="1">
      <c r="A37" s="2957"/>
      <c r="B37" s="2239" t="s">
        <v>1813</v>
      </c>
      <c r="C37" s="71">
        <v>0</v>
      </c>
      <c r="D37" s="2204"/>
      <c r="E37" s="2204"/>
      <c r="F37" s="2238"/>
      <c r="G37" s="2204"/>
      <c r="H37" s="2204"/>
      <c r="I37" s="2204"/>
    </row>
    <row r="38" spans="1:16" ht="15.75" thickBot="1">
      <c r="A38" s="2958"/>
      <c r="B38" s="2240" t="s">
        <v>1814</v>
      </c>
      <c r="C38" s="712">
        <v>0</v>
      </c>
      <c r="D38" s="2241" t="s">
        <v>1815</v>
      </c>
      <c r="E38" s="2204"/>
      <c r="F38" s="2238"/>
      <c r="G38" s="2204"/>
      <c r="H38" s="2204"/>
      <c r="I38" s="2204"/>
    </row>
    <row r="39" spans="1:16" ht="15">
      <c r="A39" s="2208" t="s">
        <v>1816</v>
      </c>
      <c r="B39" s="2242" t="s">
        <v>1800</v>
      </c>
      <c r="C39" s="2243" t="s">
        <v>1801</v>
      </c>
      <c r="D39" s="2243" t="s">
        <v>1817</v>
      </c>
      <c r="E39" s="2244" t="s">
        <v>1802</v>
      </c>
      <c r="F39" s="2238"/>
      <c r="G39" s="2204"/>
      <c r="H39" s="2204"/>
      <c r="I39" s="2204"/>
    </row>
    <row r="40" spans="1:16" ht="14.25">
      <c r="A40" s="2245" t="s">
        <v>1818</v>
      </c>
      <c r="B40" s="74"/>
      <c r="C40" s="75"/>
      <c r="D40" s="75"/>
      <c r="E40" s="76"/>
      <c r="F40" s="2238"/>
      <c r="G40" s="2204"/>
      <c r="H40" s="2204"/>
      <c r="I40" s="2204"/>
    </row>
    <row r="41" spans="1:16" ht="14.25">
      <c r="A41" s="2245" t="s">
        <v>1819</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1820</v>
      </c>
      <c r="B44" s="2251"/>
      <c r="C44" s="2251"/>
      <c r="D44" s="2252"/>
      <c r="E44" s="2252"/>
      <c r="F44" s="2253"/>
      <c r="G44" s="2253"/>
      <c r="H44" s="2253"/>
      <c r="I44" s="2253"/>
      <c r="J44" s="2254" t="s">
        <v>1821</v>
      </c>
      <c r="K44" s="2255"/>
      <c r="L44" s="2255"/>
      <c r="M44" s="2255"/>
      <c r="N44" s="2255"/>
      <c r="O44" s="2255"/>
      <c r="P44" s="1844"/>
    </row>
    <row r="45" spans="1:16" ht="14.25" customHeight="1" thickBot="1">
      <c r="A45" s="2961" t="s">
        <v>1822</v>
      </c>
      <c r="B45" s="2962"/>
      <c r="C45" s="2963"/>
      <c r="D45" s="80">
        <f ca="1">ROUND(I102*F45,0)</f>
        <v>5691794</v>
      </c>
      <c r="E45" s="81" t="s">
        <v>1823</v>
      </c>
      <c r="F45" s="82">
        <v>1</v>
      </c>
      <c r="G45" s="83" t="s">
        <v>1824</v>
      </c>
      <c r="H45" s="2194"/>
      <c r="I45" s="2194"/>
      <c r="J45" s="2873" t="s">
        <v>1825</v>
      </c>
      <c r="K45" s="2873"/>
      <c r="L45" s="2873"/>
      <c r="M45" s="2873"/>
      <c r="N45" s="2873"/>
      <c r="O45" s="2873"/>
      <c r="P45" s="1844"/>
    </row>
    <row r="46" spans="1:16" ht="14.25" customHeight="1">
      <c r="A46" s="2953" t="s">
        <v>1826</v>
      </c>
      <c r="B46" s="2954"/>
      <c r="C46" s="2954"/>
      <c r="D46" s="2954"/>
      <c r="E46" s="2954"/>
      <c r="F46" s="2954"/>
      <c r="G46" s="2955"/>
      <c r="H46" s="2256"/>
      <c r="I46" s="1144"/>
      <c r="J46" s="1882">
        <v>1</v>
      </c>
      <c r="K46" s="2873" t="s">
        <v>1827</v>
      </c>
      <c r="L46" s="2873"/>
      <c r="M46" s="2874" t="str">
        <f>项目基本情况!B1</f>
        <v>北京市预评估</v>
      </c>
      <c r="N46" s="2874"/>
      <c r="O46" s="2874"/>
      <c r="P46" s="1844"/>
    </row>
    <row r="47" spans="1:16" ht="12" customHeight="1">
      <c r="A47" s="85" t="s">
        <v>1828</v>
      </c>
      <c r="B47" s="86"/>
      <c r="C47" s="87"/>
      <c r="D47" s="88" t="s">
        <v>1829</v>
      </c>
      <c r="E47" s="14" t="s">
        <v>1830</v>
      </c>
      <c r="F47" s="89" t="s">
        <v>1831</v>
      </c>
      <c r="G47" s="90" t="s">
        <v>1832</v>
      </c>
      <c r="H47" s="2256"/>
      <c r="I47" s="1144"/>
      <c r="J47" s="1882">
        <v>2</v>
      </c>
      <c r="K47" s="2873" t="s">
        <v>1833</v>
      </c>
      <c r="L47" s="2873"/>
      <c r="M47" s="2875">
        <f>'数据-取费表'!B2</f>
        <v>43439</v>
      </c>
      <c r="N47" s="2875"/>
      <c r="O47" s="2875"/>
      <c r="P47" s="1844"/>
    </row>
    <row r="48" spans="1:16" ht="25.5">
      <c r="A48" s="2959" t="s">
        <v>1834</v>
      </c>
      <c r="B48" s="2960"/>
      <c r="C48" s="2960"/>
      <c r="D48" s="56">
        <f ca="1">IF(H48="情况1",0,IF(H48="情况2",D52,IF(H48="情况3",D53,IF(H48="情况4",D54))))</f>
        <v>303562</v>
      </c>
      <c r="E48" s="1892" t="str">
        <f>IF(H48="情况4","(销售额-原购置价)×税（费）率","销售额×税（费）率")</f>
        <v>销售额×税（费）率</v>
      </c>
      <c r="F48" s="91">
        <f>IF(H48="情况1","免征",'数据-取费表'!E29)</f>
        <v>5.6000000000000001E-2</v>
      </c>
      <c r="G48" s="2257" t="s">
        <v>1835</v>
      </c>
      <c r="H48" s="2258" t="s">
        <v>1836</v>
      </c>
      <c r="I48" s="2256"/>
      <c r="J48" s="1882">
        <v>3</v>
      </c>
      <c r="K48" s="2873" t="s">
        <v>1837</v>
      </c>
      <c r="L48" s="2873"/>
      <c r="M48" s="2874">
        <f ca="1">I102</f>
        <v>5691794</v>
      </c>
      <c r="N48" s="2874"/>
      <c r="O48" s="2874"/>
      <c r="P48" s="1844"/>
    </row>
    <row r="49" spans="1:16" ht="25.5" customHeight="1">
      <c r="A49" s="92" t="s">
        <v>1838</v>
      </c>
      <c r="B49" s="2940" t="s">
        <v>1839</v>
      </c>
      <c r="C49" s="2940"/>
      <c r="D49" s="93">
        <v>0</v>
      </c>
      <c r="E49" s="13" t="s">
        <v>1840</v>
      </c>
      <c r="F49" s="18" t="s">
        <v>48</v>
      </c>
      <c r="G49" s="2864"/>
      <c r="H49" s="2194"/>
      <c r="I49" s="2259"/>
      <c r="J49" s="1882">
        <v>4</v>
      </c>
      <c r="K49" s="2873" t="str">
        <f>IF(项目基本情况!F5="房地产抵押价值","房地产抵押价值","抵押担保权已注销时的房地产抵押价值")</f>
        <v>抵押担保权已注销时的房地产抵押价值</v>
      </c>
      <c r="L49" s="2873"/>
      <c r="M49" s="2874" t="str">
        <f>IF(项目基本情况!F5="房地产抵押价值",I110,I112)</f>
        <v>——</v>
      </c>
      <c r="N49" s="2874"/>
      <c r="O49" s="2874"/>
      <c r="P49" s="1844"/>
    </row>
    <row r="50" spans="1:16" ht="25.5" customHeight="1">
      <c r="A50" s="94"/>
      <c r="B50" s="2940" t="s">
        <v>1841</v>
      </c>
      <c r="C50" s="2940"/>
      <c r="D50" s="95"/>
      <c r="E50" s="21"/>
      <c r="F50" s="96"/>
      <c r="G50" s="2865"/>
      <c r="H50" s="2194"/>
      <c r="I50" s="2259"/>
      <c r="J50" s="2873" t="s">
        <v>1842</v>
      </c>
      <c r="K50" s="2873"/>
      <c r="L50" s="2873"/>
      <c r="M50" s="2873"/>
      <c r="N50" s="2873"/>
      <c r="O50" s="2873"/>
      <c r="P50" s="1844"/>
    </row>
    <row r="51" spans="1:16" ht="12" customHeight="1">
      <c r="A51" s="97"/>
      <c r="B51" s="2940" t="s">
        <v>1843</v>
      </c>
      <c r="C51" s="2940"/>
      <c r="D51" s="98"/>
      <c r="E51" s="20"/>
      <c r="F51" s="96"/>
      <c r="G51" s="2866"/>
      <c r="H51" s="2194"/>
      <c r="I51" s="2259"/>
      <c r="J51" s="2260" t="s">
        <v>1844</v>
      </c>
      <c r="K51" s="2873" t="s">
        <v>1845</v>
      </c>
      <c r="L51" s="2873"/>
      <c r="M51" s="2260" t="s">
        <v>1846</v>
      </c>
      <c r="N51" s="2260" t="s">
        <v>1847</v>
      </c>
      <c r="O51" s="2260" t="s">
        <v>1848</v>
      </c>
      <c r="P51" s="1844"/>
    </row>
    <row r="52" spans="1:16" ht="24" customHeight="1">
      <c r="A52" s="99" t="s">
        <v>1849</v>
      </c>
      <c r="B52" s="2940" t="s">
        <v>1850</v>
      </c>
      <c r="C52" s="2940"/>
      <c r="D52" s="98">
        <f ca="1">ROUND(D45*'数据-取费表'!E29/(1+'数据-取费表'!F30),0)</f>
        <v>303562</v>
      </c>
      <c r="E52" s="10" t="s">
        <v>1851</v>
      </c>
      <c r="F52" s="100">
        <f>'数据-取费表'!E29</f>
        <v>5.6000000000000001E-2</v>
      </c>
      <c r="G52" s="2261"/>
      <c r="H52" s="2194"/>
      <c r="I52" s="2259"/>
      <c r="J52" s="1882">
        <v>1</v>
      </c>
      <c r="K52" s="2863" t="s">
        <v>1852</v>
      </c>
      <c r="L52" s="2863"/>
      <c r="M52" s="778">
        <f ca="1">D48</f>
        <v>303562</v>
      </c>
      <c r="N52" s="1882" t="str">
        <f>E48</f>
        <v>销售额×税（费）率</v>
      </c>
      <c r="O52" s="779">
        <f>F48</f>
        <v>5.6000000000000001E-2</v>
      </c>
      <c r="P52" s="1844"/>
    </row>
    <row r="53" spans="1:16" ht="12" customHeight="1">
      <c r="A53" s="99" t="s">
        <v>1853</v>
      </c>
      <c r="B53" s="2939" t="s">
        <v>1854</v>
      </c>
      <c r="C53" s="2830"/>
      <c r="D53" s="98">
        <f ca="1">ROUND(D45*'数据-取费表'!E29/(1+'数据-取费表'!F30),0)</f>
        <v>303562</v>
      </c>
      <c r="E53" s="10" t="s">
        <v>1851</v>
      </c>
      <c r="F53" s="100">
        <f>'数据-取费表'!E29</f>
        <v>5.6000000000000001E-2</v>
      </c>
      <c r="G53" s="2261"/>
      <c r="H53" s="2194"/>
      <c r="I53" s="2259"/>
      <c r="J53" s="1882">
        <v>2</v>
      </c>
      <c r="K53" s="2863" t="s">
        <v>1855</v>
      </c>
      <c r="L53" s="2863"/>
      <c r="M53" s="778">
        <f t="shared" ref="M53:O54" ca="1" si="1">D55</f>
        <v>2846</v>
      </c>
      <c r="N53" s="1882" t="str">
        <f t="shared" si="1"/>
        <v>销售额×税（费）率</v>
      </c>
      <c r="O53" s="779">
        <f t="shared" si="1"/>
        <v>5.0000000000000001E-4</v>
      </c>
      <c r="P53" s="1844"/>
    </row>
    <row r="54" spans="1:16" ht="12" customHeight="1">
      <c r="A54" s="99" t="s">
        <v>1856</v>
      </c>
      <c r="B54" s="2939" t="s">
        <v>1857</v>
      </c>
      <c r="C54" s="2830"/>
      <c r="D54" s="98">
        <f ca="1">C68</f>
        <v>303562</v>
      </c>
      <c r="E54" s="20" t="s">
        <v>1858</v>
      </c>
      <c r="F54" s="100">
        <f>'数据-取费表'!E29</f>
        <v>5.6000000000000001E-2</v>
      </c>
      <c r="G54" s="2261"/>
      <c r="H54" s="2262"/>
      <c r="I54" s="2259"/>
      <c r="J54" s="1882">
        <v>3</v>
      </c>
      <c r="K54" s="2863" t="s">
        <v>1859</v>
      </c>
      <c r="L54" s="2863"/>
      <c r="M54" s="778">
        <f t="shared" ca="1" si="1"/>
        <v>3221555</v>
      </c>
      <c r="N54" s="1882" t="str">
        <f t="shared" si="1"/>
        <v>增值额×税（费）率</v>
      </c>
      <c r="O54" s="780" t="str">
        <f t="shared" si="1"/>
        <v>——</v>
      </c>
      <c r="P54" s="1844"/>
    </row>
    <row r="55" spans="1:16" ht="24" customHeight="1">
      <c r="A55" s="2822" t="s">
        <v>1860</v>
      </c>
      <c r="B55" s="2960"/>
      <c r="C55" s="2960"/>
      <c r="D55" s="101">
        <f ca="1">IF(H55="个人住宅",0,ROUND(D45*I55,0))</f>
        <v>2846</v>
      </c>
      <c r="E55" s="10" t="s">
        <v>1861</v>
      </c>
      <c r="F55" s="100">
        <f>IF(H55="正常",I55,"免征")</f>
        <v>5.0000000000000001E-4</v>
      </c>
      <c r="G55" s="2261"/>
      <c r="H55" s="2258" t="s">
        <v>1862</v>
      </c>
      <c r="I55" s="102">
        <f>'数据-取费表'!E37</f>
        <v>5.0000000000000001E-4</v>
      </c>
      <c r="J55" s="1882">
        <f>IF(H59="非个人房产","",4)</f>
        <v>4</v>
      </c>
      <c r="K55" s="2863" t="str">
        <f>IF(H59="非个人房产","——","个人所得税")</f>
        <v>个人所得税</v>
      </c>
      <c r="L55" s="2863"/>
      <c r="M55" s="781">
        <f ca="1">D59</f>
        <v>56918</v>
      </c>
      <c r="N55" s="1885" t="str">
        <f>E59</f>
        <v>销售额×税（费）率</v>
      </c>
      <c r="O55" s="782">
        <f>F59</f>
        <v>0.01</v>
      </c>
      <c r="P55" s="1844"/>
    </row>
    <row r="56" spans="1:16" ht="24.75">
      <c r="A56" s="2822" t="s">
        <v>1863</v>
      </c>
      <c r="B56" s="2960"/>
      <c r="C56" s="2960"/>
      <c r="D56" s="101">
        <f ca="1">IF(H56="个人住宅",D57,D58)</f>
        <v>3221555</v>
      </c>
      <c r="E56" s="10" t="s">
        <v>1864</v>
      </c>
      <c r="F56" s="100" t="str">
        <f>IF(H56="正常",F58,"免征")</f>
        <v>——</v>
      </c>
      <c r="G56" s="2263" t="s">
        <v>1865</v>
      </c>
      <c r="H56" s="2264" t="s">
        <v>1862</v>
      </c>
      <c r="I56" s="1022"/>
      <c r="J56" s="1882" t="str">
        <f>IF(项目基本情况!I6="上海银行",IF(J55="",4,J55+1),"")</f>
        <v/>
      </c>
      <c r="K56" s="2880" t="str">
        <f>IF(项目基本情况!I6="上海银行","其他处置费用","")</f>
        <v/>
      </c>
      <c r="L56" s="2881"/>
      <c r="M56" s="778" t="str">
        <f>IF(项目基本情况!I6="上海银行",M69,"")</f>
        <v/>
      </c>
      <c r="N56" s="2861" t="str">
        <f>IF(项目基本情况!I6="上海银行","包含处置中涉及的律师、诉讼、拍卖、评估等费用","")</f>
        <v/>
      </c>
      <c r="O56" s="2862"/>
      <c r="P56" s="1844"/>
    </row>
    <row r="57" spans="1:16" ht="12.75">
      <c r="A57" s="99" t="s">
        <v>1838</v>
      </c>
      <c r="B57" s="2948" t="s">
        <v>1866</v>
      </c>
      <c r="C57" s="2950"/>
      <c r="D57" s="103">
        <v>0</v>
      </c>
      <c r="E57" s="13" t="s">
        <v>1840</v>
      </c>
      <c r="F57" s="70"/>
      <c r="G57" s="2261"/>
      <c r="H57" s="1022"/>
      <c r="I57" s="1022"/>
      <c r="J57" s="2863">
        <f>IF(AND(J55="",J56=""),4,IF(项目基本情况!I6="上海银行",J56+1,J55+1))</f>
        <v>5</v>
      </c>
      <c r="K57" s="2863" t="s">
        <v>1867</v>
      </c>
      <c r="L57" s="2265" t="s">
        <v>1868</v>
      </c>
      <c r="M57" s="783"/>
      <c r="N57" s="784">
        <f ca="1">SUMIF(M52:M56,"&lt;9e307")</f>
        <v>3584881</v>
      </c>
      <c r="O57" s="2266"/>
      <c r="P57" s="1840" t="e">
        <f ca="1">N57/M49</f>
        <v>#VALUE!</v>
      </c>
    </row>
    <row r="58" spans="1:16" ht="24.75">
      <c r="A58" s="99" t="s">
        <v>1849</v>
      </c>
      <c r="B58" s="2948" t="s">
        <v>1869</v>
      </c>
      <c r="C58" s="2949"/>
      <c r="D58" s="101">
        <f ca="1">IF(H58="转让取得",C81,C97)</f>
        <v>3221555</v>
      </c>
      <c r="E58" s="10" t="s">
        <v>1864</v>
      </c>
      <c r="F58" s="14" t="s">
        <v>48</v>
      </c>
      <c r="G58" s="2261"/>
      <c r="H58" s="2264" t="s">
        <v>1870</v>
      </c>
      <c r="I58" s="1022"/>
      <c r="J58" s="2863"/>
      <c r="K58" s="2863"/>
      <c r="L58" s="2265" t="s">
        <v>1871</v>
      </c>
      <c r="M58" s="785"/>
      <c r="N58" s="2267" t="str">
        <f ca="1">IF(H19="元",NUMBERSTRING(INT(N57),2)&amp;"元整",NUMBERSTRING(INT(N57*10000),2)&amp;"元整")</f>
        <v>叁佰伍拾捌万肆仟捌佰捌拾壹元整</v>
      </c>
      <c r="O58" s="2268"/>
      <c r="P58" s="1844"/>
    </row>
    <row r="59" spans="1:16" ht="26.25" thickBot="1">
      <c r="A59" s="2823" t="s">
        <v>1872</v>
      </c>
      <c r="B59" s="2826"/>
      <c r="C59" s="2826"/>
      <c r="D59" s="104">
        <f ca="1">IF(H59="非个人房产","——",IF(H59="个人住宅",0,ROUND(D45*I59,0)))</f>
        <v>56918</v>
      </c>
      <c r="E59" s="105" t="str">
        <f>IF(H59="非个人房产","——","销售额×税（费）率")</f>
        <v>销售额×税（费）率</v>
      </c>
      <c r="F59" s="106">
        <f>IF(H59="非个人房产","——",IF(H59="个人住宅","免征",I59))</f>
        <v>0.01</v>
      </c>
      <c r="G59" s="2269" t="s">
        <v>1865</v>
      </c>
      <c r="H59" s="2264" t="s">
        <v>1873</v>
      </c>
      <c r="I59" s="107">
        <v>0.01</v>
      </c>
      <c r="J59" s="2917">
        <f>J57+1</f>
        <v>6</v>
      </c>
      <c r="K59" s="2863" t="s">
        <v>1874</v>
      </c>
      <c r="L59" s="1882" t="s">
        <v>1868</v>
      </c>
      <c r="M59" s="786"/>
      <c r="N59" s="787" t="e">
        <f ca="1">M49-N57</f>
        <v>#VALUE!</v>
      </c>
      <c r="O59" s="2270"/>
      <c r="P59" s="1844"/>
    </row>
    <row r="60" spans="1:16" ht="12" customHeight="1">
      <c r="A60" s="2067"/>
      <c r="B60" s="2194"/>
      <c r="C60" s="2194"/>
      <c r="D60" s="2194"/>
      <c r="E60" s="1022"/>
      <c r="F60" s="1022"/>
      <c r="G60" s="1022"/>
      <c r="H60" s="2247"/>
      <c r="I60" s="2194"/>
      <c r="J60" s="2918"/>
      <c r="K60" s="2863"/>
      <c r="L60" s="2265" t="s">
        <v>1871</v>
      </c>
      <c r="M60" s="785"/>
      <c r="N60" s="2267" t="e">
        <f ca="1">IF(H19="元",NUMBERSTRING(INT(N59),2)&amp;"元整",NUMBERSTRING(INT(N59*10000),2)&amp;"元整")</f>
        <v>#VALUE!</v>
      </c>
      <c r="O60" s="2268"/>
      <c r="P60" s="1844"/>
    </row>
    <row r="61" spans="1:16" ht="13.5" thickBot="1">
      <c r="A61" s="2964" t="s">
        <v>1875</v>
      </c>
      <c r="B61" s="2964"/>
      <c r="C61" s="2964"/>
      <c r="D61" s="2964"/>
      <c r="E61" s="2964"/>
      <c r="F61" s="1022"/>
      <c r="G61" s="1022"/>
      <c r="H61" s="2247"/>
      <c r="I61" s="2194"/>
      <c r="J61" s="1882">
        <f>J59+1</f>
        <v>7</v>
      </c>
      <c r="K61" s="2863" t="s">
        <v>1876</v>
      </c>
      <c r="L61" s="2863"/>
      <c r="M61" s="788"/>
      <c r="N61" s="789" t="e">
        <f ca="1">IF(H19="元",ROUND(N59/项目基本情况!C12,0),ROUND(N59*10000/项目基本情况!C12,0))</f>
        <v>#VALUE!</v>
      </c>
      <c r="O61" s="2271"/>
      <c r="P61" s="1844"/>
    </row>
    <row r="62" spans="1:16" ht="12.75">
      <c r="A62" s="2901" t="s">
        <v>1877</v>
      </c>
      <c r="B62" s="2902"/>
      <c r="C62" s="1884"/>
      <c r="D62" s="1884" t="s">
        <v>1878</v>
      </c>
      <c r="E62" s="108" t="s">
        <v>1879</v>
      </c>
      <c r="F62" s="1022"/>
      <c r="G62" s="1022"/>
      <c r="H62" s="2247"/>
      <c r="I62" s="2194"/>
      <c r="J62" s="1844"/>
      <c r="K62" s="1844"/>
      <c r="L62" s="1844"/>
      <c r="M62" s="1844"/>
      <c r="N62" s="1844"/>
      <c r="O62" s="1844"/>
      <c r="P62" s="1844"/>
    </row>
    <row r="63" spans="1:16" ht="12.75">
      <c r="A63" s="109">
        <v>1</v>
      </c>
      <c r="B63" s="110" t="s">
        <v>1880</v>
      </c>
      <c r="C63" s="111">
        <f ca="1">ROUND((C64+C65)/(1+'数据-取费表'!F30),0)</f>
        <v>5420756</v>
      </c>
      <c r="D63" s="112"/>
      <c r="E63" s="113"/>
      <c r="F63" s="1022"/>
      <c r="G63" s="1022"/>
      <c r="H63" s="2247"/>
      <c r="I63" s="2194"/>
      <c r="J63" s="2882" t="s">
        <v>1881</v>
      </c>
      <c r="K63" s="2272"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5691794</v>
      </c>
      <c r="D64" s="117" t="s">
        <v>41</v>
      </c>
      <c r="E64" s="118"/>
      <c r="F64" s="1022"/>
      <c r="G64" s="1022"/>
      <c r="H64" s="2247"/>
      <c r="I64" s="2194"/>
      <c r="J64" s="2882"/>
      <c r="K64" s="2272"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2"/>
      <c r="G65" s="1022"/>
      <c r="H65" s="2247"/>
      <c r="I65" s="2194"/>
      <c r="J65" s="2882"/>
      <c r="K65" s="2272"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2"/>
      <c r="G66" s="1022"/>
      <c r="H66" s="2247"/>
      <c r="I66" s="2194"/>
      <c r="J66" s="2882"/>
      <c r="K66" s="2272" t="s">
        <v>1890</v>
      </c>
      <c r="L66" s="1843" t="e">
        <f>M49*0.5%</f>
        <v>#VALUE!</v>
      </c>
      <c r="M66" s="14" t="e">
        <f>IF(L66&gt;0.5,0.5,ROUND(L66,0))</f>
        <v>#VALUE!</v>
      </c>
      <c r="N66" s="1844" t="s">
        <v>1891</v>
      </c>
      <c r="O66" s="1844"/>
      <c r="P66" s="1844"/>
    </row>
    <row r="67" spans="1:35" ht="12.75">
      <c r="A67" s="120" t="s">
        <v>42</v>
      </c>
      <c r="B67" s="121" t="s">
        <v>1892</v>
      </c>
      <c r="C67" s="124">
        <f ca="1">C63-C66</f>
        <v>5420756</v>
      </c>
      <c r="D67" s="117" t="s">
        <v>41</v>
      </c>
      <c r="E67" s="118"/>
      <c r="F67" s="1022"/>
      <c r="G67" s="1022"/>
      <c r="H67" s="2247"/>
      <c r="I67" s="2194"/>
      <c r="J67" s="2882"/>
      <c r="K67" s="2272"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303562</v>
      </c>
      <c r="D68" s="128">
        <f>'数据-取费表'!E29</f>
        <v>5.6000000000000001E-2</v>
      </c>
      <c r="E68" s="129"/>
      <c r="F68" s="1022"/>
      <c r="G68" s="1022"/>
      <c r="H68" s="2247"/>
      <c r="I68" s="2194"/>
      <c r="J68" s="2882"/>
      <c r="K68" s="2272" t="s">
        <v>1895</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2"/>
      <c r="G69" s="1022"/>
      <c r="H69" s="2247"/>
      <c r="I69" s="2194"/>
      <c r="J69" s="2882"/>
      <c r="K69" s="2272" t="s">
        <v>1896</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03" t="s">
        <v>1897</v>
      </c>
      <c r="B70" s="2904"/>
      <c r="C70" s="2904"/>
      <c r="D70" s="2904"/>
      <c r="E70" s="2904"/>
      <c r="F70" s="2904"/>
      <c r="G70" s="2904"/>
      <c r="H70" s="2904"/>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01" t="s">
        <v>1877</v>
      </c>
      <c r="B71" s="2902"/>
      <c r="C71" s="1884"/>
      <c r="D71" s="1884" t="s">
        <v>1878</v>
      </c>
      <c r="E71" s="130" t="s">
        <v>1879</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1898</v>
      </c>
      <c r="C72" s="124">
        <f ca="1">ROUND(D45/(1+'数据-取费表'!F30),0)</f>
        <v>5420756</v>
      </c>
      <c r="D72" s="117" t="s">
        <v>41</v>
      </c>
      <c r="E72" s="12" t="s">
        <v>1899</v>
      </c>
      <c r="F72" s="1888"/>
      <c r="G72" s="1888"/>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1900</v>
      </c>
      <c r="C73" s="124">
        <f ca="1">C74+C78</f>
        <v>32525</v>
      </c>
      <c r="D73" s="117" t="s">
        <v>41</v>
      </c>
      <c r="E73" s="1887"/>
      <c r="F73" s="1888"/>
      <c r="G73" s="1888"/>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1901</v>
      </c>
      <c r="C74" s="117">
        <f>ROUND(IF(G77="2016年5月1日后购买",C75/(1+'数据-取费表'!F30)+C76+C77,C75+C76+C77),0)</f>
        <v>0</v>
      </c>
      <c r="D74" s="117" t="s">
        <v>41</v>
      </c>
      <c r="E74" s="1887"/>
      <c r="F74" s="1888"/>
      <c r="G74" s="1888"/>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1902</v>
      </c>
      <c r="C75" s="137"/>
      <c r="D75" s="117" t="s">
        <v>41</v>
      </c>
      <c r="E75" s="138" t="s">
        <v>1903</v>
      </c>
      <c r="F75" s="2283" t="s">
        <v>1904</v>
      </c>
      <c r="G75" s="138" t="s">
        <v>1905</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1906</v>
      </c>
      <c r="C76" s="117">
        <f>IF(F75="购房发票",ROUND(C75*H75*D76,0),0)</f>
        <v>0</v>
      </c>
      <c r="D76" s="141">
        <v>0.05</v>
      </c>
      <c r="E76" s="2939" t="s">
        <v>1907</v>
      </c>
      <c r="F76" s="2940"/>
      <c r="G76" s="2940"/>
      <c r="H76" s="2941"/>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4" t="s">
        <v>1910</v>
      </c>
      <c r="H77" s="1889"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1911</v>
      </c>
      <c r="C78" s="144">
        <f ca="1">ROUND(D45*D78/(1+'数据-取费表'!F30),0)</f>
        <v>32525</v>
      </c>
      <c r="D78" s="145">
        <f>'数据-取费表'!E31</f>
        <v>6.000000000000001E-3</v>
      </c>
      <c r="E78" s="2870" t="s">
        <v>1912</v>
      </c>
      <c r="F78" s="2871"/>
      <c r="G78" s="2871"/>
      <c r="H78" s="2891"/>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1913</v>
      </c>
      <c r="C79" s="124">
        <f ca="1">C72-C73</f>
        <v>5388231</v>
      </c>
      <c r="D79" s="117" t="s">
        <v>41</v>
      </c>
      <c r="E79" s="1887"/>
      <c r="F79" s="1888"/>
      <c r="G79" s="1888"/>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1914</v>
      </c>
      <c r="C80" s="147">
        <f ca="1">IF(C79&lt;=0,0,C79/C73)</f>
        <v>165.66428900845503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1915</v>
      </c>
      <c r="C81" s="149">
        <f ca="1">ROUND(IF(C79&lt;=0,0,IF(C80&gt;=200%,C79*60%-C73*35%,IF(C80&gt;=100%,C79*50%-C73*15%,IF(C80&gt;=50%,C79*40%-C73*5%,IF(C80&lt;50%,C79*30%,0))))),0)</f>
        <v>3221555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03" t="s">
        <v>1916</v>
      </c>
      <c r="B83" s="2904"/>
      <c r="C83" s="2904"/>
      <c r="D83" s="2904"/>
      <c r="E83" s="2904"/>
      <c r="F83" s="2904"/>
      <c r="G83" s="2904"/>
      <c r="H83" s="2904"/>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01" t="s">
        <v>1877</v>
      </c>
      <c r="B84" s="2902"/>
      <c r="C84" s="1884"/>
      <c r="D84" s="1884" t="s">
        <v>1878</v>
      </c>
      <c r="E84" s="130" t="s">
        <v>1879</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1898</v>
      </c>
      <c r="C85" s="124">
        <f ca="1">ROUND(D45/(1+'数据-取费表'!F30),0)</f>
        <v>5420756</v>
      </c>
      <c r="D85" s="117" t="s">
        <v>41</v>
      </c>
      <c r="E85" s="1887" t="s">
        <v>1899</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1900</v>
      </c>
      <c r="C86" s="124">
        <f ca="1">IF(H88="仅含出让金",C87+C90+C91+C92+C93+C94,C87+C91+C92+C93+C94)</f>
        <v>32525</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1917</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1918</v>
      </c>
      <c r="C88" s="157"/>
      <c r="D88" s="145"/>
      <c r="E88" s="158" t="s">
        <v>1919</v>
      </c>
      <c r="F88" s="1881"/>
      <c r="G88" s="159" t="s">
        <v>1920</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1908</v>
      </c>
      <c r="C89" s="144">
        <f>ROUND(C88*D89,0)</f>
        <v>0</v>
      </c>
      <c r="D89" s="145">
        <f>'数据-取费表'!E36+'数据-取费表'!E37</f>
        <v>3.0499999999999999E-2</v>
      </c>
      <c r="E89" s="158" t="s">
        <v>1921</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1922</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1923</v>
      </c>
      <c r="C91" s="144">
        <f>IF(H91="——",成本法!C33,I91)</f>
        <v>0</v>
      </c>
      <c r="D91" s="145"/>
      <c r="E91" s="2870" t="s">
        <v>1924</v>
      </c>
      <c r="F91" s="2871"/>
      <c r="G91" s="2871"/>
      <c r="H91" s="2287" t="s">
        <v>1925</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1926</v>
      </c>
      <c r="C92" s="144">
        <f>ROUND((C87+C90+C91)*D92,0)</f>
        <v>0</v>
      </c>
      <c r="D92" s="145">
        <v>0.1</v>
      </c>
      <c r="E92" s="2870" t="s">
        <v>1927</v>
      </c>
      <c r="F92" s="2871"/>
      <c r="G92" s="2871"/>
      <c r="H92" s="2891"/>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1911</v>
      </c>
      <c r="C93" s="144">
        <f ca="1">ROUND(D45*D93/(1+'数据-取费表'!F30),0)</f>
        <v>32525</v>
      </c>
      <c r="D93" s="145">
        <f>'数据-取费表'!E31</f>
        <v>6.000000000000001E-3</v>
      </c>
      <c r="E93" s="2870" t="s">
        <v>1912</v>
      </c>
      <c r="F93" s="2871"/>
      <c r="G93" s="2871"/>
      <c r="H93" s="2891"/>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1928</v>
      </c>
      <c r="C94" s="144">
        <f>ROUND((C87+C90+C91)*D94,0)</f>
        <v>0</v>
      </c>
      <c r="D94" s="145">
        <v>0.2</v>
      </c>
      <c r="E94" s="2870" t="s">
        <v>1929</v>
      </c>
      <c r="F94" s="2871"/>
      <c r="G94" s="2871"/>
      <c r="H94" s="2891"/>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1913</v>
      </c>
      <c r="C95" s="124">
        <f ca="1">ROUND(C85-C86,0)</f>
        <v>5388231</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1914</v>
      </c>
      <c r="C96" s="147">
        <f ca="1">IF(C95&lt;=0,0,C95/C86)</f>
        <v>165.66428900845503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1915</v>
      </c>
      <c r="C97" s="149">
        <f ca="1">ROUND(IF(C95&lt;=0,0,IF(C96&gt;=200%,C95*60%-C86*35%,IF(C96&gt;=100%,C95*50%-C86*15%,IF(C96&gt;=50%,C95*40%-C86*5%,IF(C96&lt;50%,C95*30%,0))))),0)</f>
        <v>3221555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1930</v>
      </c>
      <c r="B98" s="2194"/>
      <c r="C98" s="2194"/>
      <c r="D98" s="2194"/>
      <c r="E98" s="1022"/>
      <c r="F98" s="1022"/>
      <c r="G98" s="1022"/>
      <c r="H98" s="2247"/>
      <c r="I98" s="2194"/>
    </row>
    <row r="99" spans="1:35" ht="15.75">
      <c r="A99" s="2888" t="s">
        <v>1931</v>
      </c>
      <c r="B99" s="2889"/>
      <c r="C99" s="2889"/>
      <c r="D99" s="2890"/>
      <c r="E99" s="2194"/>
      <c r="F99" s="2898" t="s">
        <v>1932</v>
      </c>
      <c r="G99" s="2899"/>
      <c r="H99" s="2899"/>
      <c r="I99" s="2900"/>
    </row>
    <row r="100" spans="1:35" ht="15.75">
      <c r="A100" s="2905" t="s">
        <v>1933</v>
      </c>
      <c r="B100" s="2906"/>
      <c r="C100" s="720" t="str">
        <f>C4</f>
        <v>收益法</v>
      </c>
      <c r="D100" s="721" t="str">
        <f>D4</f>
        <v>比较法-住宅</v>
      </c>
      <c r="E100" s="2194"/>
      <c r="F100" s="2907" t="s">
        <v>1934</v>
      </c>
      <c r="G100" s="2909"/>
      <c r="H100" s="2907" t="s">
        <v>1935</v>
      </c>
      <c r="I100" s="2908"/>
    </row>
    <row r="101" spans="1:35" ht="15.75">
      <c r="A101" s="2927" t="s">
        <v>1936</v>
      </c>
      <c r="B101" s="2289" t="str">
        <f>IF(H19="元","总价（元）","总价（万元）")</f>
        <v>总价（元）</v>
      </c>
      <c r="C101" s="720">
        <f ca="1">C19</f>
        <v>4058359</v>
      </c>
      <c r="D101" s="721">
        <f ca="1">D19</f>
        <v>6100175</v>
      </c>
      <c r="E101" s="2194"/>
      <c r="F101" s="2907" t="str">
        <f>项目基本情况!I1</f>
        <v>北京市房地产</v>
      </c>
      <c r="G101" s="2909"/>
      <c r="H101" s="2968">
        <f>项目基本情况!C12</f>
        <v>99.8</v>
      </c>
      <c r="I101" s="2908"/>
    </row>
    <row r="102" spans="1:35" ht="15.75">
      <c r="A102" s="2927"/>
      <c r="B102" s="2289" t="s">
        <v>1937</v>
      </c>
      <c r="C102" s="722">
        <f ca="1">C20</f>
        <v>40665</v>
      </c>
      <c r="D102" s="723">
        <f ca="1">D20</f>
        <v>61124</v>
      </c>
      <c r="E102" s="2194"/>
      <c r="F102" s="2982" t="s">
        <v>1938</v>
      </c>
      <c r="G102" s="2983"/>
      <c r="H102" s="2290" t="str">
        <f>C106</f>
        <v>总价（元）</v>
      </c>
      <c r="I102" s="1861">
        <f ca="1">H121</f>
        <v>5691794</v>
      </c>
    </row>
    <row r="103" spans="1:35" ht="15">
      <c r="A103" s="2927" t="s">
        <v>1939</v>
      </c>
      <c r="B103" s="2291" t="str">
        <f>B101</f>
        <v>总价（元）</v>
      </c>
      <c r="C103" s="724">
        <f ca="1">H121</f>
        <v>5691794</v>
      </c>
      <c r="D103" s="725"/>
      <c r="E103" s="2194"/>
      <c r="F103" s="2982"/>
      <c r="G103" s="2983"/>
      <c r="H103" s="2290" t="s">
        <v>1937</v>
      </c>
      <c r="I103" s="1050">
        <f ca="1">I121</f>
        <v>57032</v>
      </c>
    </row>
    <row r="104" spans="1:35" ht="16.5" thickBot="1">
      <c r="A104" s="2928"/>
      <c r="B104" s="2292" t="s">
        <v>1937</v>
      </c>
      <c r="C104" s="726">
        <f ca="1">I121</f>
        <v>57032</v>
      </c>
      <c r="D104" s="727"/>
      <c r="E104" s="2194"/>
      <c r="F104" s="2894"/>
      <c r="G104" s="2895"/>
      <c r="H104" s="2929"/>
      <c r="I104" s="2930"/>
    </row>
    <row r="105" spans="1:35" ht="15.75">
      <c r="A105" s="2888" t="s">
        <v>1940</v>
      </c>
      <c r="B105" s="2889"/>
      <c r="C105" s="2889"/>
      <c r="D105" s="2890"/>
      <c r="E105" s="2194"/>
      <c r="F105" s="2933" t="s">
        <v>1941</v>
      </c>
      <c r="G105" s="2934"/>
      <c r="H105" s="2293" t="str">
        <f>C108</f>
        <v>总额（元）</v>
      </c>
      <c r="I105" s="1861">
        <f>SUMIF(I106:I108,"&lt;9E307")</f>
        <v>0</v>
      </c>
    </row>
    <row r="106" spans="1:35" ht="15">
      <c r="A106" s="2935" t="s">
        <v>1942</v>
      </c>
      <c r="B106" s="2936"/>
      <c r="C106" s="2290" t="str">
        <f>B101</f>
        <v>总价（元）</v>
      </c>
      <c r="D106" s="1051">
        <f ca="1">H121</f>
        <v>5691794</v>
      </c>
      <c r="E106" s="2194"/>
      <c r="F106" s="2896" t="s">
        <v>1943</v>
      </c>
      <c r="G106" s="2897"/>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35"/>
      <c r="B107" s="2936"/>
      <c r="C107" s="2290" t="s">
        <v>1937</v>
      </c>
      <c r="D107" s="1052">
        <f ca="1">I121</f>
        <v>57032</v>
      </c>
      <c r="E107" s="2194"/>
      <c r="F107" s="2896" t="s">
        <v>1944</v>
      </c>
      <c r="G107" s="2897"/>
      <c r="H107" s="2293" t="str">
        <f>C110</f>
        <v>总额（元）</v>
      </c>
      <c r="I107" s="1050">
        <f>C37</f>
        <v>0</v>
      </c>
      <c r="K107" s="2294"/>
    </row>
    <row r="108" spans="1:35" ht="15">
      <c r="A108" s="2978" t="s">
        <v>1945</v>
      </c>
      <c r="B108" s="2979"/>
      <c r="C108" s="2293" t="str">
        <f>IF(H19="元","总额（元）","总额（万元）")</f>
        <v>总额（元）</v>
      </c>
      <c r="D108" s="1051">
        <f>IF(D36="正常操作",I106+I107+I108,I107+I108)</f>
        <v>0</v>
      </c>
      <c r="E108" s="2194"/>
      <c r="F108" s="2896" t="s">
        <v>1946</v>
      </c>
      <c r="G108" s="2897"/>
      <c r="H108" s="2293" t="str">
        <f>C111</f>
        <v>总额（元）</v>
      </c>
      <c r="I108" s="1050">
        <f>C38</f>
        <v>0</v>
      </c>
    </row>
    <row r="109" spans="1:35" ht="15.75">
      <c r="A109" s="2896" t="s">
        <v>1943</v>
      </c>
      <c r="B109" s="2897"/>
      <c r="C109" s="2293" t="str">
        <f>C108</f>
        <v>总额（元）</v>
      </c>
      <c r="D109" s="637">
        <f>IF(D36="同一抵押权人同一抵押物续贷",C36&amp;"（未扣减，详见特别提示）",C36)</f>
        <v>0</v>
      </c>
      <c r="E109" s="2194"/>
      <c r="F109" s="2894"/>
      <c r="G109" s="2895"/>
      <c r="H109" s="2931"/>
      <c r="I109" s="2932"/>
    </row>
    <row r="110" spans="1:35" ht="28.5" customHeight="1">
      <c r="A110" s="2896" t="s">
        <v>1944</v>
      </c>
      <c r="B110" s="2897"/>
      <c r="C110" s="2293" t="str">
        <f>C108</f>
        <v>总额（元）</v>
      </c>
      <c r="D110" s="637">
        <f>C37</f>
        <v>0</v>
      </c>
      <c r="E110" s="2194"/>
      <c r="F110" s="2876" t="str">
        <f>IF(项目基本情况!F5="已注销","——","3.房地产抵押价值")</f>
        <v>3.房地产抵押价值</v>
      </c>
      <c r="G110" s="2877"/>
      <c r="H110" s="2295" t="str">
        <f>C112</f>
        <v>总价（元）</v>
      </c>
      <c r="I110" s="1862">
        <f ca="1">IF(F110="——","——",I102-I105)</f>
        <v>5691794</v>
      </c>
    </row>
    <row r="111" spans="1:35" ht="15">
      <c r="A111" s="2896" t="s">
        <v>1946</v>
      </c>
      <c r="B111" s="2897"/>
      <c r="C111" s="2293" t="str">
        <f>C108</f>
        <v>总额（元）</v>
      </c>
      <c r="D111" s="637">
        <f>C38</f>
        <v>0</v>
      </c>
      <c r="E111" s="2194"/>
      <c r="F111" s="2878"/>
      <c r="G111" s="2879"/>
      <c r="H111" s="2290" t="s">
        <v>1937</v>
      </c>
      <c r="I111" s="2296">
        <f ca="1">D113</f>
        <v>57032</v>
      </c>
    </row>
    <row r="112" spans="1:35" ht="26.25" customHeight="1">
      <c r="A112" s="2935" t="str">
        <f>IF(项目基本情况!F5="已注销","——","3.房地产抵押价值")</f>
        <v>3.房地产抵押价值</v>
      </c>
      <c r="B112" s="2936"/>
      <c r="C112" s="2290" t="str">
        <f>B101</f>
        <v>总价（元）</v>
      </c>
      <c r="D112" s="1051">
        <f ca="1">IF(A112="——","——",D106-D108)</f>
        <v>5691794</v>
      </c>
      <c r="E112" s="2194"/>
      <c r="F112" s="2876" t="str">
        <f>IF(项目基本情况!F5="已注销及未注销","4.抵押担保权已注销时的房地产抵押价值",IF(项目基本情况!F5="已注销","3.抵押担保权已注销时的房地产抵押价值","——"))</f>
        <v>——</v>
      </c>
      <c r="G112" s="2877"/>
      <c r="H112" s="2295" t="str">
        <f>C114</f>
        <v>总价（元）</v>
      </c>
      <c r="I112" s="1862" t="str">
        <f>IF(F112="——","——",I102-I107-I108)</f>
        <v>——</v>
      </c>
    </row>
    <row r="113" spans="1:15" ht="15">
      <c r="A113" s="2935"/>
      <c r="B113" s="2936"/>
      <c r="C113" s="2290" t="s">
        <v>1937</v>
      </c>
      <c r="D113" s="1052">
        <f ca="1">ROUND(IF(D112=D106,D107,IF(H19="元",D112/项目基本情况!C12,D112*10000/项目基本情况!C12)),0)</f>
        <v>57032</v>
      </c>
      <c r="E113" s="2194"/>
      <c r="F113" s="2878"/>
      <c r="G113" s="2879"/>
      <c r="H113" s="2290" t="s">
        <v>1937</v>
      </c>
      <c r="I113" s="2297" t="str">
        <f>D115</f>
        <v>——</v>
      </c>
    </row>
    <row r="114" spans="1:15" ht="15.75">
      <c r="A114" s="2935" t="str">
        <f>IF(项目基本情况!F5="已注销及未注销","4.抵押担保权已注销时的房地产抵押价值",IF(项目基本情况!F5="已注销","3.抵押担保权已注销时的房地产抵押价值","——"))</f>
        <v>——</v>
      </c>
      <c r="B114" s="2936"/>
      <c r="C114" s="2290" t="str">
        <f>B101</f>
        <v>总价（元）</v>
      </c>
      <c r="D114" s="1051" t="str">
        <f>IF(A114="——","——",D106-D110-D111)</f>
        <v>——</v>
      </c>
      <c r="E114" s="2194"/>
      <c r="F114" s="2876" t="str">
        <f>IF(项目基本情况!G5="抵押净值",IF(OR(项目基本情况!F5="已注销",项目基本情况!F5="房地产抵押价值"),"4.抵押净值","5.抵押净值"),"——")</f>
        <v>——</v>
      </c>
      <c r="G114" s="2877"/>
      <c r="H114" s="2290" t="str">
        <f>C116</f>
        <v>总价（元）</v>
      </c>
      <c r="I114" s="1861" t="str">
        <f>IF(F114="——","——",N59)</f>
        <v>——</v>
      </c>
    </row>
    <row r="115" spans="1:15" ht="15.75" thickBot="1">
      <c r="A115" s="2935"/>
      <c r="B115" s="2936"/>
      <c r="C115" s="2290" t="s">
        <v>1937</v>
      </c>
      <c r="D115" s="1052" t="str">
        <f>IF(A114="——","——",ROUND(IF(D114=D106,D107,IF(H19="元",D114/项目基本情况!C12,D114*10000/项目基本情况!C12)),0))</f>
        <v>——</v>
      </c>
      <c r="E115" s="2194"/>
      <c r="F115" s="2969"/>
      <c r="G115" s="2970"/>
      <c r="H115" s="2298" t="s">
        <v>1937</v>
      </c>
      <c r="I115" s="1863" t="str">
        <f ca="1">D117</f>
        <v>——</v>
      </c>
    </row>
    <row r="116" spans="1:15" ht="15.75">
      <c r="A116" s="2935" t="str">
        <f>IF(项目基本情况!G5="抵押净值",IF(OR(项目基本情况!F5="已注销",项目基本情况!F5="房地产抵押价值"),"4.抵押净值","5.抵押净值"),"——")</f>
        <v>——</v>
      </c>
      <c r="B116" s="2936"/>
      <c r="C116" s="2290" t="str">
        <f>B101</f>
        <v>总价（元）</v>
      </c>
      <c r="D116" s="1051" t="str">
        <f>IF(A116="——","——",N59)</f>
        <v>——</v>
      </c>
      <c r="E116" s="2194"/>
      <c r="F116" s="2872"/>
      <c r="G116" s="2872"/>
      <c r="H116" s="2914"/>
      <c r="I116" s="2914"/>
      <c r="N116" s="55"/>
      <c r="O116" s="55"/>
    </row>
    <row r="117" spans="1:15" ht="15.75" thickBot="1">
      <c r="A117" s="2976"/>
      <c r="B117" s="2977"/>
      <c r="C117" s="2298" t="s">
        <v>1937</v>
      </c>
      <c r="D117" s="1053" t="str">
        <f ca="1">IF(D116=D112,D113,IF(A116="——","——",N61))</f>
        <v>——</v>
      </c>
      <c r="E117" s="2194"/>
      <c r="F117" s="2966" t="str">
        <f>IF(B32="总价","（以上估价结果中单价为总价除以建筑面积得出）","（以上估价结果中总价为楼面单价乘以建筑面积得出）")</f>
        <v>（以上估价结果中单价为总价除以建筑面积得出）</v>
      </c>
      <c r="G117" s="2966"/>
      <c r="H117" s="2966"/>
      <c r="I117" s="2966"/>
      <c r="N117" s="55"/>
      <c r="O117" s="55"/>
    </row>
    <row r="118" spans="1:15" ht="15">
      <c r="A118" s="2915" t="s">
        <v>1947</v>
      </c>
      <c r="B118" s="2916"/>
      <c r="C118" s="2916"/>
      <c r="D118" s="2916"/>
      <c r="E118" s="2916"/>
      <c r="F118" s="2916"/>
      <c r="G118" s="2916"/>
      <c r="H118" s="2916"/>
      <c r="I118" s="2916"/>
    </row>
    <row r="119" spans="1:15" ht="14.25">
      <c r="A119" s="2887" t="s">
        <v>1948</v>
      </c>
      <c r="B119" s="2885" t="s">
        <v>1949</v>
      </c>
      <c r="C119" s="2885" t="s">
        <v>1950</v>
      </c>
      <c r="D119" s="2892" t="s">
        <v>1951</v>
      </c>
      <c r="E119" s="2893"/>
      <c r="F119" s="2883" t="s">
        <v>1809</v>
      </c>
      <c r="G119" s="2883"/>
      <c r="H119" s="2883" t="s">
        <v>1952</v>
      </c>
      <c r="I119" s="2884"/>
    </row>
    <row r="120" spans="1:15" ht="14.25">
      <c r="A120" s="2887"/>
      <c r="B120" s="2886"/>
      <c r="C120" s="2886"/>
      <c r="D120" s="1886" t="s">
        <v>1953</v>
      </c>
      <c r="E120" s="1886" t="s">
        <v>1954</v>
      </c>
      <c r="F120" s="1886" t="s">
        <v>1953</v>
      </c>
      <c r="G120" s="1886" t="s">
        <v>1955</v>
      </c>
      <c r="H120" s="1886" t="s">
        <v>1953</v>
      </c>
      <c r="I120" s="637" t="s">
        <v>1955</v>
      </c>
    </row>
    <row r="121" spans="1:15" ht="14.25">
      <c r="A121" s="2180" t="str">
        <f>项目基本情况!I1</f>
        <v>北京市房地产</v>
      </c>
      <c r="B121" s="1886">
        <f>项目基本情况!C12</f>
        <v>99.8</v>
      </c>
      <c r="C121" s="1886">
        <f>项目基本情况!C13</f>
        <v>0</v>
      </c>
      <c r="D121" s="1886">
        <f ca="1">ROUND(IF(B32="总价",C34,IF('数据-取费表'!B3="万元",E121*B121/10000,E121*B121)),0)</f>
        <v>5242142</v>
      </c>
      <c r="E121" s="1886">
        <f ca="1">ROUND(IF(B32="楼面单价",C34,IF(H19="元",D121/B121,D121*10000/B121)),0)</f>
        <v>52526</v>
      </c>
      <c r="F121" s="1886">
        <f ca="1">ROUND(IF(B32="总价",C35,IF('数据-取费表'!B3="万元",G121*B121/10000,G121*B121)),0)</f>
        <v>449652</v>
      </c>
      <c r="G121" s="1886">
        <f ca="1">ROUND(IF(B32="楼面单价",C35,IF(H19="元",F121/B121,F121*10000/B121)),0)</f>
        <v>4506</v>
      </c>
      <c r="H121" s="1886">
        <f ca="1">ROUND(IF(B32="总价",C32,IF('数据-取费表'!B3="万元",I121*B121/10000,I121*B121)),0)</f>
        <v>5691794</v>
      </c>
      <c r="I121" s="637">
        <f ca="1">ROUND(IF(B32="楼面单价",C32,IF(H19="元",H121/B121,H121*10000/B121)),0)</f>
        <v>57032</v>
      </c>
    </row>
    <row r="122" spans="1:15" ht="14.25">
      <c r="A122" s="2887" t="s">
        <v>1956</v>
      </c>
      <c r="B122" s="2883"/>
      <c r="C122" s="2883"/>
      <c r="D122" s="2919" t="str">
        <f ca="1">IF(H19="元",NUMBERSTRING(INT(D121),2)&amp;"元整",NUMBERSTRING(INT(D121*10000),2)&amp;"元整")</f>
        <v>伍佰贰拾肆万贰仟壹佰肆拾贰元整</v>
      </c>
      <c r="E122" s="2920"/>
      <c r="F122" s="2919" t="str">
        <f ca="1">IF(H19="元",NUMBERSTRING(INT(F121),2)&amp;"元整",NUMBERSTRING(INT(F121*10000),2)&amp;"元整")</f>
        <v>肆拾肆万玖仟陆佰伍拾贰元整</v>
      </c>
      <c r="G122" s="2920"/>
      <c r="H122" s="2919" t="str">
        <f ca="1">IF(H19="元",NUMBERSTRING(INT(H121),2)&amp;"元整",NUMBERSTRING(INT(H121*10000),2)&amp;"元整")</f>
        <v>伍佰陆拾玖万壹仟柒佰玖拾肆元整</v>
      </c>
      <c r="I122" s="2984"/>
    </row>
    <row r="123" spans="1:15" ht="15">
      <c r="A123" s="2921" t="str">
        <f>IF(项目基本情况!D5="房地产市场价值","——",MID(A108,3,LEN(A108)-2))</f>
        <v>估价师所知悉的法定优先受偿款</v>
      </c>
      <c r="B123" s="2922"/>
      <c r="C123" s="2923"/>
      <c r="D123" s="2912">
        <f>I105</f>
        <v>0</v>
      </c>
      <c r="E123" s="2922"/>
      <c r="F123" s="2922"/>
      <c r="G123" s="2922"/>
      <c r="H123" s="2922"/>
      <c r="I123" s="2971"/>
    </row>
    <row r="124" spans="1:15" ht="14.25">
      <c r="A124" s="2924" t="s">
        <v>1956</v>
      </c>
      <c r="B124" s="2925"/>
      <c r="C124" s="2926"/>
      <c r="D124" s="2972">
        <f>H109</f>
        <v>0</v>
      </c>
      <c r="E124" s="2973"/>
      <c r="F124" s="2973"/>
      <c r="G124" s="2973"/>
      <c r="H124" s="2973"/>
      <c r="I124" s="2974"/>
    </row>
    <row r="125" spans="1:15" ht="15">
      <c r="A125" s="2910" t="str">
        <f>IF(项目基本情况!D5="房地产市场价值","——",MID(A112,3,LEN(A112)-2))</f>
        <v>房地产抵押价值</v>
      </c>
      <c r="B125" s="2911"/>
      <c r="C125" s="2911"/>
      <c r="D125" s="2912">
        <f ca="1">I110</f>
        <v>5691794</v>
      </c>
      <c r="E125" s="2922"/>
      <c r="F125" s="2922"/>
      <c r="G125" s="2922"/>
      <c r="H125" s="2922"/>
      <c r="I125" s="2971"/>
    </row>
    <row r="126" spans="1:15" ht="14.25">
      <c r="A126" s="2887" t="s">
        <v>1956</v>
      </c>
      <c r="B126" s="2883"/>
      <c r="C126" s="2883"/>
      <c r="D126" s="2972">
        <f ca="1">I111</f>
        <v>57032</v>
      </c>
      <c r="E126" s="2973"/>
      <c r="F126" s="2973"/>
      <c r="G126" s="2973"/>
      <c r="H126" s="2973"/>
      <c r="I126" s="2974"/>
    </row>
    <row r="127" spans="1:15" ht="15.75" thickBot="1">
      <c r="A127" s="2910" t="str">
        <f>IF(项目基本情况!D5="房地产市场价值","——",MID(A114,3,LEN(A114)-2))</f>
        <v/>
      </c>
      <c r="B127" s="2911"/>
      <c r="C127" s="2911"/>
      <c r="D127" s="2867" t="str">
        <f>I112</f>
        <v>——</v>
      </c>
      <c r="E127" s="2868"/>
      <c r="F127" s="2868"/>
      <c r="G127" s="2868"/>
      <c r="H127" s="2868"/>
      <c r="I127" s="2869"/>
    </row>
    <row r="128" spans="1:15" ht="15.75" thickTop="1" thickBot="1">
      <c r="A128" s="2887" t="s">
        <v>1956</v>
      </c>
      <c r="B128" s="2883"/>
      <c r="C128" s="2967"/>
      <c r="D128" s="2913" t="str">
        <f>I113</f>
        <v>——</v>
      </c>
      <c r="E128" s="2913"/>
      <c r="F128" s="2913"/>
      <c r="G128" s="2913"/>
      <c r="H128" s="2913"/>
      <c r="I128" s="2913"/>
    </row>
    <row r="129" spans="1:9" ht="16.5" thickTop="1" thickBot="1">
      <c r="A129" s="2910" t="str">
        <f>IF(项目基本情况!D5="房地产市场价值","——",MID(F114,3,LEN(F114)-2))</f>
        <v/>
      </c>
      <c r="B129" s="2911"/>
      <c r="C129" s="2912"/>
      <c r="D129" s="2975" t="str">
        <f>I114</f>
        <v>——</v>
      </c>
      <c r="E129" s="2975"/>
      <c r="F129" s="2975"/>
      <c r="G129" s="2975"/>
      <c r="H129" s="2975"/>
      <c r="I129" s="2975"/>
    </row>
    <row r="130" spans="1:9" ht="15.75" thickTop="1" thickBot="1">
      <c r="A130" s="2980" t="s">
        <v>1956</v>
      </c>
      <c r="B130" s="2981"/>
      <c r="C130" s="2981"/>
      <c r="D130" s="2985">
        <f>H116</f>
        <v>0</v>
      </c>
      <c r="E130" s="2986"/>
      <c r="F130" s="2986"/>
      <c r="G130" s="2986"/>
      <c r="H130" s="2986"/>
      <c r="I130" s="2987"/>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65" t="str">
        <f>IF(B32="总价","（以上估价结果中楼面单价为总价除以建筑面积得出）","（以上估价结果中总价为楼面单价乘以建筑面积得出）")</f>
        <v>（以上估价结果中楼面单价为总价除以建筑面积得出）</v>
      </c>
      <c r="B132" s="2965"/>
      <c r="C132" s="2965"/>
      <c r="D132" s="2965"/>
      <c r="E132" s="2965"/>
      <c r="F132" s="2965"/>
      <c r="G132" s="2965"/>
      <c r="H132" s="2965"/>
      <c r="I132" s="2965"/>
    </row>
    <row r="133" spans="1:9" ht="21.75" customHeight="1">
      <c r="A133" s="2299" t="s">
        <v>1957</v>
      </c>
      <c r="B133" s="2300"/>
      <c r="C133" s="2301" t="s">
        <v>1958</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1959</v>
      </c>
      <c r="G139" s="2313"/>
      <c r="H139" s="2313"/>
      <c r="I139" s="2314" t="s">
        <v>1960</v>
      </c>
    </row>
    <row r="140" spans="1:9" ht="21.75" customHeight="1">
      <c r="A140" s="798"/>
      <c r="B140" s="2315"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1962</v>
      </c>
    </row>
    <row r="143" spans="1:9" ht="21.75" customHeight="1">
      <c r="A143" s="798"/>
      <c r="B143" s="2315" t="s">
        <v>1963</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1962</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1964</v>
      </c>
      <c r="B1" s="2194"/>
      <c r="C1" s="2194"/>
      <c r="D1" s="2194"/>
      <c r="E1" s="2194"/>
      <c r="F1" s="2194"/>
      <c r="G1" s="2194"/>
      <c r="H1" s="2194"/>
      <c r="I1" s="2194"/>
    </row>
    <row r="2" spans="1:12" ht="21.75" customHeight="1">
      <c r="A2" s="2989" t="s">
        <v>1965</v>
      </c>
      <c r="B2" s="2989"/>
      <c r="C2" s="2989"/>
      <c r="D2" s="2989"/>
      <c r="E2" s="2989"/>
      <c r="F2" s="2989"/>
      <c r="G2" s="2989"/>
      <c r="H2" s="2989"/>
      <c r="I2" s="2989"/>
    </row>
    <row r="3" spans="1:12" ht="12.75">
      <c r="A3" s="2943" t="s">
        <v>1769</v>
      </c>
      <c r="B3" s="2944"/>
      <c r="C3" s="2944"/>
      <c r="D3" s="2944"/>
      <c r="E3" s="2944"/>
      <c r="F3" s="2944"/>
      <c r="G3" s="2944"/>
      <c r="H3" s="2944"/>
      <c r="I3" s="2944"/>
    </row>
    <row r="4" spans="1:12" ht="14.25">
      <c r="A4" s="2196" t="s">
        <v>1770</v>
      </c>
      <c r="B4" s="2197" t="s">
        <v>1771</v>
      </c>
      <c r="C4" s="2198"/>
      <c r="D4" s="2198"/>
      <c r="E4" s="2948" t="s">
        <v>1966</v>
      </c>
      <c r="F4" s="2949"/>
      <c r="G4" s="2949"/>
      <c r="H4" s="2949"/>
      <c r="I4" s="295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8" t="s">
        <v>1773</v>
      </c>
      <c r="B5" s="2883">
        <v>25</v>
      </c>
      <c r="C5" s="2945"/>
      <c r="D5" s="2942"/>
      <c r="E5" s="56" t="s">
        <v>1774</v>
      </c>
      <c r="F5" s="2199"/>
      <c r="G5" s="2199"/>
      <c r="H5" s="2199"/>
      <c r="I5" s="2200"/>
    </row>
    <row r="6" spans="1:12" ht="12.75">
      <c r="A6" s="2938"/>
      <c r="B6" s="2883"/>
      <c r="C6" s="2946"/>
      <c r="D6" s="2942"/>
      <c r="E6" s="56" t="s">
        <v>1775</v>
      </c>
      <c r="F6" s="2199"/>
      <c r="G6" s="2199"/>
      <c r="H6" s="2199"/>
      <c r="I6" s="2200"/>
    </row>
    <row r="7" spans="1:12" ht="12.75">
      <c r="A7" s="2938"/>
      <c r="B7" s="2883"/>
      <c r="C7" s="2947"/>
      <c r="D7" s="2942"/>
      <c r="E7" s="56" t="s">
        <v>1776</v>
      </c>
      <c r="F7" s="2199"/>
      <c r="G7" s="2199"/>
      <c r="H7" s="2199"/>
      <c r="I7" s="2200"/>
    </row>
    <row r="8" spans="1:12" ht="12.75">
      <c r="A8" s="2938" t="s">
        <v>1777</v>
      </c>
      <c r="B8" s="2883">
        <v>15</v>
      </c>
      <c r="C8" s="2945"/>
      <c r="D8" s="2942"/>
      <c r="E8" s="56" t="s">
        <v>1778</v>
      </c>
      <c r="F8" s="2199"/>
      <c r="G8" s="2199"/>
      <c r="H8" s="2199"/>
      <c r="I8" s="2200"/>
    </row>
    <row r="9" spans="1:12" ht="12.75">
      <c r="A9" s="2938"/>
      <c r="B9" s="2883"/>
      <c r="C9" s="2947"/>
      <c r="D9" s="2942"/>
      <c r="E9" s="56" t="s">
        <v>1779</v>
      </c>
      <c r="F9" s="2199"/>
      <c r="G9" s="2199"/>
      <c r="H9" s="2199"/>
      <c r="I9" s="2200"/>
    </row>
    <row r="10" spans="1:12" ht="12.75">
      <c r="A10" s="2938" t="s">
        <v>1780</v>
      </c>
      <c r="B10" s="2883">
        <v>15</v>
      </c>
      <c r="C10" s="2945"/>
      <c r="D10" s="2942"/>
      <c r="E10" s="56" t="s">
        <v>1781</v>
      </c>
      <c r="F10" s="2199"/>
      <c r="G10" s="2199"/>
      <c r="H10" s="2199"/>
      <c r="I10" s="2200"/>
    </row>
    <row r="11" spans="1:12" ht="12.75">
      <c r="A11" s="2938"/>
      <c r="B11" s="2883"/>
      <c r="C11" s="2947"/>
      <c r="D11" s="2942"/>
      <c r="E11" s="56" t="s">
        <v>1782</v>
      </c>
      <c r="F11" s="2199"/>
      <c r="G11" s="2199"/>
      <c r="H11" s="2199"/>
      <c r="I11" s="2200"/>
    </row>
    <row r="12" spans="1:12" ht="12.75">
      <c r="A12" s="2938" t="s">
        <v>1783</v>
      </c>
      <c r="B12" s="2883">
        <v>15</v>
      </c>
      <c r="C12" s="2945"/>
      <c r="D12" s="2942"/>
      <c r="E12" s="56" t="s">
        <v>1784</v>
      </c>
      <c r="F12" s="2199"/>
      <c r="G12" s="2199"/>
      <c r="H12" s="2199"/>
      <c r="I12" s="2200"/>
    </row>
    <row r="13" spans="1:12" ht="12.75">
      <c r="A13" s="2938"/>
      <c r="B13" s="2883"/>
      <c r="C13" s="2947"/>
      <c r="D13" s="2942"/>
      <c r="E13" s="56" t="s">
        <v>1785</v>
      </c>
      <c r="F13" s="2199"/>
      <c r="G13" s="2199"/>
      <c r="H13" s="2199"/>
      <c r="I13" s="2200"/>
    </row>
    <row r="14" spans="1:12" ht="12.75">
      <c r="A14" s="2938" t="s">
        <v>1786</v>
      </c>
      <c r="B14" s="2883">
        <v>30</v>
      </c>
      <c r="C14" s="2945"/>
      <c r="D14" s="2942"/>
      <c r="E14" s="56" t="s">
        <v>1787</v>
      </c>
      <c r="F14" s="2199"/>
      <c r="G14" s="2199"/>
      <c r="H14" s="2199"/>
      <c r="I14" s="2200"/>
    </row>
    <row r="15" spans="1:12" ht="12.75">
      <c r="A15" s="2938"/>
      <c r="B15" s="2883"/>
      <c r="C15" s="2946"/>
      <c r="D15" s="2942"/>
      <c r="E15" s="56" t="s">
        <v>1788</v>
      </c>
      <c r="F15" s="2199"/>
      <c r="G15" s="2199"/>
      <c r="H15" s="2199"/>
      <c r="I15" s="2200"/>
    </row>
    <row r="16" spans="1:12" ht="12.75">
      <c r="A16" s="2938"/>
      <c r="B16" s="2883"/>
      <c r="C16" s="2947"/>
      <c r="D16" s="2942"/>
      <c r="E16" s="56" t="s">
        <v>1789</v>
      </c>
      <c r="F16" s="2199"/>
      <c r="G16" s="2199"/>
      <c r="H16" s="2199"/>
      <c r="I16" s="2200"/>
    </row>
    <row r="17" spans="1:35" ht="15">
      <c r="A17" s="2201" t="s">
        <v>1790</v>
      </c>
      <c r="B17" s="2202"/>
      <c r="C17" s="57">
        <f>SUM(C5:C16)</f>
        <v>0</v>
      </c>
      <c r="D17" s="57">
        <f>SUM(D5:D16)</f>
        <v>0</v>
      </c>
      <c r="E17" s="2194"/>
      <c r="F17" s="2194"/>
      <c r="G17" s="2194"/>
      <c r="H17" s="2194"/>
      <c r="I17" s="2194"/>
    </row>
    <row r="18" spans="1:35" ht="15.75" thickBot="1">
      <c r="A18" s="2203" t="s">
        <v>1791</v>
      </c>
      <c r="B18" s="2204"/>
      <c r="C18" s="58" t="e">
        <f>ROUND(C17/SUM(C17:D17),2)</f>
        <v>#DIV/0!</v>
      </c>
      <c r="D18" s="58" t="e">
        <f>1-C18</f>
        <v>#DIV/0!</v>
      </c>
      <c r="E18" s="2194"/>
      <c r="F18" s="2194"/>
      <c r="G18" s="2194"/>
      <c r="H18" s="2194"/>
      <c r="I18" s="2194"/>
    </row>
    <row r="19" spans="1:35" ht="15">
      <c r="A19" s="2205" t="s">
        <v>1792</v>
      </c>
      <c r="B19" s="2206" t="s">
        <v>1793</v>
      </c>
      <c r="C19" s="59" t="e">
        <f ca="1">SUMIF(INDIRECT("'"&amp;C4&amp;"'"&amp;"!A:A"),'结果表 (1修多)'!B19,INDIRECT("'"&amp;C4&amp;"'"&amp;"!B:B"))</f>
        <v>#REF!</v>
      </c>
      <c r="D19" s="60" t="e">
        <f ca="1">SUMIF(INDIRECT("'"&amp;D4&amp;"'"&amp;"!A:A"),'结果表 (1修多)'!B19,INDIRECT("'"&amp;D4&amp;"'"&amp;"!B:B"))</f>
        <v>#REF!</v>
      </c>
      <c r="E19" s="2205" t="s">
        <v>1794</v>
      </c>
      <c r="F19" s="2206" t="s">
        <v>1793</v>
      </c>
      <c r="G19" s="61" t="e">
        <f ca="1">ROUND(C19*$C$18+D19*$D$18,0)</f>
        <v>#REF!</v>
      </c>
      <c r="H19" s="2207" t="str">
        <f>'数据-取费表'!B3</f>
        <v>元</v>
      </c>
      <c r="I19" s="2194"/>
    </row>
    <row r="20" spans="1:35" ht="15">
      <c r="A20" s="2208"/>
      <c r="B20" s="2209" t="s">
        <v>1795</v>
      </c>
      <c r="C20" s="62" t="e">
        <f ca="1">SUMIF(INDIRECT("'"&amp;C4&amp;"'"&amp;"!A:A"),'结果表 (1修多)'!B20,INDIRECT("'"&amp;C4&amp;"'"&amp;"!B:B"))</f>
        <v>#REF!</v>
      </c>
      <c r="D20" s="63" t="e">
        <f ca="1">SUMIF(INDIRECT("'"&amp;D4&amp;"'"&amp;"!A:A"),'结果表 (1修多)'!B20,INDIRECT("'"&amp;D4&amp;"'"&amp;"!B:B"))</f>
        <v>#REF!</v>
      </c>
      <c r="E20" s="2208"/>
      <c r="F20" s="2209" t="s">
        <v>1795</v>
      </c>
      <c r="G20" s="64" t="e">
        <f ca="1">ROUND(C20*$C$18+D20*$D$18,0)</f>
        <v>#REF!</v>
      </c>
      <c r="H20" s="2210" t="s">
        <v>1796</v>
      </c>
      <c r="I20" s="2194"/>
    </row>
    <row r="21" spans="1:35" ht="15" customHeight="1" thickBot="1">
      <c r="A21" s="2211"/>
      <c r="B21" s="2212"/>
      <c r="C21" s="770"/>
      <c r="D21" s="771"/>
      <c r="E21" s="2211"/>
      <c r="F21" s="2212"/>
      <c r="G21" s="65"/>
      <c r="H21" s="2213"/>
      <c r="I21" s="2194"/>
    </row>
    <row r="22" spans="1:35" ht="15" thickBot="1">
      <c r="A22" s="2214" t="s">
        <v>1797</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51" t="s">
        <v>1798</v>
      </c>
      <c r="B24" s="2206" t="s">
        <v>1793</v>
      </c>
      <c r="C24" s="61">
        <f>D30</f>
        <v>0</v>
      </c>
      <c r="D24" s="994"/>
      <c r="E24" s="2194"/>
      <c r="F24" s="2194"/>
      <c r="G24" s="2194"/>
      <c r="H24" s="2194"/>
      <c r="I24" s="2194"/>
    </row>
    <row r="25" spans="1:35" ht="21.75" customHeight="1">
      <c r="A25" s="2952"/>
      <c r="B25" s="2209" t="s">
        <v>1795</v>
      </c>
      <c r="C25" s="66">
        <f>IF(B30=0,0,C30)</f>
        <v>0</v>
      </c>
      <c r="D25" s="2217"/>
      <c r="E25" s="2194"/>
      <c r="F25" s="2194"/>
      <c r="G25" s="2194"/>
      <c r="H25" s="2194"/>
      <c r="I25" s="2194"/>
    </row>
    <row r="26" spans="1:35" ht="13.5" customHeight="1">
      <c r="A26" s="2218" t="s">
        <v>1799</v>
      </c>
      <c r="B26" s="67" t="s">
        <v>1800</v>
      </c>
      <c r="C26" s="67" t="s">
        <v>1801</v>
      </c>
      <c r="D26" s="68" t="s">
        <v>1802</v>
      </c>
      <c r="E26" s="2194"/>
      <c r="F26" s="2194"/>
      <c r="G26" s="2194"/>
      <c r="H26" s="2194"/>
      <c r="I26" s="2194"/>
    </row>
    <row r="27" spans="1:35" ht="14.25">
      <c r="A27" s="2219" t="s">
        <v>1967</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3" t="s">
        <v>1968</v>
      </c>
      <c r="B30" s="2714"/>
      <c r="C30" s="2714"/>
      <c r="D30" s="2714"/>
      <c r="E30" s="2712" t="s">
        <v>2805</v>
      </c>
      <c r="F30" s="2194"/>
      <c r="G30" s="2194"/>
      <c r="H30" s="2194"/>
      <c r="I30" s="2194"/>
    </row>
    <row r="31" spans="1:35" s="2221" customFormat="1" ht="15.75" thickBot="1">
      <c r="A31" s="2999" t="s">
        <v>1969</v>
      </c>
      <c r="B31" s="2999"/>
      <c r="C31" s="2999"/>
      <c r="D31" s="2999"/>
      <c r="E31" s="2999"/>
      <c r="F31" s="2999"/>
      <c r="G31" s="2999"/>
      <c r="H31" s="2999"/>
      <c r="I31" s="299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1970</v>
      </c>
      <c r="C32" s="1308">
        <f>典型户型修正!R27</f>
        <v>0</v>
      </c>
      <c r="D32" s="2194" t="s">
        <v>1971</v>
      </c>
      <c r="E32" s="2194"/>
      <c r="F32" s="2194"/>
      <c r="G32" s="2194"/>
      <c r="H32" s="2194"/>
      <c r="I32" s="2194"/>
    </row>
    <row r="33" spans="1:16" ht="15">
      <c r="A33" s="2321" t="s">
        <v>1972</v>
      </c>
      <c r="B33" s="2322" t="s">
        <v>1973</v>
      </c>
      <c r="C33" s="1309">
        <f>典型户型修正!B2</f>
        <v>0</v>
      </c>
      <c r="D33" s="2323" t="str">
        <f>IF('数据-取费表'!B3="万元","万元","元")</f>
        <v>元</v>
      </c>
      <c r="E33" s="2194"/>
      <c r="F33" s="2194"/>
      <c r="G33" s="2194"/>
      <c r="H33" s="2194"/>
      <c r="I33" s="2194"/>
    </row>
    <row r="34" spans="1:16" ht="15.75" thickBot="1">
      <c r="A34" s="2324"/>
      <c r="B34" s="2325" t="s">
        <v>1974</v>
      </c>
      <c r="C34" s="771" t="e">
        <f>典型户型修正!B3</f>
        <v>#DIV/0!</v>
      </c>
      <c r="D34" s="2194" t="s">
        <v>1975</v>
      </c>
      <c r="E34" s="2194"/>
      <c r="F34" s="2194"/>
      <c r="G34" s="2194"/>
      <c r="H34" s="2194"/>
      <c r="I34" s="2194"/>
    </row>
    <row r="35" spans="1:16" ht="15">
      <c r="A35" s="2326"/>
      <c r="B35" s="2327" t="s">
        <v>1976</v>
      </c>
      <c r="C35" s="1316">
        <f>IF('数据-取费表'!B3="万元",典型户型修正!V25,典型户型修正!U25)</f>
        <v>0</v>
      </c>
      <c r="D35" s="2194" t="str">
        <f>D33</f>
        <v>元</v>
      </c>
      <c r="E35" s="2194"/>
      <c r="F35" s="2194"/>
      <c r="G35" s="2194"/>
      <c r="H35" s="2194"/>
      <c r="I35" s="2194"/>
    </row>
    <row r="36" spans="1:16" ht="15.75" thickBot="1">
      <c r="A36" s="2233"/>
      <c r="B36" s="2328" t="s">
        <v>1977</v>
      </c>
      <c r="C36" s="1317">
        <f>IF('数据-取费表'!B3="万元",典型户型修正!Y25,典型户型修正!X25)</f>
        <v>0</v>
      </c>
      <c r="D36" s="2194" t="str">
        <f>D33</f>
        <v>元</v>
      </c>
      <c r="E36" s="2194"/>
      <c r="F36" s="2194"/>
      <c r="G36" s="2194"/>
      <c r="H36" s="2194"/>
      <c r="I36" s="2194"/>
    </row>
    <row r="37" spans="1:16" ht="15.75" thickBot="1">
      <c r="A37" s="2956" t="s">
        <v>1978</v>
      </c>
      <c r="B37" s="2236" t="s">
        <v>1979</v>
      </c>
      <c r="C37" s="69"/>
      <c r="D37" s="2237"/>
      <c r="E37" s="2238"/>
      <c r="F37" s="2238"/>
      <c r="G37" s="2194"/>
      <c r="H37" s="2194"/>
      <c r="I37" s="2194"/>
    </row>
    <row r="38" spans="1:16" ht="15.75" thickBot="1">
      <c r="A38" s="2957"/>
      <c r="B38" s="2239" t="s">
        <v>1980</v>
      </c>
      <c r="C38" s="71"/>
      <c r="D38" s="2204"/>
      <c r="E38" s="2204"/>
      <c r="F38" s="2238"/>
      <c r="G38" s="2204"/>
      <c r="H38" s="2204"/>
      <c r="I38" s="2204"/>
    </row>
    <row r="39" spans="1:16" ht="15.75" thickBot="1">
      <c r="A39" s="2958"/>
      <c r="B39" s="2240" t="s">
        <v>1981</v>
      </c>
      <c r="C39" s="712"/>
      <c r="D39" s="2241" t="s">
        <v>1982</v>
      </c>
      <c r="E39" s="2204"/>
      <c r="F39" s="2238"/>
      <c r="G39" s="2204"/>
      <c r="H39" s="2204"/>
      <c r="I39" s="2204"/>
    </row>
    <row r="40" spans="1:16" ht="15">
      <c r="A40" s="2208" t="s">
        <v>1983</v>
      </c>
      <c r="B40" s="2242" t="s">
        <v>1984</v>
      </c>
      <c r="C40" s="2243" t="s">
        <v>1985</v>
      </c>
      <c r="D40" s="2243" t="s">
        <v>1986</v>
      </c>
      <c r="E40" s="2244" t="s">
        <v>1987</v>
      </c>
      <c r="F40" s="2238"/>
      <c r="G40" s="2204"/>
      <c r="H40" s="2204"/>
      <c r="I40" s="2204"/>
    </row>
    <row r="41" spans="1:16" ht="14.25">
      <c r="A41" s="2245" t="s">
        <v>1988</v>
      </c>
      <c r="B41" s="74"/>
      <c r="C41" s="75"/>
      <c r="D41" s="75"/>
      <c r="E41" s="76"/>
      <c r="F41" s="2238"/>
      <c r="G41" s="2204"/>
      <c r="H41" s="2204"/>
      <c r="I41" s="2204"/>
    </row>
    <row r="42" spans="1:16" ht="14.25">
      <c r="A42" s="2245" t="s">
        <v>1989</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1990</v>
      </c>
      <c r="B45" s="2251"/>
      <c r="C45" s="2251"/>
      <c r="D45" s="2252"/>
      <c r="E45" s="2252"/>
      <c r="F45" s="2253"/>
      <c r="G45" s="2253"/>
      <c r="H45" s="2253"/>
      <c r="I45" s="2253"/>
      <c r="J45" s="2254" t="s">
        <v>1821</v>
      </c>
      <c r="K45" s="2255"/>
      <c r="L45" s="2255"/>
      <c r="M45" s="2255"/>
      <c r="N45" s="2255"/>
      <c r="O45" s="2255"/>
      <c r="P45" s="1844"/>
    </row>
    <row r="46" spans="1:16" ht="14.25" customHeight="1" thickBot="1">
      <c r="A46" s="2961" t="s">
        <v>1991</v>
      </c>
      <c r="B46" s="2962"/>
      <c r="C46" s="2963"/>
      <c r="D46" s="80">
        <f>ROUND(I103*F46,0)</f>
        <v>0</v>
      </c>
      <c r="E46" s="81" t="s">
        <v>1992</v>
      </c>
      <c r="F46" s="82">
        <v>1</v>
      </c>
      <c r="G46" s="83" t="s">
        <v>1993</v>
      </c>
      <c r="H46" s="2194"/>
      <c r="I46" s="2194"/>
      <c r="J46" s="2873" t="s">
        <v>1825</v>
      </c>
      <c r="K46" s="2873"/>
      <c r="L46" s="2873"/>
      <c r="M46" s="2873"/>
      <c r="N46" s="2873"/>
      <c r="O46" s="2873"/>
      <c r="P46" s="1844"/>
    </row>
    <row r="47" spans="1:16" ht="14.25" customHeight="1">
      <c r="A47" s="2953" t="s">
        <v>1826</v>
      </c>
      <c r="B47" s="2954"/>
      <c r="C47" s="2954"/>
      <c r="D47" s="2954"/>
      <c r="E47" s="2954"/>
      <c r="F47" s="2954"/>
      <c r="G47" s="2955"/>
      <c r="H47" s="2256"/>
      <c r="I47" s="1144"/>
      <c r="J47" s="1882">
        <v>1</v>
      </c>
      <c r="K47" s="2873" t="s">
        <v>1827</v>
      </c>
      <c r="L47" s="2873"/>
      <c r="M47" s="2988"/>
      <c r="N47" s="2988"/>
      <c r="O47" s="2988"/>
      <c r="P47" s="1844"/>
    </row>
    <row r="48" spans="1:16" ht="12" customHeight="1">
      <c r="A48" s="85" t="s">
        <v>1828</v>
      </c>
      <c r="B48" s="86"/>
      <c r="C48" s="87"/>
      <c r="D48" s="88" t="s">
        <v>1829</v>
      </c>
      <c r="E48" s="14" t="s">
        <v>1830</v>
      </c>
      <c r="F48" s="89" t="s">
        <v>1831</v>
      </c>
      <c r="G48" s="90" t="s">
        <v>1832</v>
      </c>
      <c r="H48" s="2256"/>
      <c r="I48" s="1144"/>
      <c r="J48" s="1882">
        <v>2</v>
      </c>
      <c r="K48" s="2873" t="s">
        <v>1833</v>
      </c>
      <c r="L48" s="2873"/>
      <c r="M48" s="2875">
        <f>'数据-取费表'!B2</f>
        <v>43439</v>
      </c>
      <c r="N48" s="2875"/>
      <c r="O48" s="2875"/>
      <c r="P48" s="1844"/>
    </row>
    <row r="49" spans="1:16" ht="25.5">
      <c r="A49" s="2959" t="s">
        <v>1834</v>
      </c>
      <c r="B49" s="2960"/>
      <c r="C49" s="2960"/>
      <c r="D49" s="56">
        <f>IF(H49="情况1",0,IF(H49="情况2",D53,IF(H49="情况3",D54,IF(H49="情况4",D55))))</f>
        <v>0</v>
      </c>
      <c r="E49" s="1892" t="str">
        <f>IF(H49="情况4","(销售额-原购置价)×税（费）率","销售额×税（费）率")</f>
        <v>销售额×税（费）率</v>
      </c>
      <c r="F49" s="91">
        <f>IF(H49="情况1","免征",'数据-取费表'!E29)</f>
        <v>5.6000000000000001E-2</v>
      </c>
      <c r="G49" s="2257" t="s">
        <v>1835</v>
      </c>
      <c r="H49" s="2258" t="s">
        <v>1836</v>
      </c>
      <c r="I49" s="2256"/>
      <c r="J49" s="1882">
        <v>3</v>
      </c>
      <c r="K49" s="2873" t="s">
        <v>1837</v>
      </c>
      <c r="L49" s="2873"/>
      <c r="M49" s="2874">
        <f>I103</f>
        <v>0</v>
      </c>
      <c r="N49" s="2874"/>
      <c r="O49" s="2874"/>
      <c r="P49" s="1844"/>
    </row>
    <row r="50" spans="1:16" ht="25.5" customHeight="1">
      <c r="A50" s="92" t="s">
        <v>1838</v>
      </c>
      <c r="B50" s="2940" t="s">
        <v>1839</v>
      </c>
      <c r="C50" s="2940"/>
      <c r="D50" s="93">
        <v>0</v>
      </c>
      <c r="E50" s="13" t="s">
        <v>1840</v>
      </c>
      <c r="F50" s="18" t="s">
        <v>48</v>
      </c>
      <c r="G50" s="2864"/>
      <c r="H50" s="2194"/>
      <c r="I50" s="2259"/>
      <c r="J50" s="1882">
        <v>4</v>
      </c>
      <c r="K50" s="2873" t="str">
        <f>IF(项目基本情况!F5="房地产抵押价值","房地产抵押价值","抵押担保权已注销时的房地产抵押价值")</f>
        <v>抵押担保权已注销时的房地产抵押价值</v>
      </c>
      <c r="L50" s="2873"/>
      <c r="M50" s="2874" t="str">
        <f>IF(项目基本情况!F5="房地产抵押价值",I111,I113)</f>
        <v>——</v>
      </c>
      <c r="N50" s="2874"/>
      <c r="O50" s="2874"/>
      <c r="P50" s="1844"/>
    </row>
    <row r="51" spans="1:16" ht="25.5" customHeight="1">
      <c r="A51" s="94"/>
      <c r="B51" s="2940" t="s">
        <v>1841</v>
      </c>
      <c r="C51" s="2940"/>
      <c r="D51" s="95"/>
      <c r="E51" s="21"/>
      <c r="F51" s="96"/>
      <c r="G51" s="2865"/>
      <c r="H51" s="2194"/>
      <c r="I51" s="2259"/>
      <c r="J51" s="2873" t="s">
        <v>1842</v>
      </c>
      <c r="K51" s="2873"/>
      <c r="L51" s="2873"/>
      <c r="M51" s="2873"/>
      <c r="N51" s="2873"/>
      <c r="O51" s="2873"/>
      <c r="P51" s="1844"/>
    </row>
    <row r="52" spans="1:16" ht="12" customHeight="1">
      <c r="A52" s="97"/>
      <c r="B52" s="2940" t="s">
        <v>1843</v>
      </c>
      <c r="C52" s="2940"/>
      <c r="D52" s="98"/>
      <c r="E52" s="20"/>
      <c r="F52" s="96"/>
      <c r="G52" s="2866"/>
      <c r="H52" s="2194"/>
      <c r="I52" s="2259"/>
      <c r="J52" s="2260" t="s">
        <v>1844</v>
      </c>
      <c r="K52" s="2873" t="s">
        <v>1845</v>
      </c>
      <c r="L52" s="2873"/>
      <c r="M52" s="2260" t="s">
        <v>1846</v>
      </c>
      <c r="N52" s="2260" t="s">
        <v>1847</v>
      </c>
      <c r="O52" s="2260" t="s">
        <v>1848</v>
      </c>
      <c r="P52" s="1844"/>
    </row>
    <row r="53" spans="1:16" ht="24" customHeight="1">
      <c r="A53" s="99" t="s">
        <v>1849</v>
      </c>
      <c r="B53" s="2940" t="s">
        <v>1850</v>
      </c>
      <c r="C53" s="2940"/>
      <c r="D53" s="98">
        <f>ROUND(D46*'数据-取费表'!E29/(1+'数据-取费表'!F30),0)</f>
        <v>0</v>
      </c>
      <c r="E53" s="10" t="s">
        <v>1851</v>
      </c>
      <c r="F53" s="100">
        <f>'数据-取费表'!E29</f>
        <v>5.6000000000000001E-2</v>
      </c>
      <c r="G53" s="2261"/>
      <c r="H53" s="2194"/>
      <c r="I53" s="2259"/>
      <c r="J53" s="1882">
        <v>1</v>
      </c>
      <c r="K53" s="2863" t="s">
        <v>1852</v>
      </c>
      <c r="L53" s="2863"/>
      <c r="M53" s="778">
        <f>D49</f>
        <v>0</v>
      </c>
      <c r="N53" s="1882" t="str">
        <f>E49</f>
        <v>销售额×税（费）率</v>
      </c>
      <c r="O53" s="779">
        <f>F49</f>
        <v>5.6000000000000001E-2</v>
      </c>
      <c r="P53" s="1844"/>
    </row>
    <row r="54" spans="1:16" ht="12" customHeight="1">
      <c r="A54" s="99" t="s">
        <v>1853</v>
      </c>
      <c r="B54" s="2939" t="s">
        <v>1854</v>
      </c>
      <c r="C54" s="2830"/>
      <c r="D54" s="98">
        <f>ROUND(D46*'数据-取费表'!E29/(1+'数据-取费表'!F30),0)</f>
        <v>0</v>
      </c>
      <c r="E54" s="10" t="s">
        <v>1851</v>
      </c>
      <c r="F54" s="100">
        <f>'数据-取费表'!E29</f>
        <v>5.6000000000000001E-2</v>
      </c>
      <c r="G54" s="2261"/>
      <c r="H54" s="2194"/>
      <c r="I54" s="2259"/>
      <c r="J54" s="1882">
        <v>2</v>
      </c>
      <c r="K54" s="2863" t="s">
        <v>1855</v>
      </c>
      <c r="L54" s="2863"/>
      <c r="M54" s="778">
        <f t="shared" ref="M54:O55" si="1">D56</f>
        <v>0</v>
      </c>
      <c r="N54" s="1882" t="str">
        <f t="shared" si="1"/>
        <v>销售额×税（费）率</v>
      </c>
      <c r="O54" s="779">
        <f t="shared" si="1"/>
        <v>5.0000000000000001E-4</v>
      </c>
      <c r="P54" s="1844"/>
    </row>
    <row r="55" spans="1:16" ht="12" customHeight="1">
      <c r="A55" s="99" t="s">
        <v>1856</v>
      </c>
      <c r="B55" s="2939" t="s">
        <v>1857</v>
      </c>
      <c r="C55" s="2830"/>
      <c r="D55" s="98">
        <f>C69</f>
        <v>0</v>
      </c>
      <c r="E55" s="20" t="s">
        <v>1858</v>
      </c>
      <c r="F55" s="100">
        <f>'数据-取费表'!E29</f>
        <v>5.6000000000000001E-2</v>
      </c>
      <c r="G55" s="2261"/>
      <c r="H55" s="2262"/>
      <c r="I55" s="2259"/>
      <c r="J55" s="1882">
        <v>3</v>
      </c>
      <c r="K55" s="2863" t="s">
        <v>1859</v>
      </c>
      <c r="L55" s="2863"/>
      <c r="M55" s="778">
        <f t="shared" si="1"/>
        <v>0</v>
      </c>
      <c r="N55" s="1882" t="str">
        <f t="shared" si="1"/>
        <v>增值额×税（费）率</v>
      </c>
      <c r="O55" s="780" t="str">
        <f t="shared" si="1"/>
        <v>——</v>
      </c>
      <c r="P55" s="1844"/>
    </row>
    <row r="56" spans="1:16" ht="24" customHeight="1">
      <c r="A56" s="2822" t="s">
        <v>1860</v>
      </c>
      <c r="B56" s="2960"/>
      <c r="C56" s="2960"/>
      <c r="D56" s="101">
        <f>IF(H56="个人住宅",0,ROUND(D46*I56,0))</f>
        <v>0</v>
      </c>
      <c r="E56" s="10" t="s">
        <v>1861</v>
      </c>
      <c r="F56" s="100">
        <f>IF(H56="正常",I56,"免征")</f>
        <v>5.0000000000000001E-4</v>
      </c>
      <c r="G56" s="2261"/>
      <c r="H56" s="2258" t="s">
        <v>1862</v>
      </c>
      <c r="I56" s="102">
        <f>'数据-取费表'!E37</f>
        <v>5.0000000000000001E-4</v>
      </c>
      <c r="J56" s="1882" t="str">
        <f>IF(H60="非个人房产","",4)</f>
        <v/>
      </c>
      <c r="K56" s="2863" t="str">
        <f>IF(H60="非个人房产","——","个人所得税")</f>
        <v>——</v>
      </c>
      <c r="L56" s="2863"/>
      <c r="M56" s="781" t="str">
        <f>D60</f>
        <v>——</v>
      </c>
      <c r="N56" s="1885" t="str">
        <f>E60</f>
        <v>——</v>
      </c>
      <c r="O56" s="782" t="str">
        <f>F60</f>
        <v>——</v>
      </c>
      <c r="P56" s="1844"/>
    </row>
    <row r="57" spans="1:16" ht="24.75">
      <c r="A57" s="2822" t="s">
        <v>1863</v>
      </c>
      <c r="B57" s="2960"/>
      <c r="C57" s="2960"/>
      <c r="D57" s="101">
        <f>IF(H57="个人住宅",D58,D59)</f>
        <v>0</v>
      </c>
      <c r="E57" s="10" t="s">
        <v>1864</v>
      </c>
      <c r="F57" s="100" t="str">
        <f>IF(H57="正常",F59,"免征")</f>
        <v>——</v>
      </c>
      <c r="G57" s="2263" t="s">
        <v>1865</v>
      </c>
      <c r="H57" s="2264" t="s">
        <v>1862</v>
      </c>
      <c r="I57" s="1022"/>
      <c r="J57" s="1882" t="str">
        <f>IF(项目基本情况!I6="上海银行",IF(J56="",4,J56+1),"")</f>
        <v/>
      </c>
      <c r="K57" s="2880" t="str">
        <f>IF(项目基本情况!I6="上海银行","其他处置费用","")</f>
        <v/>
      </c>
      <c r="L57" s="2881"/>
      <c r="M57" s="778" t="str">
        <f>IF(项目基本情况!I6="上海银行",M70,"")</f>
        <v/>
      </c>
      <c r="N57" s="2861" t="str">
        <f>IF(项目基本情况!I6="上海银行","包含处置中涉及的律师、诉讼、拍卖、评估等费用","")</f>
        <v/>
      </c>
      <c r="O57" s="2862"/>
      <c r="P57" s="1844"/>
    </row>
    <row r="58" spans="1:16" ht="12.75">
      <c r="A58" s="99" t="s">
        <v>1838</v>
      </c>
      <c r="B58" s="2948" t="s">
        <v>1866</v>
      </c>
      <c r="C58" s="2950"/>
      <c r="D58" s="103">
        <v>0</v>
      </c>
      <c r="E58" s="13" t="s">
        <v>1840</v>
      </c>
      <c r="F58" s="70"/>
      <c r="G58" s="2261"/>
      <c r="H58" s="1022"/>
      <c r="I58" s="1022"/>
      <c r="J58" s="2863">
        <f>IF(AND(J56="",J57=""),4,IF(项目基本情况!I6="上海银行",J57+1,J56+1))</f>
        <v>4</v>
      </c>
      <c r="K58" s="2863" t="s">
        <v>1867</v>
      </c>
      <c r="L58" s="2265" t="s">
        <v>1868</v>
      </c>
      <c r="M58" s="783"/>
      <c r="N58" s="784">
        <f>SUMIF(M53:M57,"&lt;9e307")</f>
        <v>0</v>
      </c>
      <c r="O58" s="2266"/>
      <c r="P58" s="1840" t="e">
        <f>N58/M50</f>
        <v>#VALUE!</v>
      </c>
    </row>
    <row r="59" spans="1:16" ht="24.75">
      <c r="A59" s="99" t="s">
        <v>1849</v>
      </c>
      <c r="B59" s="2948" t="s">
        <v>1869</v>
      </c>
      <c r="C59" s="2949"/>
      <c r="D59" s="101">
        <f>IF(H59="转让取得",C82,C98)</f>
        <v>0</v>
      </c>
      <c r="E59" s="10" t="s">
        <v>1864</v>
      </c>
      <c r="F59" s="14" t="s">
        <v>48</v>
      </c>
      <c r="G59" s="2261"/>
      <c r="H59" s="2264" t="s">
        <v>1870</v>
      </c>
      <c r="I59" s="1022"/>
      <c r="J59" s="2863"/>
      <c r="K59" s="2863"/>
      <c r="L59" s="2265" t="s">
        <v>1871</v>
      </c>
      <c r="M59" s="785"/>
      <c r="N59" s="2267" t="str">
        <f>IF(H19="元",NUMBERSTRING(INT(N58),2)&amp;"元整",NUMBERSTRING(INT(N58*10000),2)&amp;"元整")</f>
        <v>零元整</v>
      </c>
      <c r="O59" s="2268"/>
      <c r="P59" s="1844"/>
    </row>
    <row r="60" spans="1:16" ht="24.75" thickBot="1">
      <c r="A60" s="2823" t="s">
        <v>1872</v>
      </c>
      <c r="B60" s="2826"/>
      <c r="C60" s="2826"/>
      <c r="D60" s="104" t="str">
        <f>IF(H60="非个人房产","——",IF(H60="个人住宅",0,ROUND(D46*I60,0)))</f>
        <v>——</v>
      </c>
      <c r="E60" s="105" t="str">
        <f>IF(H60="非个人房产","——","销售额×税（费）率")</f>
        <v>——</v>
      </c>
      <c r="F60" s="106" t="str">
        <f>IF(H60="非个人房产","——",IF(H60="个人住宅","免征",I60))</f>
        <v>——</v>
      </c>
      <c r="G60" s="2269" t="s">
        <v>1865</v>
      </c>
      <c r="H60" s="2264" t="s">
        <v>1994</v>
      </c>
      <c r="I60" s="107">
        <v>0.01</v>
      </c>
      <c r="J60" s="2917">
        <f>J58+1</f>
        <v>5</v>
      </c>
      <c r="K60" s="2863" t="s">
        <v>1874</v>
      </c>
      <c r="L60" s="1882" t="s">
        <v>1868</v>
      </c>
      <c r="M60" s="786"/>
      <c r="N60" s="787" t="e">
        <f>M50-N58</f>
        <v>#VALUE!</v>
      </c>
      <c r="O60" s="2270"/>
      <c r="P60" s="1844"/>
    </row>
    <row r="61" spans="1:16" ht="12" customHeight="1">
      <c r="A61" s="2067"/>
      <c r="B61" s="2194"/>
      <c r="C61" s="2194"/>
      <c r="D61" s="2194"/>
      <c r="E61" s="1022"/>
      <c r="F61" s="1022"/>
      <c r="G61" s="1022"/>
      <c r="H61" s="2247"/>
      <c r="I61" s="2194"/>
      <c r="J61" s="2918"/>
      <c r="K61" s="2863"/>
      <c r="L61" s="2265" t="s">
        <v>1871</v>
      </c>
      <c r="M61" s="785"/>
      <c r="N61" s="2267" t="e">
        <f>IF(H19="元",NUMBERSTRING(INT(N60),2)&amp;"元整",NUMBERSTRING(INT(N60*10000),2)&amp;"元整")</f>
        <v>#VALUE!</v>
      </c>
      <c r="O61" s="2268"/>
      <c r="P61" s="1844"/>
    </row>
    <row r="62" spans="1:16" ht="13.5" thickBot="1">
      <c r="A62" s="2964" t="s">
        <v>1875</v>
      </c>
      <c r="B62" s="2964"/>
      <c r="C62" s="2964"/>
      <c r="D62" s="2964"/>
      <c r="E62" s="2964"/>
      <c r="F62" s="1022"/>
      <c r="G62" s="1022"/>
      <c r="H62" s="2247"/>
      <c r="I62" s="2194"/>
      <c r="J62" s="1882">
        <f>J60+1</f>
        <v>6</v>
      </c>
      <c r="K62" s="2863" t="s">
        <v>1876</v>
      </c>
      <c r="L62" s="2863"/>
      <c r="M62" s="788"/>
      <c r="N62" s="789" t="e">
        <f>IF(H19="元",ROUND(N60/项目基本情况!C12,0),ROUND(N60*10000/项目基本情况!C12,0))</f>
        <v>#VALUE!</v>
      </c>
      <c r="O62" s="2271"/>
      <c r="P62" s="1844"/>
    </row>
    <row r="63" spans="1:16" ht="12.75">
      <c r="A63" s="2901" t="s">
        <v>1877</v>
      </c>
      <c r="B63" s="2902"/>
      <c r="C63" s="1884"/>
      <c r="D63" s="1884" t="s">
        <v>1878</v>
      </c>
      <c r="E63" s="108" t="s">
        <v>1879</v>
      </c>
      <c r="F63" s="1022"/>
      <c r="G63" s="1022"/>
      <c r="H63" s="2247"/>
      <c r="I63" s="2194"/>
      <c r="J63" s="1844"/>
      <c r="K63" s="1844"/>
      <c r="L63" s="1844"/>
      <c r="M63" s="1844"/>
      <c r="N63" s="1844"/>
      <c r="O63" s="1844"/>
      <c r="P63" s="1844"/>
    </row>
    <row r="64" spans="1:16" ht="12.75">
      <c r="A64" s="109">
        <v>1</v>
      </c>
      <c r="B64" s="110" t="s">
        <v>1880</v>
      </c>
      <c r="C64" s="111">
        <f>ROUND((C65+C66)/(1+'数据-取费表'!F30),0)</f>
        <v>0</v>
      </c>
      <c r="D64" s="112"/>
      <c r="E64" s="113"/>
      <c r="F64" s="1022"/>
      <c r="G64" s="1022"/>
      <c r="H64" s="2247"/>
      <c r="I64" s="2194"/>
      <c r="J64" s="2882" t="s">
        <v>1881</v>
      </c>
      <c r="K64" s="2272"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2"/>
      <c r="G65" s="1022"/>
      <c r="H65" s="2247"/>
      <c r="I65" s="2194"/>
      <c r="J65" s="2882"/>
      <c r="K65" s="2272"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2"/>
      <c r="G66" s="1022"/>
      <c r="H66" s="2247"/>
      <c r="I66" s="2194"/>
      <c r="J66" s="2882"/>
      <c r="K66" s="2272"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2"/>
      <c r="G67" s="1022"/>
      <c r="H67" s="2247"/>
      <c r="I67" s="2194"/>
      <c r="J67" s="2882"/>
      <c r="K67" s="2272"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2"/>
      <c r="G68" s="1022"/>
      <c r="H68" s="2247"/>
      <c r="I68" s="2194"/>
      <c r="J68" s="2882"/>
      <c r="K68" s="2272"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2"/>
      <c r="G69" s="1022"/>
      <c r="H69" s="2247"/>
      <c r="I69" s="2194"/>
      <c r="J69" s="2882"/>
      <c r="K69" s="2272" t="s">
        <v>1895</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2"/>
      <c r="G70" s="1022"/>
      <c r="H70" s="2247"/>
      <c r="I70" s="2194"/>
      <c r="J70" s="2882"/>
      <c r="K70" s="2272" t="s">
        <v>1896</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03" t="s">
        <v>1897</v>
      </c>
      <c r="B71" s="2904"/>
      <c r="C71" s="2904"/>
      <c r="D71" s="2904"/>
      <c r="E71" s="2904"/>
      <c r="F71" s="2904"/>
      <c r="G71" s="2904"/>
      <c r="H71" s="2904"/>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01" t="s">
        <v>1877</v>
      </c>
      <c r="B72" s="2902"/>
      <c r="C72" s="1884"/>
      <c r="D72" s="1884" t="s">
        <v>1878</v>
      </c>
      <c r="E72" s="130" t="s">
        <v>1879</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1898</v>
      </c>
      <c r="C73" s="124">
        <f>ROUND(D46/(1+'数据-取费表'!F30),0)</f>
        <v>0</v>
      </c>
      <c r="D73" s="117" t="s">
        <v>41</v>
      </c>
      <c r="E73" s="1887"/>
      <c r="F73" s="1888"/>
      <c r="G73" s="1888"/>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1900</v>
      </c>
      <c r="C74" s="124">
        <f>C75+C79</f>
        <v>0</v>
      </c>
      <c r="D74" s="117" t="s">
        <v>41</v>
      </c>
      <c r="E74" s="1887"/>
      <c r="F74" s="1888"/>
      <c r="G74" s="1888"/>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1901</v>
      </c>
      <c r="C75" s="117">
        <f>ROUND(IF(G78="2016年5月1日后购买",C76/(1+'数据-取费表'!F30)+C77+C78,C76+C77+C78),0)</f>
        <v>0</v>
      </c>
      <c r="D75" s="117" t="s">
        <v>41</v>
      </c>
      <c r="E75" s="1887"/>
      <c r="F75" s="1888"/>
      <c r="G75" s="1888"/>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1902</v>
      </c>
      <c r="C76" s="137"/>
      <c r="D76" s="117" t="s">
        <v>41</v>
      </c>
      <c r="E76" s="138" t="s">
        <v>1903</v>
      </c>
      <c r="F76" s="2283" t="s">
        <v>1904</v>
      </c>
      <c r="G76" s="138" t="s">
        <v>1905</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1906</v>
      </c>
      <c r="C77" s="117">
        <f>IF(F76="购房发票",ROUND(C76*H76*D77,0),0)</f>
        <v>0</v>
      </c>
      <c r="D77" s="141">
        <v>0.05</v>
      </c>
      <c r="E77" s="2939" t="s">
        <v>1907</v>
      </c>
      <c r="F77" s="2940"/>
      <c r="G77" s="2940"/>
      <c r="H77" s="2941"/>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4" t="s">
        <v>1910</v>
      </c>
      <c r="H78" s="1889"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1911</v>
      </c>
      <c r="C79" s="144">
        <f>ROUND(D46*D79/(1+'数据-取费表'!F30),0)</f>
        <v>0</v>
      </c>
      <c r="D79" s="145">
        <f>'数据-取费表'!E31</f>
        <v>6.000000000000001E-3</v>
      </c>
      <c r="E79" s="2870" t="s">
        <v>1912</v>
      </c>
      <c r="F79" s="2871"/>
      <c r="G79" s="2871"/>
      <c r="H79" s="2891"/>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1913</v>
      </c>
      <c r="C80" s="124">
        <f>C73-C74</f>
        <v>0</v>
      </c>
      <c r="D80" s="117" t="s">
        <v>41</v>
      </c>
      <c r="E80" s="1887"/>
      <c r="F80" s="1888"/>
      <c r="G80" s="1888"/>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03" t="s">
        <v>1916</v>
      </c>
      <c r="B84" s="2904"/>
      <c r="C84" s="2904"/>
      <c r="D84" s="2904"/>
      <c r="E84" s="2904"/>
      <c r="F84" s="2904"/>
      <c r="G84" s="2904"/>
      <c r="H84" s="290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01" t="s">
        <v>1877</v>
      </c>
      <c r="B85" s="2902"/>
      <c r="C85" s="1884"/>
      <c r="D85" s="1884" t="s">
        <v>1878</v>
      </c>
      <c r="E85" s="130" t="s">
        <v>1879</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1898</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1900</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1917</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1918</v>
      </c>
      <c r="C89" s="157"/>
      <c r="D89" s="145"/>
      <c r="E89" s="158" t="s">
        <v>1919</v>
      </c>
      <c r="F89" s="1881"/>
      <c r="G89" s="159" t="s">
        <v>1920</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1908</v>
      </c>
      <c r="C90" s="144">
        <f>ROUND(C89*D90,0)</f>
        <v>0</v>
      </c>
      <c r="D90" s="145">
        <f>'数据-取费表'!E36+'数据-取费表'!E37</f>
        <v>3.0499999999999999E-2</v>
      </c>
      <c r="E90" s="158" t="s">
        <v>1921</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1922</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1923</v>
      </c>
      <c r="C92" s="144">
        <f>IF(H92="——",成本法!C33,I92)</f>
        <v>0</v>
      </c>
      <c r="D92" s="145"/>
      <c r="E92" s="2870" t="s">
        <v>1924</v>
      </c>
      <c r="F92" s="2871"/>
      <c r="G92" s="2871"/>
      <c r="H92" s="2287" t="s">
        <v>1925</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1926</v>
      </c>
      <c r="C93" s="144">
        <f>ROUND((C88+C91+C92)*D93,0)</f>
        <v>0</v>
      </c>
      <c r="D93" s="145">
        <v>0.1</v>
      </c>
      <c r="E93" s="2870" t="s">
        <v>1927</v>
      </c>
      <c r="F93" s="2871"/>
      <c r="G93" s="2871"/>
      <c r="H93" s="2891"/>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1911</v>
      </c>
      <c r="C94" s="144">
        <f>ROUND(D46*D94/(1+'数据-取费表'!F30),0)</f>
        <v>0</v>
      </c>
      <c r="D94" s="145">
        <f>'数据-取费表'!E31</f>
        <v>6.000000000000001E-3</v>
      </c>
      <c r="E94" s="2870" t="s">
        <v>1912</v>
      </c>
      <c r="F94" s="2871"/>
      <c r="G94" s="2871"/>
      <c r="H94" s="2891"/>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1928</v>
      </c>
      <c r="C95" s="144">
        <f>ROUND((C88+C91+C92)*D95,0)</f>
        <v>0</v>
      </c>
      <c r="D95" s="145">
        <v>0.2</v>
      </c>
      <c r="E95" s="2870" t="s">
        <v>1929</v>
      </c>
      <c r="F95" s="2871"/>
      <c r="G95" s="2871"/>
      <c r="H95" s="2891"/>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1913</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1930</v>
      </c>
      <c r="B99" s="2194"/>
      <c r="C99" s="2194"/>
      <c r="D99" s="2194"/>
      <c r="E99" s="1022"/>
      <c r="F99" s="1022"/>
      <c r="G99" s="1022"/>
      <c r="H99" s="2247"/>
      <c r="I99" s="2194"/>
    </row>
    <row r="100" spans="1:35" ht="15.75">
      <c r="A100" s="2888" t="s">
        <v>1931</v>
      </c>
      <c r="B100" s="2889"/>
      <c r="C100" s="2889"/>
      <c r="D100" s="2890"/>
      <c r="E100" s="2194"/>
      <c r="F100" s="2898" t="s">
        <v>1932</v>
      </c>
      <c r="G100" s="2899"/>
      <c r="H100" s="2899"/>
      <c r="I100" s="2900"/>
    </row>
    <row r="101" spans="1:35" ht="15.75">
      <c r="A101" s="2905" t="s">
        <v>1933</v>
      </c>
      <c r="B101" s="2906"/>
      <c r="C101" s="720">
        <f>C4</f>
        <v>0</v>
      </c>
      <c r="D101" s="721">
        <f>D4</f>
        <v>0</v>
      </c>
      <c r="E101" s="2194"/>
      <c r="F101" s="2907" t="s">
        <v>1934</v>
      </c>
      <c r="G101" s="2909"/>
      <c r="H101" s="2990" t="s">
        <v>1935</v>
      </c>
      <c r="I101" s="2908"/>
    </row>
    <row r="102" spans="1:35" ht="15.75">
      <c r="A102" s="2991" t="s">
        <v>1995</v>
      </c>
      <c r="B102" s="2289" t="str">
        <f>IF(H19="元","总价（元）","总价（万元）")</f>
        <v>总价（元）</v>
      </c>
      <c r="C102" s="720" t="e">
        <f ca="1">C19</f>
        <v>#REF!</v>
      </c>
      <c r="D102" s="721" t="e">
        <f ca="1">D19</f>
        <v>#REF!</v>
      </c>
      <c r="E102" s="2194"/>
      <c r="F102" s="2992"/>
      <c r="G102" s="2993"/>
      <c r="H102" s="2968">
        <f>典型户型修正!B25</f>
        <v>0</v>
      </c>
      <c r="I102" s="2908"/>
    </row>
    <row r="103" spans="1:35" ht="15.75">
      <c r="A103" s="2991"/>
      <c r="B103" s="2289" t="s">
        <v>1937</v>
      </c>
      <c r="C103" s="722" t="e">
        <f ca="1">C20</f>
        <v>#REF!</v>
      </c>
      <c r="D103" s="723" t="e">
        <f ca="1">D20</f>
        <v>#REF!</v>
      </c>
      <c r="E103" s="2194"/>
      <c r="F103" s="2982" t="s">
        <v>1938</v>
      </c>
      <c r="G103" s="2983"/>
      <c r="H103" s="2290" t="str">
        <f>C109</f>
        <v>总价（元）</v>
      </c>
      <c r="I103" s="1861">
        <f>H124</f>
        <v>0</v>
      </c>
    </row>
    <row r="104" spans="1:35" ht="15">
      <c r="A104" s="2991" t="s">
        <v>1996</v>
      </c>
      <c r="B104" s="2291" t="str">
        <f>B102</f>
        <v>总价（元）</v>
      </c>
      <c r="C104" s="1190" t="e">
        <f ca="1">ROUND(IF('数据-取费表'!B4="总价",G19,IF(H19="元",G20*'数据-取费表'!E5,G20*'数据-取费表'!E5/10000)),0)</f>
        <v>#REF!</v>
      </c>
      <c r="D104" s="725"/>
      <c r="E104" s="2194"/>
      <c r="F104" s="2982"/>
      <c r="G104" s="2983"/>
      <c r="H104" s="2290" t="s">
        <v>1937</v>
      </c>
      <c r="I104" s="1050" t="e">
        <f>I124</f>
        <v>#DIV/0!</v>
      </c>
    </row>
    <row r="105" spans="1:35" ht="15.75">
      <c r="A105" s="2991"/>
      <c r="B105" s="2289" t="s">
        <v>1937</v>
      </c>
      <c r="C105" s="1191" t="e">
        <f ca="1">ROUND(IF('数据-取费表'!B4="楼面单价",G20,IF(H19="元",G19/'数据-取费表'!E5,G19*10000/'数据-取费表'!E5)),0)</f>
        <v>#REF!</v>
      </c>
      <c r="D105" s="725"/>
      <c r="E105" s="2194"/>
      <c r="F105" s="2894"/>
      <c r="G105" s="2895"/>
      <c r="H105" s="2929"/>
      <c r="I105" s="2930"/>
    </row>
    <row r="106" spans="1:35" ht="15.75">
      <c r="A106" s="2998" t="s">
        <v>1997</v>
      </c>
      <c r="B106" s="2329" t="str">
        <f>B102</f>
        <v>总价（元）</v>
      </c>
      <c r="C106" s="724">
        <f>H124</f>
        <v>0</v>
      </c>
      <c r="D106" s="1189"/>
      <c r="E106" s="2194"/>
      <c r="F106" s="2933" t="s">
        <v>1941</v>
      </c>
      <c r="G106" s="2934"/>
      <c r="H106" s="2293" t="str">
        <f>C111</f>
        <v>总额（元）</v>
      </c>
      <c r="I106" s="1861">
        <f>SUMIF(I107:I109,"&lt;9E307")</f>
        <v>0</v>
      </c>
    </row>
    <row r="107" spans="1:35" ht="15.75" thickBot="1">
      <c r="A107" s="2928"/>
      <c r="B107" s="2292" t="s">
        <v>1937</v>
      </c>
      <c r="C107" s="726" t="e">
        <f>I124</f>
        <v>#DIV/0!</v>
      </c>
      <c r="D107" s="727"/>
      <c r="E107" s="2194"/>
      <c r="F107" s="2896" t="s">
        <v>1943</v>
      </c>
      <c r="G107" s="2897"/>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94" t="s">
        <v>1940</v>
      </c>
      <c r="B108" s="2995"/>
      <c r="C108" s="2995"/>
      <c r="D108" s="2996"/>
      <c r="E108" s="2194"/>
      <c r="F108" s="2896" t="s">
        <v>1944</v>
      </c>
      <c r="G108" s="2897"/>
      <c r="H108" s="2293" t="str">
        <f>C113</f>
        <v>总额（元）</v>
      </c>
      <c r="I108" s="1050">
        <f>C38</f>
        <v>0</v>
      </c>
      <c r="K108" s="2294"/>
    </row>
    <row r="109" spans="1:35" ht="15">
      <c r="A109" s="2935" t="s">
        <v>1998</v>
      </c>
      <c r="B109" s="2936"/>
      <c r="C109" s="2290" t="str">
        <f>B102</f>
        <v>总价（元）</v>
      </c>
      <c r="D109" s="1051">
        <f>H124</f>
        <v>0</v>
      </c>
      <c r="E109" s="2194"/>
      <c r="F109" s="2896" t="s">
        <v>1946</v>
      </c>
      <c r="G109" s="2897"/>
      <c r="H109" s="2293" t="str">
        <f>C114</f>
        <v>总额（元）</v>
      </c>
      <c r="I109" s="1050">
        <f>C39</f>
        <v>0</v>
      </c>
    </row>
    <row r="110" spans="1:35" ht="15.75">
      <c r="A110" s="2935"/>
      <c r="B110" s="2936"/>
      <c r="C110" s="2290" t="s">
        <v>1937</v>
      </c>
      <c r="D110" s="1052" t="e">
        <f>I124</f>
        <v>#DIV/0!</v>
      </c>
      <c r="E110" s="2194"/>
      <c r="F110" s="2894"/>
      <c r="G110" s="2895"/>
      <c r="H110" s="2931"/>
      <c r="I110" s="2932"/>
    </row>
    <row r="111" spans="1:35" ht="28.5" customHeight="1">
      <c r="A111" s="2978" t="s">
        <v>1945</v>
      </c>
      <c r="B111" s="2979"/>
      <c r="C111" s="2293" t="str">
        <f>IF(H19="元","总额（元）","总额（万元）")</f>
        <v>总额（元）</v>
      </c>
      <c r="D111" s="1051">
        <f>IF(D37="正常操作",I107+I108+I109,I108+I109)</f>
        <v>0</v>
      </c>
      <c r="E111" s="2194"/>
      <c r="F111" s="2876" t="str">
        <f>IF(项目基本情况!F5="已注销","——","3.房地产抵押价值")</f>
        <v>3.房地产抵押价值</v>
      </c>
      <c r="G111" s="2877"/>
      <c r="H111" s="2330" t="str">
        <f>C115</f>
        <v>总价（元）</v>
      </c>
      <c r="I111" s="1861">
        <f>IF(F111="——","——",I103-I106)</f>
        <v>0</v>
      </c>
    </row>
    <row r="112" spans="1:35" ht="15">
      <c r="A112" s="2896" t="s">
        <v>1943</v>
      </c>
      <c r="B112" s="2897"/>
      <c r="C112" s="2293" t="str">
        <f>C111</f>
        <v>总额（元）</v>
      </c>
      <c r="D112" s="637">
        <f>IF(D37="同一抵押权人同一抵押物续贷",C37&amp;"（未扣减，详见特别提示）",C37)</f>
        <v>0</v>
      </c>
      <c r="E112" s="2194"/>
      <c r="F112" s="2878"/>
      <c r="G112" s="2879"/>
      <c r="H112" s="2290" t="s">
        <v>1937</v>
      </c>
      <c r="I112" s="2296" t="e">
        <f>D116</f>
        <v>#DIV/0!</v>
      </c>
    </row>
    <row r="113" spans="1:26" ht="15.75">
      <c r="A113" s="2896" t="s">
        <v>1944</v>
      </c>
      <c r="B113" s="2897"/>
      <c r="C113" s="2293" t="str">
        <f>C111</f>
        <v>总额（元）</v>
      </c>
      <c r="D113" s="637">
        <f>C38</f>
        <v>0</v>
      </c>
      <c r="E113" s="2194"/>
      <c r="F113" s="2876" t="str">
        <f>IF(项目基本情况!F5="已注销及未注销","4.抵押担保权已注销时的房地产抵押价值",IF(项目基本情况!F5="已注销","3.抵押担保权已注销时的房地产抵押价值","——"))</f>
        <v>——</v>
      </c>
      <c r="G113" s="2877"/>
      <c r="H113" s="2330" t="str">
        <f>C117</f>
        <v>总价（元）</v>
      </c>
      <c r="I113" s="1861" t="str">
        <f>IF(F113="——","——",I103-I108-I109)</f>
        <v>——</v>
      </c>
    </row>
    <row r="114" spans="1:26" ht="15">
      <c r="A114" s="2896" t="s">
        <v>1946</v>
      </c>
      <c r="B114" s="2897"/>
      <c r="C114" s="2293" t="str">
        <f>C111</f>
        <v>总额（元）</v>
      </c>
      <c r="D114" s="637">
        <f>C39</f>
        <v>0</v>
      </c>
      <c r="E114" s="2194"/>
      <c r="F114" s="2878"/>
      <c r="G114" s="2879"/>
      <c r="H114" s="2290" t="s">
        <v>1937</v>
      </c>
      <c r="I114" s="1050" t="str">
        <f>D118</f>
        <v>——</v>
      </c>
    </row>
    <row r="115" spans="1:26" ht="15.75">
      <c r="A115" s="2935" t="str">
        <f>IF(项目基本情况!F5="已注销","——","3.房地产抵押价值")</f>
        <v>3.房地产抵押价值</v>
      </c>
      <c r="B115" s="2936"/>
      <c r="C115" s="2290" t="str">
        <f>B102</f>
        <v>总价（元）</v>
      </c>
      <c r="D115" s="1051">
        <f>IF(A115="——","——",D109-D111)</f>
        <v>0</v>
      </c>
      <c r="E115" s="2194"/>
      <c r="F115" s="2876" t="str">
        <f>IF(项目基本情况!G5="抵押净值",IF(OR(项目基本情况!F5="已注销",项目基本情况!F5="房地产抵押价值"),"4.抵押净值","5.抵押净值"),"——")</f>
        <v>——</v>
      </c>
      <c r="G115" s="2877"/>
      <c r="H115" s="2290" t="str">
        <f>C119</f>
        <v>总价（元）</v>
      </c>
      <c r="I115" s="1861" t="str">
        <f>IF(F115="——","——",N60)</f>
        <v>——</v>
      </c>
    </row>
    <row r="116" spans="1:26" ht="15.75" thickBot="1">
      <c r="A116" s="2935"/>
      <c r="B116" s="2936"/>
      <c r="C116" s="2290" t="s">
        <v>1999</v>
      </c>
      <c r="D116" s="1052" t="e">
        <f>ROUND(IF(D115=D109,D110,IF(H19="元",D115/B124,D115*10000/B124)),0)</f>
        <v>#DIV/0!</v>
      </c>
      <c r="E116" s="2194"/>
      <c r="F116" s="2969"/>
      <c r="G116" s="2970"/>
      <c r="H116" s="2298" t="s">
        <v>1999</v>
      </c>
      <c r="I116" s="1863" t="str">
        <f>D120</f>
        <v>——</v>
      </c>
    </row>
    <row r="117" spans="1:26" ht="15.75">
      <c r="A117" s="2935" t="str">
        <f>IF(项目基本情况!F5="已注销及未注销","4.抵押担保权已注销时的房地产抵押价值",IF(项目基本情况!F5="已注销","3.抵押担保权已注销时的房地产抵押价值","——"))</f>
        <v>——</v>
      </c>
      <c r="B117" s="2936"/>
      <c r="C117" s="2290" t="str">
        <f>B102</f>
        <v>总价（元）</v>
      </c>
      <c r="D117" s="1051" t="str">
        <f>IF(A117="——","——",D109-D113-D114)</f>
        <v>——</v>
      </c>
      <c r="E117" s="2194"/>
      <c r="F117" s="2872"/>
      <c r="G117" s="2872"/>
      <c r="H117" s="2914"/>
      <c r="I117" s="2914"/>
      <c r="N117" s="55"/>
      <c r="O117" s="55"/>
    </row>
    <row r="118" spans="1:26" s="1844" customFormat="1" ht="15">
      <c r="A118" s="2935"/>
      <c r="B118" s="2936"/>
      <c r="C118" s="2290" t="s">
        <v>1999</v>
      </c>
      <c r="D118" s="1052" t="str">
        <f>IF(A117="——","——",IF(H19="元",ROUND(D117/B124,0),ROUND(D117*10000/B124,0)))</f>
        <v>——</v>
      </c>
      <c r="E118" s="2194"/>
      <c r="F118" s="2997" t="str">
        <f>IF(B32="总价","（以上估价结果中楼面单价为总价除以建筑面积得出）","（以上估价结果中总价为楼面单价乘以建筑面积得出）")</f>
        <v>（以上估价结果中总价为楼面单价乘以建筑面积得出）</v>
      </c>
      <c r="G118" s="2997"/>
      <c r="H118" s="2997"/>
      <c r="I118" s="2997"/>
      <c r="J118" s="798"/>
      <c r="K118" s="798"/>
      <c r="L118" s="798"/>
      <c r="M118" s="798"/>
      <c r="N118" s="55"/>
      <c r="O118" s="55"/>
      <c r="P118" s="798"/>
      <c r="Q118" s="798"/>
      <c r="R118" s="798"/>
      <c r="S118" s="798"/>
      <c r="T118" s="798"/>
      <c r="U118" s="798"/>
      <c r="V118" s="798"/>
      <c r="W118" s="798"/>
      <c r="X118" s="798"/>
      <c r="Y118" s="798"/>
      <c r="Z118" s="798"/>
    </row>
    <row r="119" spans="1:26" s="1844" customFormat="1" ht="15">
      <c r="A119" s="2935" t="str">
        <f>IF(项目基本情况!G5="抵押净值",IF(OR(项目基本情况!F5="已注销",项目基本情况!F5="房地产抵押价值"),"4.抵押净值","5.抵押净值"),"——")</f>
        <v>——</v>
      </c>
      <c r="B119" s="2936"/>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76"/>
      <c r="B120" s="2977"/>
      <c r="C120" s="2298" t="s">
        <v>1999</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15" t="s">
        <v>2000</v>
      </c>
      <c r="B121" s="2916"/>
      <c r="C121" s="2916"/>
      <c r="D121" s="2916"/>
      <c r="E121" s="2916"/>
      <c r="F121" s="2916"/>
      <c r="G121" s="2916"/>
      <c r="H121" s="2916"/>
      <c r="I121" s="2916"/>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87" t="s">
        <v>1948</v>
      </c>
      <c r="B122" s="2885" t="s">
        <v>2001</v>
      </c>
      <c r="C122" s="2885" t="s">
        <v>2002</v>
      </c>
      <c r="D122" s="2892" t="s">
        <v>1951</v>
      </c>
      <c r="E122" s="2893"/>
      <c r="F122" s="2883" t="s">
        <v>2003</v>
      </c>
      <c r="G122" s="2883"/>
      <c r="H122" s="2883" t="s">
        <v>1952</v>
      </c>
      <c r="I122" s="288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87"/>
      <c r="B123" s="2886"/>
      <c r="C123" s="2886"/>
      <c r="D123" s="1886" t="s">
        <v>1953</v>
      </c>
      <c r="E123" s="1886" t="s">
        <v>1954</v>
      </c>
      <c r="F123" s="1886" t="s">
        <v>1953</v>
      </c>
      <c r="G123" s="1886" t="s">
        <v>1955</v>
      </c>
      <c r="H123" s="1886"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87" t="s">
        <v>1956</v>
      </c>
      <c r="B125" s="2883"/>
      <c r="C125" s="2883"/>
      <c r="D125" s="2919" t="str">
        <f>IF(H19="元",NUMBERSTRING(INT(D124),2)&amp;"元整",NUMBERSTRING(INT(D124*10000),2)&amp;"元整")</f>
        <v>零元整</v>
      </c>
      <c r="E125" s="2920"/>
      <c r="F125" s="2919" t="str">
        <f>IF(H19="元",NUMBERSTRING(INT(F124),2)&amp;"元整",NUMBERSTRING(INT(F124*10000),2)&amp;"元整")</f>
        <v>零元整</v>
      </c>
      <c r="G125" s="2920"/>
      <c r="H125" s="2919" t="str">
        <f>IF(H19="元",NUMBERSTRING(INT(H124),2)&amp;"元整",NUMBERSTRING(INT(H124*10000),2)&amp;"元整")</f>
        <v>零元整</v>
      </c>
      <c r="I125" s="2984"/>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1" t="str">
        <f>IF(项目基本情况!D5="房地产市场价值","——",MID(A111,3,LEN(A111)-2))</f>
        <v>估价师所知悉的法定优先受偿款</v>
      </c>
      <c r="B126" s="2922"/>
      <c r="C126" s="2923"/>
      <c r="D126" s="2912">
        <f>I106</f>
        <v>0</v>
      </c>
      <c r="E126" s="2922"/>
      <c r="F126" s="2922"/>
      <c r="G126" s="2922"/>
      <c r="H126" s="2922"/>
      <c r="I126" s="2971"/>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4" t="s">
        <v>1956</v>
      </c>
      <c r="B127" s="2925"/>
      <c r="C127" s="2926"/>
      <c r="D127" s="2972">
        <f>H110</f>
        <v>0</v>
      </c>
      <c r="E127" s="2973"/>
      <c r="F127" s="2973"/>
      <c r="G127" s="2973"/>
      <c r="H127" s="2973"/>
      <c r="I127" s="2974"/>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10" t="str">
        <f>IF(项目基本情况!D5="房地产市场价值","——",MID(A115,3,LEN(A115)-2))</f>
        <v>房地产抵押价值</v>
      </c>
      <c r="B128" s="2911"/>
      <c r="C128" s="2911"/>
      <c r="D128" s="2912">
        <f>I111</f>
        <v>0</v>
      </c>
      <c r="E128" s="2922"/>
      <c r="F128" s="2922"/>
      <c r="G128" s="2922"/>
      <c r="H128" s="2922"/>
      <c r="I128" s="2971"/>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87" t="s">
        <v>1956</v>
      </c>
      <c r="B129" s="2883"/>
      <c r="C129" s="2883"/>
      <c r="D129" s="2972" t="e">
        <f>I112</f>
        <v>#DIV/0!</v>
      </c>
      <c r="E129" s="2973"/>
      <c r="F129" s="2973"/>
      <c r="G129" s="2973"/>
      <c r="H129" s="2973"/>
      <c r="I129" s="2974"/>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10" t="str">
        <f>IF(项目基本情况!D5="房地产市场价值","——",MID(A117,3,LEN(A117)-2))</f>
        <v/>
      </c>
      <c r="B130" s="2911"/>
      <c r="C130" s="2911"/>
      <c r="D130" s="2867" t="str">
        <f>I113</f>
        <v>——</v>
      </c>
      <c r="E130" s="2868"/>
      <c r="F130" s="2868"/>
      <c r="G130" s="2868"/>
      <c r="H130" s="2868"/>
      <c r="I130" s="2869"/>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87" t="s">
        <v>1956</v>
      </c>
      <c r="B131" s="2883"/>
      <c r="C131" s="2967"/>
      <c r="D131" s="2913" t="str">
        <f>I114</f>
        <v>——</v>
      </c>
      <c r="E131" s="2913"/>
      <c r="F131" s="2913"/>
      <c r="G131" s="2913"/>
      <c r="H131" s="2913"/>
      <c r="I131" s="2913"/>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10" t="str">
        <f>IF(项目基本情况!D5="房地产市场价值","——",MID(F115,3,LEN(F115)-2))</f>
        <v/>
      </c>
      <c r="B132" s="2911"/>
      <c r="C132" s="2912"/>
      <c r="D132" s="2975" t="str">
        <f>I115</f>
        <v>——</v>
      </c>
      <c r="E132" s="2975"/>
      <c r="F132" s="2975"/>
      <c r="G132" s="2975"/>
      <c r="H132" s="2975"/>
      <c r="I132" s="297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80" t="s">
        <v>1956</v>
      </c>
      <c r="B133" s="2981"/>
      <c r="C133" s="2981"/>
      <c r="D133" s="2985">
        <f>H117</f>
        <v>0</v>
      </c>
      <c r="E133" s="2986"/>
      <c r="F133" s="2986"/>
      <c r="G133" s="2986"/>
      <c r="H133" s="2986"/>
      <c r="I133" s="2987"/>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65" t="str">
        <f>IF(B32="总价","（以上估价结果中楼面单价为总价除以建筑面积得出）","（以上估价结果中总价为楼面单价乘以建筑面积得出）")</f>
        <v>（以上估价结果中总价为楼面单价乘以建筑面积得出）</v>
      </c>
      <c r="B135" s="2965"/>
      <c r="C135" s="2965"/>
      <c r="D135" s="2965"/>
      <c r="E135" s="2965"/>
      <c r="F135" s="2965"/>
      <c r="G135" s="2965"/>
      <c r="H135" s="2965"/>
      <c r="I135" s="296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1957</v>
      </c>
      <c r="B136" s="2300"/>
      <c r="C136" s="2301" t="s">
        <v>1958</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1959</v>
      </c>
      <c r="G142" s="2313"/>
      <c r="H142" s="2313"/>
      <c r="I142" s="2314"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1"/>
      <c r="C1" s="162"/>
      <c r="D1" s="162"/>
      <c r="E1" s="162"/>
      <c r="F1" s="162"/>
      <c r="G1" s="163"/>
    </row>
    <row r="2" spans="1:7" s="164" customFormat="1" ht="18" customHeight="1">
      <c r="A2" s="165" t="s">
        <v>2005</v>
      </c>
      <c r="B2" s="166">
        <f ca="1">IF(D2="——",IF(C2="元",C52,ROUND(C52/10000,0)),IF(C2="元",C52,ROUND(C52/10000,0))-E2)</f>
        <v>1793551</v>
      </c>
      <c r="C2" s="163" t="str">
        <f>'数据-取费表'!B3</f>
        <v>元</v>
      </c>
      <c r="D2" s="2332" t="s">
        <v>1253</v>
      </c>
      <c r="E2" s="1546" t="e">
        <f ca="1">SUMIF(INDIRECT("'"&amp;G2&amp;"'"&amp;"!A:A"),"承租人权益价值",INDIRECT("'"&amp;G2&amp;"'"&amp;"!c:c"))</f>
        <v>#REF!</v>
      </c>
      <c r="F2" s="2333" t="str">
        <f>C2</f>
        <v>元</v>
      </c>
      <c r="G2" s="1905"/>
    </row>
    <row r="3" spans="1:7" s="164" customFormat="1" ht="18" customHeight="1" thickBot="1">
      <c r="A3" s="167" t="s">
        <v>2006</v>
      </c>
      <c r="B3" s="168">
        <f ca="1">ROUND(C52/IF(B1="仅计算典型户型",'数据-取费表'!E5,'数据-取费表'!B5),0)</f>
        <v>17971</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32" t="s">
        <v>2012</v>
      </c>
      <c r="F5" s="1532" t="s">
        <v>2013</v>
      </c>
      <c r="G5" s="174"/>
    </row>
    <row r="6" spans="1:7" s="175" customFormat="1" ht="13.5" customHeight="1">
      <c r="A6" s="176" t="s">
        <v>2014</v>
      </c>
      <c r="B6" s="177" t="s">
        <v>2015</v>
      </c>
      <c r="C6" s="1531">
        <v>1000000</v>
      </c>
      <c r="D6" s="1533"/>
      <c r="E6" s="1534"/>
      <c r="F6" s="1534"/>
      <c r="G6" s="179"/>
    </row>
    <row r="7" spans="1:7" s="175" customFormat="1" ht="13.5" customHeight="1">
      <c r="A7" s="176" t="s">
        <v>2016</v>
      </c>
      <c r="B7" s="177" t="s">
        <v>2017</v>
      </c>
      <c r="C7" s="199">
        <f>ROUND(C6*F7,0)</f>
        <v>30500</v>
      </c>
      <c r="D7" s="199"/>
      <c r="E7" s="1534"/>
      <c r="F7" s="1535">
        <f>'数据-取费表'!E36+'数据-取费表'!E37</f>
        <v>3.0499999999999999E-2</v>
      </c>
      <c r="G7" s="179"/>
    </row>
    <row r="8" spans="1:7" s="180" customFormat="1">
      <c r="A8" s="176" t="s">
        <v>2018</v>
      </c>
      <c r="B8" s="177" t="s">
        <v>2019</v>
      </c>
      <c r="C8" s="199">
        <f>IF(G8="已包含在土地购买价格中","0",'数据-取费表'!E13)</f>
        <v>0</v>
      </c>
      <c r="D8" s="1536"/>
      <c r="E8" s="199"/>
      <c r="F8" s="1535"/>
      <c r="G8" s="2334"/>
    </row>
    <row r="9" spans="1:7" s="175" customFormat="1" ht="13.5" customHeight="1">
      <c r="A9" s="1304" t="s">
        <v>953</v>
      </c>
      <c r="B9" s="181" t="s">
        <v>2020</v>
      </c>
      <c r="C9" s="1537">
        <f>ROUND(D9*E9,0)</f>
        <v>15968</v>
      </c>
      <c r="D9" s="1538">
        <f>IF('数据-取费表'!B10="住宅",IF(B1="仅计算典型户型",'数据-取费表'!E5,'数据-取费表'!B5),0)</f>
        <v>99.8</v>
      </c>
      <c r="E9" s="1537">
        <f>'数据-取费表'!E11</f>
        <v>160</v>
      </c>
      <c r="F9" s="1535"/>
      <c r="G9" s="182"/>
    </row>
    <row r="10" spans="1:7" s="175" customFormat="1" ht="13.5" customHeight="1">
      <c r="A10" s="1304" t="s">
        <v>954</v>
      </c>
      <c r="B10" s="181" t="s">
        <v>2021</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2022</v>
      </c>
      <c r="C11" s="195"/>
      <c r="D11" s="199"/>
      <c r="E11" s="1534"/>
      <c r="F11" s="1534"/>
      <c r="G11" s="179"/>
    </row>
    <row r="12" spans="1:7" s="175" customFormat="1" ht="13.5" hidden="1" customHeight="1">
      <c r="A12" s="176" t="s">
        <v>5</v>
      </c>
      <c r="B12" s="177" t="s">
        <v>2023</v>
      </c>
      <c r="C12" s="195">
        <v>0</v>
      </c>
      <c r="D12" s="199"/>
      <c r="E12" s="1539"/>
      <c r="F12" s="1535">
        <v>3.0499999999999999E-2</v>
      </c>
      <c r="G12" s="179"/>
    </row>
    <row r="13" spans="1:7" s="175" customFormat="1" ht="13.5" hidden="1" customHeight="1">
      <c r="A13" s="176" t="s">
        <v>6</v>
      </c>
      <c r="B13" s="177" t="s">
        <v>2024</v>
      </c>
      <c r="C13" s="195"/>
      <c r="D13" s="199"/>
      <c r="E13" s="1534"/>
      <c r="F13" s="1534"/>
      <c r="G13" s="179"/>
    </row>
    <row r="14" spans="1:7" s="175" customFormat="1" ht="13.5" hidden="1" customHeight="1">
      <c r="A14" s="176" t="s">
        <v>7</v>
      </c>
      <c r="B14" s="177" t="s">
        <v>2019</v>
      </c>
      <c r="C14" s="195"/>
      <c r="D14" s="199"/>
      <c r="E14" s="1534"/>
      <c r="F14" s="1534"/>
      <c r="G14" s="179" t="s">
        <v>2025</v>
      </c>
    </row>
    <row r="15" spans="1:7" s="175" customFormat="1" ht="13.5" hidden="1" customHeight="1">
      <c r="A15" s="176" t="s">
        <v>8</v>
      </c>
      <c r="B15" s="177" t="s">
        <v>2026</v>
      </c>
      <c r="C15" s="199"/>
      <c r="D15" s="199"/>
      <c r="E15" s="1534"/>
      <c r="F15" s="1534"/>
      <c r="G15" s="179" t="s">
        <v>2027</v>
      </c>
    </row>
    <row r="16" spans="1:7" s="175" customFormat="1" ht="13.5" hidden="1" customHeight="1">
      <c r="A16" s="176" t="s">
        <v>9</v>
      </c>
      <c r="B16" s="177" t="s">
        <v>2019</v>
      </c>
      <c r="C16" s="199"/>
      <c r="D16" s="199"/>
      <c r="E16" s="1534"/>
      <c r="F16" s="1534"/>
      <c r="G16" s="179"/>
    </row>
    <row r="17" spans="1:7" s="175" customFormat="1" ht="13.5" hidden="1" customHeight="1">
      <c r="A17" s="176" t="s">
        <v>10</v>
      </c>
      <c r="B17" s="177" t="s">
        <v>2028</v>
      </c>
      <c r="C17" s="1540"/>
      <c r="D17" s="1540"/>
      <c r="E17" s="1540"/>
      <c r="F17" s="1540"/>
      <c r="G17" s="179" t="s">
        <v>2027</v>
      </c>
    </row>
    <row r="18" spans="1:7" s="175" customFormat="1" ht="13.5" hidden="1" customHeight="1">
      <c r="A18" s="176" t="s">
        <v>11</v>
      </c>
      <c r="B18" s="177" t="s">
        <v>2029</v>
      </c>
      <c r="C18" s="199">
        <v>0</v>
      </c>
      <c r="D18" s="199"/>
      <c r="E18" s="1534"/>
      <c r="F18" s="1535">
        <v>3.0499999999999999E-2</v>
      </c>
      <c r="G18" s="179" t="s">
        <v>2030</v>
      </c>
    </row>
    <row r="19" spans="1:7" s="180" customFormat="1" ht="13.5" customHeight="1">
      <c r="A19" s="204" t="s">
        <v>2031</v>
      </c>
      <c r="B19" s="173" t="s">
        <v>2032</v>
      </c>
      <c r="C19" s="195">
        <f>IF(G19="已包含在土地取得成本中","0",ROUND(D19*E19,0))</f>
        <v>19960</v>
      </c>
      <c r="D19" s="1541">
        <f>IF(B1="仅计算典型户型",'数据-取费表'!E5,'数据-取费表'!B5)</f>
        <v>99.8</v>
      </c>
      <c r="E19" s="195">
        <f>'数据-取费表'!E15</f>
        <v>200</v>
      </c>
      <c r="F19" s="196"/>
      <c r="G19" s="2334"/>
    </row>
    <row r="20" spans="1:7" s="175" customFormat="1" ht="13.5" customHeight="1">
      <c r="A20" s="204" t="s">
        <v>2033</v>
      </c>
      <c r="B20" s="173" t="s">
        <v>2034</v>
      </c>
      <c r="C20" s="183">
        <f>ROUND((C5+C19)*F20,0)</f>
        <v>10505</v>
      </c>
      <c r="D20" s="183"/>
      <c r="E20" s="183"/>
      <c r="F20" s="187">
        <f>'数据-取费表'!E25</f>
        <v>0.01</v>
      </c>
      <c r="G20" s="184" t="s">
        <v>2035</v>
      </c>
    </row>
    <row r="21" spans="1:7" s="175" customFormat="1" ht="13.5" customHeight="1">
      <c r="A21" s="204" t="s">
        <v>2036</v>
      </c>
      <c r="B21" s="173" t="s">
        <v>2037</v>
      </c>
      <c r="C21" s="185">
        <f>F21</f>
        <v>0.01</v>
      </c>
      <c r="D21" s="186" t="s">
        <v>2038</v>
      </c>
      <c r="E21" s="183"/>
      <c r="F21" s="187">
        <f>'数据-取费表'!E26</f>
        <v>0.01</v>
      </c>
      <c r="G21" s="184" t="s">
        <v>2039</v>
      </c>
    </row>
    <row r="22" spans="1:7" s="175" customFormat="1" ht="13.5" customHeight="1">
      <c r="A22" s="204" t="s">
        <v>2040</v>
      </c>
      <c r="B22" s="173" t="s">
        <v>2041</v>
      </c>
      <c r="C22" s="205">
        <f ca="1">ROUND(SUM(C23:C25),0)</f>
        <v>102663</v>
      </c>
      <c r="D22" s="185">
        <f ca="1">C26</f>
        <v>5.0000000000000001E-4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5">
        <f ca="1">ROUND(IF('数据-取费表'!B23&lt;=1,C5*F22*'数据-取费表'!B24,C5*(POWER((1+F22),'数据-取费表'!B24)-1)),0)</f>
        <v>100223</v>
      </c>
      <c r="D23" s="188"/>
      <c r="E23" s="188"/>
      <c r="F23" s="189"/>
      <c r="G23" s="190" t="s">
        <v>2044</v>
      </c>
    </row>
    <row r="24" spans="1:7" s="175" customFormat="1" ht="13.5" customHeight="1">
      <c r="A24" s="176" t="s">
        <v>2016</v>
      </c>
      <c r="B24" s="177" t="s">
        <v>2045</v>
      </c>
      <c r="C24" s="1455">
        <f ca="1">ROUND(IF('数据-取费表'!B23&lt;=1,C19*F22*('数据-取费表'!B20/2+'数据-取费表'!B22),C19*(POWER((1+F22),('数据-取费表'!B20/2+'数据-取费表'!B22))-1)),0)</f>
        <v>1941</v>
      </c>
      <c r="D24" s="188"/>
      <c r="E24" s="188"/>
      <c r="F24" s="189"/>
      <c r="G24" s="190" t="s">
        <v>2046</v>
      </c>
    </row>
    <row r="25" spans="1:7" s="175" customFormat="1" ht="24">
      <c r="A25" s="176" t="s">
        <v>2018</v>
      </c>
      <c r="B25" s="177" t="s">
        <v>2047</v>
      </c>
      <c r="C25" s="1455">
        <f ca="1">ROUND(IF('数据-取费表'!B23&lt;=1,C20*F22*'数据-取费表'!B24/2,C20*(POWER((1+F22),'数据-取费表'!B24/2)-1)),0)</f>
        <v>499</v>
      </c>
      <c r="D25" s="188"/>
      <c r="E25" s="191"/>
      <c r="F25" s="189"/>
      <c r="G25" s="192" t="s">
        <v>2048</v>
      </c>
    </row>
    <row r="26" spans="1:7" s="175" customFormat="1">
      <c r="A26" s="176" t="s">
        <v>2049</v>
      </c>
      <c r="B26" s="177" t="s">
        <v>2050</v>
      </c>
      <c r="C26" s="188">
        <f ca="1">ROUND(IF('数据-取费表'!B23&lt;=1,F21*F22*'数据-取费表'!B24/2,F21*(POWER((1+F22),'数据-取费表'!B24/2)-1)),4)</f>
        <v>5.0000000000000001E-4</v>
      </c>
      <c r="D26" s="188"/>
      <c r="E26" s="191"/>
      <c r="F26" s="189"/>
      <c r="G26" s="193"/>
    </row>
    <row r="27" spans="1:7" s="175" customFormat="1" ht="25.5">
      <c r="A27" s="1305" t="s">
        <v>2051</v>
      </c>
      <c r="B27" s="194" t="s">
        <v>2052</v>
      </c>
      <c r="C27" s="195">
        <f>C28</f>
        <v>212193</v>
      </c>
      <c r="D27" s="185">
        <f>C29</f>
        <v>2E-3</v>
      </c>
      <c r="E27" s="186" t="s">
        <v>2038</v>
      </c>
      <c r="F27" s="196">
        <f>'数据-取费表'!E28</f>
        <v>0.2</v>
      </c>
      <c r="G27" s="197" t="s">
        <v>2053</v>
      </c>
    </row>
    <row r="28" spans="1:7" s="175" customFormat="1" ht="13.5" customHeight="1">
      <c r="A28" s="176" t="s">
        <v>2042</v>
      </c>
      <c r="B28" s="198" t="s">
        <v>2054</v>
      </c>
      <c r="C28" s="199">
        <f>ROUND((C5+C19+C20)*F27*'数据-取费表'!B22/'数据-取费表'!B21,0)</f>
        <v>212193</v>
      </c>
      <c r="D28" s="185"/>
      <c r="E28" s="186"/>
      <c r="F28" s="196"/>
      <c r="G28" s="197"/>
    </row>
    <row r="29" spans="1:7" s="175" customFormat="1" ht="13.5" customHeight="1">
      <c r="A29" s="176" t="s">
        <v>2016</v>
      </c>
      <c r="B29" s="198" t="s">
        <v>2055</v>
      </c>
      <c r="C29" s="188">
        <f>ROUND(C21*F27*'数据-取费表'!B22/'数据-取费表'!B21,4)</f>
        <v>2E-3</v>
      </c>
      <c r="D29" s="185"/>
      <c r="E29" s="186"/>
      <c r="F29" s="196"/>
      <c r="G29" s="197"/>
    </row>
    <row r="30" spans="1:7" s="175" customFormat="1" ht="13.5" customHeight="1">
      <c r="A30" s="1305"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1472726</v>
      </c>
      <c r="D31" s="1541"/>
      <c r="E31" s="195"/>
      <c r="F31" s="1542"/>
      <c r="G31" s="184" t="s">
        <v>2060</v>
      </c>
    </row>
    <row r="32" spans="1:7" s="172" customFormat="1" ht="15.75">
      <c r="A32" s="201" t="s">
        <v>2061</v>
      </c>
      <c r="B32" s="202"/>
      <c r="C32" s="1543"/>
      <c r="D32" s="1543"/>
      <c r="E32" s="1543"/>
      <c r="F32" s="1543"/>
      <c r="G32" s="203"/>
    </row>
    <row r="33" spans="1:7" s="175" customFormat="1" ht="13.5" customHeight="1">
      <c r="A33" s="204" t="s">
        <v>2062</v>
      </c>
      <c r="B33" s="173" t="s">
        <v>2063</v>
      </c>
      <c r="C33" s="205">
        <f>SUM(C34:C38)</f>
        <v>283183</v>
      </c>
      <c r="D33" s="183"/>
      <c r="E33" s="1532"/>
      <c r="F33" s="191"/>
      <c r="G33" s="184"/>
    </row>
    <row r="34" spans="1:7" s="206" customFormat="1" ht="13.5" customHeight="1">
      <c r="A34" s="176" t="s">
        <v>2042</v>
      </c>
      <c r="B34" s="177" t="s">
        <v>2064</v>
      </c>
      <c r="C34" s="199">
        <f>IF(B1="仅计算典型户型",'数据-取费表'!F18,'数据-取费表'!E18)</f>
        <v>249500</v>
      </c>
      <c r="D34" s="1533"/>
      <c r="E34" s="199"/>
      <c r="F34" s="1544" t="str">
        <f>IF('数据-取费表'!B25=0,"",'数据-取费表'!E20)</f>
        <v/>
      </c>
      <c r="G34" s="179"/>
    </row>
    <row r="35" spans="1:7" ht="13.5" customHeight="1">
      <c r="A35" s="176" t="s">
        <v>2016</v>
      </c>
      <c r="B35" s="177" t="s">
        <v>2065</v>
      </c>
      <c r="C35" s="199">
        <f>ROUND(C34*F35,0)</f>
        <v>4990</v>
      </c>
      <c r="D35" s="199"/>
      <c r="E35" s="199"/>
      <c r="F35" s="1545">
        <f>'数据-取费表'!E21</f>
        <v>0.02</v>
      </c>
      <c r="G35" s="179" t="s">
        <v>2066</v>
      </c>
    </row>
    <row r="36" spans="1:7" ht="24">
      <c r="A36" s="176" t="s">
        <v>2018</v>
      </c>
      <c r="B36" s="177" t="s">
        <v>2067</v>
      </c>
      <c r="C36" s="199">
        <f>ROUND(IF('数据-取费表'!B10="住宅",C34*F36,0),0)</f>
        <v>4990</v>
      </c>
      <c r="D36" s="199"/>
      <c r="E36" s="199"/>
      <c r="F36" s="1545">
        <f>'数据-取费表'!E22</f>
        <v>0.02</v>
      </c>
      <c r="G36" s="207" t="s">
        <v>2068</v>
      </c>
    </row>
    <row r="37" spans="1:7" s="206" customFormat="1" ht="13.5" customHeight="1">
      <c r="A37" s="176" t="s">
        <v>2049</v>
      </c>
      <c r="B37" s="177" t="s">
        <v>2069</v>
      </c>
      <c r="C37" s="199">
        <f>ROUND(E37*D37,0)</f>
        <v>19960</v>
      </c>
      <c r="D37" s="1533">
        <f>IF(B1="仅计算典型户型",'数据-取费表'!E5,'数据-取费表'!B5)</f>
        <v>99.8</v>
      </c>
      <c r="E37" s="199">
        <f>'数据-取费表'!E23</f>
        <v>200</v>
      </c>
      <c r="F37" s="1545"/>
      <c r="G37" s="208" t="s">
        <v>2070</v>
      </c>
    </row>
    <row r="38" spans="1:7" ht="13.5" customHeight="1">
      <c r="A38" s="176" t="s">
        <v>2071</v>
      </c>
      <c r="B38" s="177" t="s">
        <v>2072</v>
      </c>
      <c r="C38" s="199">
        <f>ROUND(C34*F38,0)</f>
        <v>3743</v>
      </c>
      <c r="D38" s="199"/>
      <c r="E38" s="199"/>
      <c r="F38" s="1545">
        <f>'数据-取费表'!E24</f>
        <v>1.4999999999999999E-2</v>
      </c>
      <c r="G38" s="179" t="s">
        <v>2066</v>
      </c>
    </row>
    <row r="39" spans="1:7" s="175" customFormat="1" ht="13.5" customHeight="1">
      <c r="A39" s="204" t="s">
        <v>2031</v>
      </c>
      <c r="B39" s="173" t="s">
        <v>2034</v>
      </c>
      <c r="C39" s="183">
        <f>ROUND(C33*F20,0)</f>
        <v>2832</v>
      </c>
      <c r="D39" s="183"/>
      <c r="E39" s="183"/>
      <c r="F39" s="187"/>
      <c r="G39" s="184" t="s">
        <v>2073</v>
      </c>
    </row>
    <row r="40" spans="1:7" s="175" customFormat="1" ht="13.5" customHeight="1">
      <c r="A40" s="204" t="s">
        <v>2033</v>
      </c>
      <c r="B40" s="173" t="s">
        <v>2037</v>
      </c>
      <c r="C40" s="1818">
        <f>F21</f>
        <v>0.01</v>
      </c>
      <c r="D40" s="186" t="s">
        <v>2074</v>
      </c>
      <c r="E40" s="183"/>
      <c r="F40" s="187"/>
      <c r="G40" s="184" t="s">
        <v>2075</v>
      </c>
    </row>
    <row r="41" spans="1:7" s="175" customFormat="1" ht="13.5" customHeight="1">
      <c r="A41" s="204" t="s">
        <v>2036</v>
      </c>
      <c r="B41" s="173" t="s">
        <v>2041</v>
      </c>
      <c r="C41" s="183">
        <f ca="1">ROUND(SUM(C42:C43),0)</f>
        <v>13586</v>
      </c>
      <c r="D41" s="185">
        <f ca="1">C44</f>
        <v>5.0000000000000001E-4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13451</v>
      </c>
      <c r="D42" s="188"/>
      <c r="E42" s="188"/>
      <c r="F42" s="189"/>
      <c r="G42" s="3000" t="s">
        <v>2076</v>
      </c>
    </row>
    <row r="43" spans="1:7" ht="13.5" customHeight="1">
      <c r="A43" s="176" t="s">
        <v>2016</v>
      </c>
      <c r="B43" s="177" t="s">
        <v>2045</v>
      </c>
      <c r="C43" s="188">
        <f ca="1">ROUND(IF('数据-取费表'!B23&lt;=1,C39*F22*'数据-取费表'!B22/2,C39*(POWER((1+F22),'数据-取费表'!B22/2)-1)),0)</f>
        <v>135</v>
      </c>
      <c r="D43" s="188"/>
      <c r="E43" s="188"/>
      <c r="F43" s="189"/>
      <c r="G43" s="3001"/>
    </row>
    <row r="44" spans="1:7" ht="13.5" customHeight="1">
      <c r="A44" s="176" t="s">
        <v>2018</v>
      </c>
      <c r="B44" s="177" t="s">
        <v>2047</v>
      </c>
      <c r="C44" s="188">
        <f ca="1">ROUND(IF('数据-取费表'!B23&lt;=1,C40*F22*'数据-取费表'!B22/2,C40*(POWER((1+F22),'数据-取费表'!B22/2)-1)),4)</f>
        <v>5.0000000000000001E-4</v>
      </c>
      <c r="D44" s="188"/>
      <c r="E44" s="188"/>
      <c r="F44" s="189"/>
      <c r="G44" s="3002"/>
    </row>
    <row r="45" spans="1:7" s="175" customFormat="1" ht="13.5" customHeight="1">
      <c r="A45" s="204" t="s">
        <v>2040</v>
      </c>
      <c r="B45" s="194" t="s">
        <v>2052</v>
      </c>
      <c r="C45" s="195">
        <f>C46</f>
        <v>57203</v>
      </c>
      <c r="D45" s="185">
        <f>C47</f>
        <v>2E-3</v>
      </c>
      <c r="E45" s="186" t="s">
        <v>2074</v>
      </c>
      <c r="F45" s="196"/>
      <c r="G45" s="197" t="s">
        <v>2077</v>
      </c>
    </row>
    <row r="46" spans="1:7" s="175" customFormat="1" ht="13.5" customHeight="1">
      <c r="A46" s="176" t="s">
        <v>2042</v>
      </c>
      <c r="B46" s="198" t="s">
        <v>2078</v>
      </c>
      <c r="C46" s="199">
        <f>ROUND((C33+C39)*F27,0)</f>
        <v>57203</v>
      </c>
      <c r="D46" s="209"/>
      <c r="E46" s="186"/>
      <c r="F46" s="196"/>
      <c r="G46" s="197"/>
    </row>
    <row r="47" spans="1:7" s="175" customFormat="1" ht="13.5" customHeight="1">
      <c r="A47" s="176" t="s">
        <v>2016</v>
      </c>
      <c r="B47" s="198" t="s">
        <v>2079</v>
      </c>
      <c r="C47" s="188">
        <f>ROUND(C40*F27,4)</f>
        <v>2E-3</v>
      </c>
      <c r="D47" s="209"/>
      <c r="E47" s="186"/>
      <c r="F47" s="196"/>
      <c r="G47" s="197"/>
    </row>
    <row r="48" spans="1:7" s="175" customFormat="1" ht="13.5" customHeight="1">
      <c r="A48" s="1305" t="s">
        <v>2051</v>
      </c>
      <c r="B48" s="173" t="s">
        <v>2080</v>
      </c>
      <c r="C48" s="1818">
        <f>ROUND(F30/(1+'数据-取费表'!F30),4)</f>
        <v>5.33E-2</v>
      </c>
      <c r="D48" s="186" t="s">
        <v>2074</v>
      </c>
      <c r="E48" s="183"/>
      <c r="F48" s="187"/>
      <c r="G48" s="184" t="s">
        <v>2081</v>
      </c>
    </row>
    <row r="49" spans="1:7" ht="16.5" customHeight="1">
      <c r="A49" s="1305" t="s">
        <v>2082</v>
      </c>
      <c r="B49" s="173" t="s">
        <v>2083</v>
      </c>
      <c r="C49" s="183">
        <f ca="1">ROUND((C33+C39+C41+C45)/(1-C40-D41-D45-C48),0)</f>
        <v>381935</v>
      </c>
      <c r="D49" s="183"/>
      <c r="E49" s="183"/>
      <c r="F49" s="210"/>
      <c r="G49" s="184" t="s">
        <v>2084</v>
      </c>
    </row>
    <row r="50" spans="1:7" s="206" customFormat="1" ht="24">
      <c r="A50" s="1305" t="s">
        <v>2085</v>
      </c>
      <c r="B50" s="173" t="s">
        <v>2086</v>
      </c>
      <c r="C50" s="183"/>
      <c r="D50" s="183"/>
      <c r="E50" s="183"/>
      <c r="F50" s="210">
        <f>IF('数据-取费表'!B25=0,'数据-取费表'!E20,1)</f>
        <v>0.84</v>
      </c>
      <c r="G50" s="197" t="s">
        <v>2087</v>
      </c>
    </row>
    <row r="51" spans="1:7" ht="16.5" customHeight="1">
      <c r="A51" s="1305" t="s">
        <v>2088</v>
      </c>
      <c r="B51" s="173" t="s">
        <v>2089</v>
      </c>
      <c r="C51" s="183">
        <f ca="1">ROUND(C49*F50,0)</f>
        <v>320825</v>
      </c>
      <c r="D51" s="183"/>
      <c r="E51" s="183"/>
      <c r="F51" s="210"/>
      <c r="G51" s="184" t="s">
        <v>2090</v>
      </c>
    </row>
    <row r="52" spans="1:7" s="172" customFormat="1" ht="16.5" thickBot="1">
      <c r="A52" s="211" t="s">
        <v>2091</v>
      </c>
      <c r="B52" s="212"/>
      <c r="C52" s="213">
        <f ca="1">C31+C51</f>
        <v>1793551</v>
      </c>
      <c r="D52" s="212"/>
      <c r="E52" s="212"/>
      <c r="F52" s="212"/>
      <c r="G52" s="214"/>
    </row>
    <row r="55" spans="1:7" ht="15">
      <c r="B55" s="216" t="s">
        <v>2092</v>
      </c>
      <c r="C55" s="217"/>
    </row>
    <row r="56" spans="1:7">
      <c r="B56" s="219" t="s">
        <v>2093</v>
      </c>
      <c r="C56" s="220">
        <f ca="1">ROUND(C51/C52,3)</f>
        <v>0.17899999999999999</v>
      </c>
    </row>
    <row r="57" spans="1:7">
      <c r="B57" s="219" t="s">
        <v>2094</v>
      </c>
      <c r="C57" s="221">
        <f ca="1">1-C56</f>
        <v>0.82099999999999995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8"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8"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0.16000000000000003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0.02</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0.02</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0.01</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28" zoomScale="90" zoomScaleNormal="90" zoomScaleSheetLayoutView="100" workbookViewId="0">
      <selection activeCell="D37" sqref="D3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3" t="s">
        <v>2843</v>
      </c>
      <c r="E1" s="2704" t="s">
        <v>1253</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4058359</v>
      </c>
      <c r="C2" s="2335" t="str">
        <f>'数据-取费表'!B3</f>
        <v>元</v>
      </c>
      <c r="D2" s="1214"/>
      <c r="E2" s="1215"/>
      <c r="F2" s="1215"/>
      <c r="G2" s="1240"/>
      <c r="H2" s="729"/>
      <c r="I2" s="1216"/>
      <c r="J2" s="1216"/>
      <c r="K2" s="1217"/>
      <c r="L2" s="1216"/>
      <c r="M2" s="1216"/>
    </row>
    <row r="3" spans="1:37" ht="18" customHeight="1" thickBot="1">
      <c r="A3" s="310" t="s">
        <v>2006</v>
      </c>
      <c r="B3" s="766">
        <f ca="1">ROUND(IF('数据-取费表'!B28="租赁期内按合同租金",(C40+L47+J29)/F43,(C40+L47)/F43),0)</f>
        <v>40665</v>
      </c>
      <c r="C3" s="2335" t="s">
        <v>2096</v>
      </c>
      <c r="D3" s="1214"/>
      <c r="E3" s="1215"/>
      <c r="F3" s="1215"/>
      <c r="G3" s="1240"/>
      <c r="H3" s="311" t="s">
        <v>2097</v>
      </c>
      <c r="I3" s="1216"/>
      <c r="J3" s="1216"/>
      <c r="K3" s="1217"/>
      <c r="L3" s="1216"/>
      <c r="M3" s="1216"/>
    </row>
    <row r="4" spans="1:37" ht="18" customHeight="1">
      <c r="A4" s="312" t="s">
        <v>2098</v>
      </c>
      <c r="B4" s="313" t="s">
        <v>2099</v>
      </c>
      <c r="C4" s="313" t="s">
        <v>2100</v>
      </c>
      <c r="D4" s="313" t="s">
        <v>2101</v>
      </c>
      <c r="E4" s="314" t="s">
        <v>2102</v>
      </c>
      <c r="F4" s="315"/>
      <c r="G4" s="1238"/>
      <c r="H4" s="312" t="s">
        <v>2098</v>
      </c>
      <c r="I4" s="313" t="s">
        <v>2099</v>
      </c>
      <c r="J4" s="313" t="s">
        <v>2100</v>
      </c>
      <c r="K4" s="313" t="s">
        <v>2101</v>
      </c>
      <c r="L4" s="314" t="s">
        <v>2102</v>
      </c>
      <c r="M4" s="315"/>
    </row>
    <row r="5" spans="1:37" ht="18" customHeight="1">
      <c r="A5" s="316">
        <v>1</v>
      </c>
      <c r="B5" s="317" t="s">
        <v>2103</v>
      </c>
      <c r="C5" s="318">
        <f ca="1">C6+C10+C12</f>
        <v>80099</v>
      </c>
      <c r="D5" s="2336" t="s">
        <v>2104</v>
      </c>
      <c r="E5" s="1214"/>
      <c r="F5" s="1383"/>
      <c r="G5" s="1238"/>
      <c r="H5" s="316">
        <v>1</v>
      </c>
      <c r="I5" s="317" t="s">
        <v>2103</v>
      </c>
      <c r="J5" s="318">
        <f ca="1">J6+J10+J12</f>
        <v>0</v>
      </c>
      <c r="K5" s="2336" t="s">
        <v>2104</v>
      </c>
      <c r="L5" s="1214"/>
      <c r="M5" s="1383"/>
    </row>
    <row r="6" spans="1:37" ht="18" customHeight="1">
      <c r="A6" s="1384" t="s">
        <v>2105</v>
      </c>
      <c r="B6" s="2024" t="s">
        <v>2106</v>
      </c>
      <c r="C6" s="318">
        <f>ROUND(F6*F8*F7*(1-F9),0)</f>
        <v>79800</v>
      </c>
      <c r="D6" s="80" t="s">
        <v>2801</v>
      </c>
      <c r="E6" s="319" t="s">
        <v>2107</v>
      </c>
      <c r="F6" s="320">
        <f>'数据-取费表'!B29</f>
        <v>7000</v>
      </c>
      <c r="G6" s="1238"/>
      <c r="H6" s="1384" t="s">
        <v>2105</v>
      </c>
      <c r="I6" s="2024" t="s">
        <v>2106</v>
      </c>
      <c r="J6" s="318">
        <f>ROUND(M6*M8*M7*(1-M9),0)</f>
        <v>0</v>
      </c>
      <c r="K6" s="80" t="s">
        <v>2801</v>
      </c>
      <c r="L6" s="319" t="s">
        <v>2107</v>
      </c>
      <c r="M6" s="320">
        <f>'数据-取费表'!B36</f>
        <v>0</v>
      </c>
    </row>
    <row r="7" spans="1:37" ht="18" customHeight="1">
      <c r="A7" s="1447"/>
      <c r="B7" s="322"/>
      <c r="C7" s="323"/>
      <c r="D7" s="324"/>
      <c r="E7" s="319" t="s">
        <v>2108</v>
      </c>
      <c r="F7" s="320">
        <f>IF('数据-取费表'!B41="",IF(D1="仅计算典型户型",'数据-取费表'!E5,'数据-取费表'!B5),'数据-取费表'!B41)</f>
        <v>1</v>
      </c>
      <c r="G7" s="1238"/>
      <c r="H7" s="321"/>
      <c r="I7" s="322"/>
      <c r="J7" s="323"/>
      <c r="K7" s="324"/>
      <c r="L7" s="319" t="s">
        <v>2108</v>
      </c>
      <c r="M7" s="320">
        <f>IF('数据-取费表'!B41="",IF(D1="仅计算典型户型",'数据-取费表'!E5,'数据-取费表'!B5),'数据-取费表'!B41)</f>
        <v>1</v>
      </c>
    </row>
    <row r="8" spans="1:37" ht="18" customHeight="1">
      <c r="A8" s="1447"/>
      <c r="B8" s="322"/>
      <c r="C8" s="323"/>
      <c r="D8" s="324"/>
      <c r="E8" s="319" t="s">
        <v>2109</v>
      </c>
      <c r="F8" s="320">
        <f>'数据-取费表'!B42</f>
        <v>12</v>
      </c>
      <c r="G8" s="1238"/>
      <c r="H8" s="321"/>
      <c r="I8" s="322"/>
      <c r="J8" s="323"/>
      <c r="K8" s="324"/>
      <c r="L8" s="319" t="s">
        <v>2110</v>
      </c>
      <c r="M8" s="320">
        <f>'数据-取费表'!B42</f>
        <v>12</v>
      </c>
    </row>
    <row r="9" spans="1:37" ht="18" customHeight="1">
      <c r="A9" s="1447"/>
      <c r="B9" s="322"/>
      <c r="C9" s="323"/>
      <c r="D9" s="328"/>
      <c r="E9" s="319" t="s">
        <v>2111</v>
      </c>
      <c r="F9" s="329">
        <f>'数据-取费表'!B32</f>
        <v>0.05</v>
      </c>
      <c r="G9" s="1238"/>
      <c r="H9" s="321"/>
      <c r="I9" s="322"/>
      <c r="J9" s="1386"/>
      <c r="K9" s="95"/>
      <c r="L9" s="330" t="s">
        <v>2111</v>
      </c>
      <c r="M9" s="329">
        <f>'数据-取费表'!B38</f>
        <v>0</v>
      </c>
    </row>
    <row r="10" spans="1:37" ht="18" customHeight="1">
      <c r="A10" s="1384" t="s">
        <v>2112</v>
      </c>
      <c r="B10" s="2337" t="s">
        <v>2113</v>
      </c>
      <c r="C10" s="1385">
        <f ca="1">ROUND(IF(F10="押一",C6/12*F11,IF(F10="押二",C6/12*2*F11,IF(F10="押三",C6/12*3*F11,C11*F11))),0)</f>
        <v>299</v>
      </c>
      <c r="D10" s="2338" t="s">
        <v>2809</v>
      </c>
      <c r="E10" s="330" t="s">
        <v>2114</v>
      </c>
      <c r="F10" s="2339" t="s">
        <v>2847</v>
      </c>
      <c r="G10" s="1238"/>
      <c r="H10" s="1384" t="s">
        <v>2112</v>
      </c>
      <c r="I10" s="2337" t="s">
        <v>2113</v>
      </c>
      <c r="J10" s="1385">
        <f ca="1">ROUND(IF(M10="押一",J6/12*M11,IF(M10="押二",J6/12*2*M11,IF(M10="押三",J6/12*3*M11,J11*M11))),0)</f>
        <v>0</v>
      </c>
      <c r="K10" s="80" t="s">
        <v>2809</v>
      </c>
      <c r="L10" s="330" t="s">
        <v>2114</v>
      </c>
      <c r="M10" s="2339"/>
    </row>
    <row r="11" spans="1:37" s="341" customFormat="1" ht="18" customHeight="1">
      <c r="A11" s="348"/>
      <c r="B11" s="2340" t="s">
        <v>2115</v>
      </c>
      <c r="C11" s="1418"/>
      <c r="D11" s="324"/>
      <c r="E11" s="330" t="s">
        <v>2116</v>
      </c>
      <c r="F11" s="331">
        <f ca="1">'数据-取费表'!B30</f>
        <v>1.4999999999999999E-2</v>
      </c>
      <c r="G11" s="1239"/>
      <c r="H11" s="325"/>
      <c r="I11" s="2340" t="s">
        <v>2117</v>
      </c>
      <c r="J11" s="1418"/>
      <c r="K11" s="324"/>
      <c r="L11" s="330" t="s">
        <v>2116</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2118</v>
      </c>
      <c r="B12" s="2341" t="s">
        <v>2119</v>
      </c>
      <c r="C12" s="1425"/>
      <c r="D12" s="2342"/>
      <c r="E12" s="1431"/>
      <c r="F12" s="1426"/>
      <c r="G12" s="1238"/>
      <c r="H12" s="1424" t="s">
        <v>2118</v>
      </c>
      <c r="I12" s="2341" t="s">
        <v>2119</v>
      </c>
      <c r="J12" s="1425"/>
      <c r="K12" s="1441"/>
      <c r="L12" s="1431"/>
      <c r="M12" s="1442"/>
    </row>
    <row r="13" spans="1:37" s="341" customFormat="1" ht="18" customHeight="1" thickTop="1">
      <c r="A13" s="1420">
        <v>2</v>
      </c>
      <c r="B13" s="1421" t="s">
        <v>2120</v>
      </c>
      <c r="C13" s="327">
        <f ca="1">ROUND(C29*F13,0)</f>
        <v>320825</v>
      </c>
      <c r="D13" s="1422" t="s">
        <v>2121</v>
      </c>
      <c r="E13" s="1422" t="s">
        <v>2122</v>
      </c>
      <c r="F13" s="1423">
        <f>'数据-取费表'!E20</f>
        <v>0.84</v>
      </c>
      <c r="G13" s="1239"/>
      <c r="H13" s="1420">
        <v>2</v>
      </c>
      <c r="I13" s="1421" t="s">
        <v>2120</v>
      </c>
      <c r="J13" s="1386">
        <f ca="1">ROUND(J14*J15,0)</f>
        <v>0</v>
      </c>
      <c r="K13" s="1427" t="s">
        <v>2121</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249500</v>
      </c>
      <c r="D14" s="1887" t="s">
        <v>2125</v>
      </c>
      <c r="E14" s="1888"/>
      <c r="F14" s="979"/>
      <c r="G14" s="1239"/>
      <c r="H14" s="337" t="s">
        <v>2105</v>
      </c>
      <c r="I14" s="319" t="s">
        <v>2126</v>
      </c>
      <c r="J14" s="14">
        <f ca="1">C29</f>
        <v>381935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4990</v>
      </c>
      <c r="D15" s="339" t="s">
        <v>2129</v>
      </c>
      <c r="E15" s="339" t="s">
        <v>2130</v>
      </c>
      <c r="F15" s="340">
        <f>'数据-取费表'!E21</f>
        <v>0.02</v>
      </c>
      <c r="G15" s="1238"/>
      <c r="H15" s="1430" t="s">
        <v>2131</v>
      </c>
      <c r="I15" s="1431" t="s">
        <v>2132</v>
      </c>
      <c r="J15" s="1443">
        <f>'数据-取费表'!B39</f>
        <v>0</v>
      </c>
      <c r="K15" s="1444"/>
      <c r="L15" s="1445"/>
      <c r="M15" s="1446"/>
    </row>
    <row r="16" spans="1:37" s="341" customFormat="1" ht="18" customHeight="1" thickTop="1">
      <c r="A16" s="337" t="s">
        <v>2133</v>
      </c>
      <c r="B16" s="319" t="s">
        <v>2134</v>
      </c>
      <c r="C16" s="14">
        <f>ROUND(C14*F16,0)</f>
        <v>4990</v>
      </c>
      <c r="D16" s="319" t="s">
        <v>2129</v>
      </c>
      <c r="E16" s="319" t="s">
        <v>2130</v>
      </c>
      <c r="F16" s="342">
        <f>IF('数据-取费表'!B10="住宅",'数据-取费表'!E22,0)</f>
        <v>0.02</v>
      </c>
      <c r="G16" s="1239"/>
      <c r="H16" s="1420" t="s">
        <v>14</v>
      </c>
      <c r="I16" s="1421" t="s">
        <v>2135</v>
      </c>
      <c r="J16" s="327">
        <f ca="1">ROUND(J17+J22+J23+J24,0)</f>
        <v>3819</v>
      </c>
      <c r="K16" s="1427" t="s">
        <v>2136</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19960</v>
      </c>
      <c r="D17" s="319" t="s">
        <v>2139</v>
      </c>
      <c r="E17" s="319" t="s">
        <v>2140</v>
      </c>
      <c r="F17" s="16">
        <f>'数据-取费表'!E23</f>
        <v>200</v>
      </c>
      <c r="G17" s="1239"/>
      <c r="H17" s="337" t="s">
        <v>2141</v>
      </c>
      <c r="I17" s="319" t="s">
        <v>2142</v>
      </c>
      <c r="J17" s="14">
        <f ca="1">ROUND(IF(项目基本情况!B7="自然人",J5*M17,J18+J19+J20),0)</f>
        <v>0</v>
      </c>
      <c r="K17" s="1887" t="s">
        <v>2143</v>
      </c>
      <c r="L17" s="1892" t="s">
        <v>2144</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3743</v>
      </c>
      <c r="D18" s="319" t="s">
        <v>2129</v>
      </c>
      <c r="E18" s="319" t="s">
        <v>2130</v>
      </c>
      <c r="F18" s="342">
        <f>'数据-取费表'!E24</f>
        <v>1.4999999999999999E-2</v>
      </c>
      <c r="G18" s="1238"/>
      <c r="H18" s="337" t="s">
        <v>2147</v>
      </c>
      <c r="I18" s="319" t="s">
        <v>2148</v>
      </c>
      <c r="J18" s="14" t="str">
        <f>IF(项目基本情况!B7="自然人","——",ROUND(J5*M18/(1+'数据-取费表'!F30),0))</f>
        <v>——</v>
      </c>
      <c r="K18" s="1892" t="s">
        <v>2149</v>
      </c>
      <c r="L18" s="319" t="s">
        <v>2130</v>
      </c>
      <c r="M18" s="342">
        <f>'数据-取费表'!E29</f>
        <v>5.6000000000000001E-2</v>
      </c>
    </row>
    <row r="19" spans="1:37" s="341" customFormat="1" ht="18" customHeight="1">
      <c r="A19" s="337" t="s">
        <v>2141</v>
      </c>
      <c r="B19" s="319" t="s">
        <v>2150</v>
      </c>
      <c r="C19" s="14">
        <f>SUM(C14:C18)</f>
        <v>283183</v>
      </c>
      <c r="D19" s="56" t="s">
        <v>2151</v>
      </c>
      <c r="E19" s="1897"/>
      <c r="F19" s="16"/>
      <c r="G19" s="1239"/>
      <c r="H19" s="337" t="s">
        <v>2127</v>
      </c>
      <c r="I19" s="319" t="s">
        <v>2152</v>
      </c>
      <c r="J19" s="14" t="str">
        <f>IF(项目基本情况!B7="自然人","——",IF(K19="按租金收入计税",ROUND(J5*M19,1),ROUND(C29*M19*0.7,1)))</f>
        <v>——</v>
      </c>
      <c r="K19" s="2013" t="s">
        <v>2153</v>
      </c>
      <c r="L19" s="319" t="s">
        <v>2130</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2832</v>
      </c>
      <c r="D20" s="344" t="s">
        <v>2155</v>
      </c>
      <c r="E20" s="319" t="s">
        <v>2156</v>
      </c>
      <c r="F20" s="342">
        <f>'数据-取费表'!E25</f>
        <v>0.01</v>
      </c>
      <c r="G20" s="1239"/>
      <c r="H20" s="337" t="s">
        <v>2133</v>
      </c>
      <c r="I20" s="80" t="s">
        <v>2157</v>
      </c>
      <c r="J20" s="15" t="str">
        <f>IF(项目基本情况!B7="自然人","——",ROUND(M20*M21,0))</f>
        <v>——</v>
      </c>
      <c r="K20" s="346" t="s">
        <v>2158</v>
      </c>
      <c r="L20" s="319" t="s">
        <v>2159</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0.01</v>
      </c>
      <c r="D21" s="344" t="s">
        <v>2162</v>
      </c>
      <c r="E21" s="319" t="s">
        <v>2163</v>
      </c>
      <c r="F21" s="342">
        <f>'数据-取费表'!E26</f>
        <v>0.01</v>
      </c>
      <c r="G21" s="1238"/>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7"/>
      <c r="F22" s="16"/>
      <c r="G22" s="1238"/>
      <c r="H22" s="337" t="s">
        <v>2131</v>
      </c>
      <c r="I22" s="319" t="s">
        <v>2167</v>
      </c>
      <c r="J22" s="14">
        <f ca="1">ROUND(J14*M22,0)</f>
        <v>3819</v>
      </c>
      <c r="K22" s="1892" t="s">
        <v>2168</v>
      </c>
      <c r="L22" s="319" t="s">
        <v>2130</v>
      </c>
      <c r="M22" s="350">
        <f>'数据-取费表'!B44</f>
        <v>0.01</v>
      </c>
    </row>
    <row r="23" spans="1:37" ht="18" customHeight="1">
      <c r="A23" s="337" t="s">
        <v>2147</v>
      </c>
      <c r="B23" s="319" t="s">
        <v>2169</v>
      </c>
      <c r="C23" s="14">
        <f ca="1">IF('数据-取费表'!B23&lt;=1,ROUND(C19*F24*F23/2,0)+ROUND(C20*F24*F23/2,0),ROUND(C19*(POWER((1+F24),F23/2)-1),0)+ROUND(C20*(POWER((1+F24),F23/2)-1),0))</f>
        <v>13586</v>
      </c>
      <c r="D23" s="2007" t="str">
        <f>IF(F23&lt;=1,"(建造成本+管理费用)×利率×(建设周期÷2)","(建造成本+管理费用)×((1+利率)^(建设周期÷2)-1)")</f>
        <v>(建造成本+管理费用)×((1+利率)^(建设周期÷2)-1)</v>
      </c>
      <c r="E23" s="319" t="s">
        <v>2170</v>
      </c>
      <c r="F23" s="347">
        <f>'数据-取费表'!B21</f>
        <v>2</v>
      </c>
      <c r="G23" s="1238"/>
      <c r="H23" s="337" t="s">
        <v>2160</v>
      </c>
      <c r="I23" s="319" t="s">
        <v>2171</v>
      </c>
      <c r="J23" s="14">
        <f ca="1">ROUND(J13*M23,0)</f>
        <v>0</v>
      </c>
      <c r="K23" s="1892" t="s">
        <v>2172</v>
      </c>
      <c r="L23" s="319" t="s">
        <v>2173</v>
      </c>
      <c r="M23" s="351">
        <f>'数据-取费表'!B45</f>
        <v>1E-3</v>
      </c>
    </row>
    <row r="24" spans="1:37" s="341" customFormat="1" ht="18" customHeight="1" thickBot="1">
      <c r="A24" s="337" t="s">
        <v>2174</v>
      </c>
      <c r="B24" s="319" t="s">
        <v>2175</v>
      </c>
      <c r="C24" s="14">
        <f ca="1">ROUND(IF('数据-取费表'!B23&lt;=1,F21*F24*F23/2,F21*(POWER((1+F24),F23/2)-1)),4)</f>
        <v>5.0000000000000001E-4</v>
      </c>
      <c r="D24" s="2007" t="str">
        <f>IF(F23&lt;=1,"销售费用×利率×(建设周期÷2)","销售费用×((1+利率)^(建设周期÷2)-1)")</f>
        <v>销售费用×((1+利率)^(建设周期÷2)-1)</v>
      </c>
      <c r="E24" s="319" t="s">
        <v>2176</v>
      </c>
      <c r="F24" s="352">
        <f ca="1">'数据-取费表'!E27</f>
        <v>4.7500000000000001E-2</v>
      </c>
      <c r="G24" s="1239"/>
      <c r="H24" s="1430" t="s">
        <v>2165</v>
      </c>
      <c r="I24" s="1431" t="s">
        <v>2154</v>
      </c>
      <c r="J24" s="1432">
        <f ca="1">ROUND(J5*M24,0)</f>
        <v>0</v>
      </c>
      <c r="K24" s="1433" t="s">
        <v>2177</v>
      </c>
      <c r="L24" s="1431" t="s">
        <v>2173</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7"/>
      <c r="F25" s="16"/>
      <c r="G25" s="1239"/>
      <c r="H25" s="1420" t="s">
        <v>22</v>
      </c>
      <c r="I25" s="1435" t="s">
        <v>2181</v>
      </c>
      <c r="J25" s="327">
        <f ca="1">J5-J16</f>
        <v>-3819</v>
      </c>
      <c r="K25" s="1436" t="s">
        <v>2182</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57203</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4.4999999999999998E-2</v>
      </c>
    </row>
    <row r="27" spans="1:37" ht="18" customHeight="1">
      <c r="A27" s="337" t="s">
        <v>2189</v>
      </c>
      <c r="B27" s="319" t="s">
        <v>2190</v>
      </c>
      <c r="C27" s="14">
        <f>ROUND(F21*F26,4)</f>
        <v>2E-3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30" t="s">
        <v>2198</v>
      </c>
      <c r="B29" s="1431" t="s">
        <v>2199</v>
      </c>
      <c r="C29" s="1432">
        <f ca="1">ROUND((C19+C20+C23+C26)/(1-F21-C24-C27-C28),0)</f>
        <v>381935</v>
      </c>
      <c r="D29" s="1433"/>
      <c r="E29" s="1431"/>
      <c r="F29" s="1434"/>
      <c r="G29" s="791"/>
      <c r="H29" s="356" t="s">
        <v>24</v>
      </c>
      <c r="I29" s="357" t="s">
        <v>2200</v>
      </c>
      <c r="J29" s="358">
        <f ca="1">ROUND(J26/(1+F40)^F41,0)</f>
        <v>0</v>
      </c>
      <c r="K29" s="359" t="s">
        <v>2201</v>
      </c>
      <c r="L29" s="360"/>
      <c r="M29" s="361">
        <f>IF(D1="仅计算典型户型",'数据-取费表'!E5,'数据-取费表'!B5)</f>
        <v>99.8</v>
      </c>
    </row>
    <row r="30" spans="1:37" ht="18" customHeight="1" thickTop="1">
      <c r="A30" s="1420" t="s">
        <v>14</v>
      </c>
      <c r="B30" s="1421" t="s">
        <v>2202</v>
      </c>
      <c r="C30" s="327">
        <f ca="1">ROUND(C31+C36+C37+C38,0)</f>
        <v>8946</v>
      </c>
      <c r="D30" s="1427" t="s">
        <v>2203</v>
      </c>
      <c r="E30" s="1428"/>
      <c r="F30" s="1429"/>
      <c r="G30" s="791"/>
      <c r="H30" s="1218"/>
      <c r="I30" s="1219"/>
      <c r="J30" s="1220"/>
      <c r="K30" s="1221"/>
      <c r="L30" s="1222"/>
      <c r="M30" s="1223"/>
    </row>
    <row r="31" spans="1:37" ht="18" customHeight="1">
      <c r="A31" s="337" t="s">
        <v>2105</v>
      </c>
      <c r="B31" s="319" t="s">
        <v>2142</v>
      </c>
      <c r="C31" s="14">
        <f ca="1">ROUND(IF(项目基本情况!B7="自然人",C5*F31,C32+C33+C34),1)</f>
        <v>4005</v>
      </c>
      <c r="D31" s="1887" t="s">
        <v>2204</v>
      </c>
      <c r="E31" s="1892" t="s">
        <v>2205</v>
      </c>
      <c r="F31" s="343">
        <f>IF(项目基本情况!B7="企业","",IF('数据-取费表'!B10="住宅",5%,IF(F6*F7*F8/12/(1+'数据-取费表'!F30)&gt;20000,12%,7%)))</f>
        <v>0.05</v>
      </c>
      <c r="G31" s="791"/>
      <c r="H31" s="1218"/>
      <c r="I31" s="1219"/>
      <c r="J31" s="1220"/>
      <c r="K31" s="1221"/>
      <c r="L31" s="1222"/>
      <c r="M31" s="1223"/>
    </row>
    <row r="32" spans="1:37" ht="18" customHeight="1">
      <c r="A32" s="337" t="s">
        <v>2123</v>
      </c>
      <c r="B32" s="319" t="s">
        <v>2206</v>
      </c>
      <c r="C32" s="14" t="str">
        <f>IF(项目基本情况!B7="自然人","——",ROUND(C5*F32/(1+'数据-取费表'!F30),0))</f>
        <v>——</v>
      </c>
      <c r="D32" s="1892" t="s">
        <v>2207</v>
      </c>
      <c r="E32" s="319" t="s">
        <v>2156</v>
      </c>
      <c r="F32" s="352">
        <f>'数据-取费表'!E29</f>
        <v>5.6000000000000001E-2</v>
      </c>
      <c r="G32" s="791"/>
      <c r="H32" s="1224"/>
      <c r="I32" s="1225"/>
      <c r="J32" s="1226"/>
      <c r="K32" s="1227"/>
      <c r="L32" s="1228"/>
      <c r="M32" s="1229"/>
    </row>
    <row r="33" spans="1:18" ht="18" customHeight="1">
      <c r="A33" s="337" t="s">
        <v>2127</v>
      </c>
      <c r="B33" s="319" t="s">
        <v>2152</v>
      </c>
      <c r="C33" s="14" t="str">
        <f>IF(项目基本情况!B7="自然人","——",IF(D33="按租金收入计税",ROUND(C5*F33,1),IF(D33="按房产原值计税",ROUND(C29*F33*0.7,1),'数据-取费表'!B43)))</f>
        <v>——</v>
      </c>
      <c r="D33" s="2013" t="s">
        <v>2900</v>
      </c>
      <c r="E33" s="319" t="s">
        <v>2130</v>
      </c>
      <c r="F33" s="342">
        <f>IF(D33="按票据","——",IF(D33="按租金收入计税",'数据-取费表'!E39,'数据-取费表'!E38))</f>
        <v>1.2E-2</v>
      </c>
      <c r="G33" s="791"/>
      <c r="H33" s="1230"/>
      <c r="I33" s="363" t="s">
        <v>2208</v>
      </c>
      <c r="J33" s="364"/>
      <c r="K33" s="1231"/>
      <c r="L33" s="1230"/>
      <c r="M33" s="1230"/>
    </row>
    <row r="34" spans="1:18" ht="18" customHeight="1">
      <c r="A34" s="1384" t="s">
        <v>2133</v>
      </c>
      <c r="B34" s="80" t="s">
        <v>2157</v>
      </c>
      <c r="C34" s="15" t="str">
        <f>IF(项目基本情况!B7="自然人","——",ROUND(F34*F35,0))</f>
        <v>——</v>
      </c>
      <c r="D34" s="346" t="s">
        <v>2158</v>
      </c>
      <c r="E34" s="319" t="s">
        <v>2159</v>
      </c>
      <c r="F34" s="347">
        <f>'数据-取费表'!E40</f>
        <v>0</v>
      </c>
      <c r="G34" s="791"/>
      <c r="H34" s="1218"/>
      <c r="I34" s="365" t="s">
        <v>2209</v>
      </c>
      <c r="J34" s="366">
        <f ca="1">ROUND(C13*J35,0)</f>
        <v>25666</v>
      </c>
      <c r="K34" s="1232"/>
      <c r="L34" s="1233"/>
      <c r="M34" s="1233"/>
    </row>
    <row r="35" spans="1:18" ht="24.6" customHeight="1">
      <c r="A35" s="1388"/>
      <c r="B35" s="328"/>
      <c r="C35" s="19"/>
      <c r="D35" s="349"/>
      <c r="E35" s="319" t="s">
        <v>2164</v>
      </c>
      <c r="F35" s="320">
        <f>IF(D1="仅计算典型户型",'数据-取费表'!E6,'数据-取费表'!B6)</f>
        <v>0</v>
      </c>
      <c r="G35" s="791"/>
      <c r="H35" s="1218"/>
      <c r="I35" s="367" t="s">
        <v>2210</v>
      </c>
      <c r="J35" s="368">
        <f>'数据-取费表'!B17</f>
        <v>0.08</v>
      </c>
      <c r="K35" s="1231"/>
      <c r="L35" s="1230"/>
      <c r="M35" s="1230"/>
    </row>
    <row r="36" spans="1:18" ht="18" customHeight="1">
      <c r="A36" s="1387" t="s">
        <v>2112</v>
      </c>
      <c r="B36" s="319" t="s">
        <v>2211</v>
      </c>
      <c r="C36" s="14">
        <f ca="1">ROUND(C29*F36,0)</f>
        <v>3819</v>
      </c>
      <c r="D36" s="1892" t="s">
        <v>2212</v>
      </c>
      <c r="E36" s="319" t="s">
        <v>2156</v>
      </c>
      <c r="F36" s="350">
        <f>'数据-取费表'!B44</f>
        <v>0.01</v>
      </c>
      <c r="G36" s="791"/>
      <c r="H36" s="1230"/>
      <c r="I36" s="369" t="s">
        <v>2213</v>
      </c>
      <c r="J36" s="370"/>
      <c r="K36" s="1234"/>
      <c r="L36" s="1230"/>
      <c r="M36" s="1230"/>
    </row>
    <row r="37" spans="1:18" ht="18" customHeight="1">
      <c r="A37" s="337" t="s">
        <v>2160</v>
      </c>
      <c r="B37" s="319" t="s">
        <v>2171</v>
      </c>
      <c r="C37" s="14">
        <f ca="1">ROUND(C13*F37,0)</f>
        <v>321</v>
      </c>
      <c r="D37" s="1892" t="s">
        <v>2172</v>
      </c>
      <c r="E37" s="319" t="s">
        <v>2173</v>
      </c>
      <c r="F37" s="351">
        <f>'数据-取费表'!B45</f>
        <v>1E-3</v>
      </c>
      <c r="G37" s="791"/>
      <c r="H37" s="1230"/>
      <c r="I37" s="216" t="s">
        <v>2214</v>
      </c>
      <c r="J37" s="371"/>
      <c r="K37" s="1234"/>
      <c r="L37" s="1230"/>
      <c r="M37" s="1230"/>
    </row>
    <row r="38" spans="1:18" ht="18" customHeight="1" thickBot="1">
      <c r="A38" s="1430" t="s">
        <v>2165</v>
      </c>
      <c r="B38" s="1431" t="s">
        <v>2154</v>
      </c>
      <c r="C38" s="1432">
        <f ca="1">ROUND(C5*F38,0)</f>
        <v>801</v>
      </c>
      <c r="D38" s="1433" t="s">
        <v>2177</v>
      </c>
      <c r="E38" s="1431" t="s">
        <v>2173</v>
      </c>
      <c r="F38" s="1426">
        <f>'数据-取费表'!B46</f>
        <v>0.01</v>
      </c>
      <c r="G38" s="791"/>
      <c r="H38" s="1230"/>
      <c r="I38" s="365" t="s">
        <v>2215</v>
      </c>
      <c r="J38" s="220">
        <f ca="1">ROUND(J34/C39,3)</f>
        <v>0.36099999999999999</v>
      </c>
      <c r="K38" s="1235"/>
      <c r="L38" s="1230"/>
      <c r="M38" s="1230"/>
    </row>
    <row r="39" spans="1:18" ht="18" customHeight="1" thickTop="1">
      <c r="A39" s="1420" t="s">
        <v>22</v>
      </c>
      <c r="B39" s="1435" t="s">
        <v>2216</v>
      </c>
      <c r="C39" s="327">
        <f ca="1">C5-C30</f>
        <v>71153</v>
      </c>
      <c r="D39" s="1436" t="s">
        <v>2217</v>
      </c>
      <c r="E39" s="1437"/>
      <c r="F39" s="1438"/>
      <c r="G39" s="791"/>
      <c r="H39" s="1230"/>
      <c r="I39" s="365" t="s">
        <v>2218</v>
      </c>
      <c r="J39" s="220">
        <f ca="1">1-J38</f>
        <v>0.63900000000000001</v>
      </c>
      <c r="K39" s="1235"/>
      <c r="L39" s="1230"/>
      <c r="M39" s="1230"/>
    </row>
    <row r="40" spans="1:18" s="791" customFormat="1" ht="18" customHeight="1">
      <c r="A40" s="316" t="s">
        <v>23</v>
      </c>
      <c r="B40" s="317" t="s">
        <v>2219</v>
      </c>
      <c r="C40" s="318">
        <f ca="1">ROUND(C39*(1-((1+F42)/(1+F40))^F41)/(F40-F42),0)</f>
        <v>4058359</v>
      </c>
      <c r="D40" s="346" t="s">
        <v>2187</v>
      </c>
      <c r="E40" s="319" t="s">
        <v>2188</v>
      </c>
      <c r="F40" s="329">
        <f>'数据-取费表'!B16</f>
        <v>4.4999999999999998E-2</v>
      </c>
      <c r="H40" s="1236"/>
      <c r="I40" s="216" t="s">
        <v>2220</v>
      </c>
      <c r="J40" s="217"/>
      <c r="K40" s="1235"/>
      <c r="L40" s="1236"/>
      <c r="M40" s="1236"/>
      <c r="Q40" s="795"/>
    </row>
    <row r="41" spans="1:18" s="791" customFormat="1" ht="18" customHeight="1">
      <c r="A41" s="321"/>
      <c r="B41" s="322"/>
      <c r="C41" s="323"/>
      <c r="D41" s="354" t="s">
        <v>2221</v>
      </c>
      <c r="E41" s="1824" t="s">
        <v>2842</v>
      </c>
      <c r="F41" s="355">
        <f>IF('数据-取费表'!B28="租赁期内按合同租金",'数据-取费表'!B34,IF(E41="收益年期(n)",'数据-取费表'!B33,'数据-取费表'!B13))</f>
        <v>70</v>
      </c>
      <c r="H41" s="1237"/>
      <c r="I41" s="219" t="s">
        <v>2093</v>
      </c>
      <c r="J41" s="220">
        <f ca="1">ROUND(C13/C40,3)</f>
        <v>7.9000000000000001E-2</v>
      </c>
      <c r="K41" s="1234"/>
      <c r="L41" s="1237"/>
      <c r="M41" s="1237"/>
      <c r="Q41" s="795"/>
    </row>
    <row r="42" spans="1:18" s="791" customFormat="1" ht="18" customHeight="1">
      <c r="A42" s="325"/>
      <c r="B42" s="326"/>
      <c r="C42" s="327"/>
      <c r="D42" s="349"/>
      <c r="E42" s="319" t="s">
        <v>2197</v>
      </c>
      <c r="F42" s="329">
        <f>'数据-取费表'!B31</f>
        <v>0.04</v>
      </c>
      <c r="H42" s="1237"/>
      <c r="I42" s="219" t="s">
        <v>2094</v>
      </c>
      <c r="J42" s="221">
        <f ca="1">1-J41</f>
        <v>0.92100000000000004</v>
      </c>
      <c r="K42" s="1234"/>
      <c r="L42" s="1237"/>
      <c r="M42" s="1237"/>
      <c r="Q42" s="795"/>
    </row>
    <row r="43" spans="1:18" s="791" customFormat="1" ht="18" customHeight="1" thickBot="1">
      <c r="A43" s="356" t="s">
        <v>24</v>
      </c>
      <c r="B43" s="357" t="s">
        <v>2222</v>
      </c>
      <c r="C43" s="358">
        <f ca="1">ROUND(C40/F43,0)</f>
        <v>40665</v>
      </c>
      <c r="D43" s="359" t="s">
        <v>2223</v>
      </c>
      <c r="E43" s="360" t="s">
        <v>2224</v>
      </c>
      <c r="F43" s="361">
        <f>IF(D1="仅计算典型户型",'数据-取费表'!E5,'数据-取费表'!B5)</f>
        <v>99.8</v>
      </c>
      <c r="G43" s="793"/>
      <c r="H43" s="1237"/>
      <c r="I43" s="1237"/>
      <c r="J43" s="1237"/>
      <c r="K43" s="1234"/>
      <c r="L43" s="1237"/>
      <c r="M43" s="1237"/>
      <c r="O43" s="1361" t="s">
        <v>2225</v>
      </c>
      <c r="P43" s="1362"/>
      <c r="Q43" s="1358"/>
      <c r="R43" s="1362"/>
    </row>
    <row r="44" spans="1:18" s="791" customFormat="1" ht="18" customHeight="1" thickBot="1">
      <c r="A44" s="776"/>
      <c r="B44" s="776"/>
      <c r="C44" s="790"/>
      <c r="D44" s="776"/>
      <c r="E44" s="776"/>
      <c r="F44" s="776"/>
      <c r="G44" s="793"/>
      <c r="K44" s="792"/>
      <c r="O44" s="1363" t="s">
        <v>2226</v>
      </c>
      <c r="P44" s="1364" t="s">
        <v>2227</v>
      </c>
      <c r="Q44" s="1365" t="s">
        <v>2228</v>
      </c>
      <c r="R44" s="1366" t="s">
        <v>2229</v>
      </c>
    </row>
    <row r="45" spans="1:18" s="791" customFormat="1" ht="18" customHeight="1" thickBot="1">
      <c r="A45" s="776"/>
      <c r="B45" s="776"/>
      <c r="C45" s="790"/>
      <c r="D45" s="776"/>
      <c r="E45" s="776"/>
      <c r="F45" s="776"/>
      <c r="G45" s="794"/>
      <c r="K45" s="792"/>
      <c r="O45" s="1367" t="s">
        <v>957</v>
      </c>
      <c r="P45" s="1368" t="s">
        <v>2230</v>
      </c>
      <c r="Q45" s="1369">
        <f ca="1">C40+J29</f>
        <v>4058359</v>
      </c>
      <c r="R45" s="1370" t="s">
        <v>2231</v>
      </c>
    </row>
    <row r="46" spans="1:18" s="791" customFormat="1" ht="18" customHeight="1" thickBot="1">
      <c r="A46" s="776"/>
      <c r="D46" s="776"/>
      <c r="E46" s="776"/>
      <c r="F46" s="776"/>
      <c r="K46" s="792"/>
      <c r="O46" s="1367" t="s">
        <v>958</v>
      </c>
      <c r="P46" s="1368" t="s">
        <v>2232</v>
      </c>
      <c r="Q46" s="1369" t="str">
        <f>J61</f>
        <v>0</v>
      </c>
      <c r="R46" s="1370" t="s">
        <v>2233</v>
      </c>
    </row>
    <row r="47" spans="1:18" s="791" customFormat="1" ht="21.75" thickBot="1">
      <c r="A47" s="2343" t="s">
        <v>2234</v>
      </c>
      <c r="C47" s="1303">
        <f ca="1">IF(C2="元",C69-C40,ROUND((C69-C40)/10000,0))</f>
        <v>-4146136</v>
      </c>
      <c r="D47" s="2344" t="str">
        <f>C2</f>
        <v>元</v>
      </c>
      <c r="E47" s="776"/>
      <c r="F47" s="776"/>
      <c r="I47" s="2345" t="s">
        <v>2235</v>
      </c>
      <c r="J47" s="1343"/>
      <c r="K47" s="1344"/>
      <c r="L47" s="1357">
        <f>IF(M48="住宅",0,IF(L49&gt;J52,L61,J61))</f>
        <v>0</v>
      </c>
      <c r="O47" s="1371" t="s">
        <v>959</v>
      </c>
      <c r="P47" s="1368" t="s">
        <v>2236</v>
      </c>
      <c r="Q47" s="1369">
        <f ca="1">C29</f>
        <v>381935</v>
      </c>
      <c r="R47" s="1370" t="s">
        <v>2231</v>
      </c>
    </row>
    <row r="48" spans="1:18" s="791" customFormat="1" ht="15.75" thickBot="1">
      <c r="A48" s="312" t="s">
        <v>2237</v>
      </c>
      <c r="B48" s="313" t="s">
        <v>2238</v>
      </c>
      <c r="C48" s="313" t="s">
        <v>2239</v>
      </c>
      <c r="D48" s="313" t="s">
        <v>2240</v>
      </c>
      <c r="E48" s="1297" t="s">
        <v>2241</v>
      </c>
      <c r="F48" s="1298"/>
      <c r="I48" s="2346" t="s">
        <v>2242</v>
      </c>
      <c r="J48" s="2347" t="s">
        <v>2844</v>
      </c>
      <c r="K48" s="2348" t="s">
        <v>2243</v>
      </c>
      <c r="L48" s="1345">
        <f>'数据-取费表'!B11</f>
        <v>70</v>
      </c>
      <c r="M48" s="1358" t="str">
        <f>IF('数据-取费表'!B10="住宅","住宅","非住宅")</f>
        <v>住宅</v>
      </c>
      <c r="O48" s="1371" t="s">
        <v>960</v>
      </c>
      <c r="P48" s="1368" t="s">
        <v>2244</v>
      </c>
      <c r="Q48" s="1372" t="e">
        <f>J59</f>
        <v>#VALUE!</v>
      </c>
      <c r="R48" s="1370"/>
    </row>
    <row r="49" spans="1:18" s="791" customFormat="1" ht="15.75" thickBot="1">
      <c r="A49" s="1457" t="s">
        <v>1030</v>
      </c>
      <c r="B49" s="317" t="s">
        <v>2245</v>
      </c>
      <c r="C49" s="1458">
        <f ca="1">C50+C54+C56</f>
        <v>0</v>
      </c>
      <c r="D49" s="1459"/>
      <c r="E49" s="101"/>
      <c r="F49" s="16"/>
      <c r="I49" s="2349" t="s">
        <v>2246</v>
      </c>
      <c r="J49" s="2350" t="s">
        <v>2845</v>
      </c>
      <c r="K49" s="2351" t="s">
        <v>2247</v>
      </c>
      <c r="L49" s="1128">
        <f>'数据-取费表'!B13</f>
        <v>70</v>
      </c>
      <c r="O49" s="1371" t="s">
        <v>961</v>
      </c>
      <c r="P49" s="1368" t="s">
        <v>2248</v>
      </c>
      <c r="Q49" s="1372">
        <f>J53</f>
        <v>0</v>
      </c>
      <c r="R49" s="1370"/>
    </row>
    <row r="50" spans="1:18" s="791" customFormat="1" ht="15.75" thickBot="1">
      <c r="A50" s="345" t="s">
        <v>2105</v>
      </c>
      <c r="B50" s="2024" t="s">
        <v>2249</v>
      </c>
      <c r="C50" s="318">
        <f>ROUND(F50*F52*F51*(1-F53),0)</f>
        <v>0</v>
      </c>
      <c r="D50" s="93" t="s">
        <v>2802</v>
      </c>
      <c r="E50" s="2352" t="s">
        <v>2250</v>
      </c>
      <c r="F50" s="1299"/>
      <c r="I50" s="2349" t="s">
        <v>2251</v>
      </c>
      <c r="J50" s="1128">
        <f>'数据-取费表'!B26</f>
        <v>2007</v>
      </c>
      <c r="K50" s="2353" t="s">
        <v>2252</v>
      </c>
      <c r="L50" s="1346"/>
      <c r="O50" s="1371" t="s">
        <v>962</v>
      </c>
      <c r="P50" s="1368" t="s">
        <v>2253</v>
      </c>
      <c r="Q50" s="1369">
        <f>J54</f>
        <v>70</v>
      </c>
      <c r="R50" s="1370" t="s">
        <v>2254</v>
      </c>
    </row>
    <row r="51" spans="1:18" s="791" customFormat="1" ht="15.75" thickBot="1">
      <c r="A51" s="321"/>
      <c r="B51" s="322"/>
      <c r="C51" s="323"/>
      <c r="D51" s="324"/>
      <c r="E51" s="339" t="s">
        <v>2108</v>
      </c>
      <c r="F51" s="1296">
        <f>F7</f>
        <v>1</v>
      </c>
      <c r="I51" s="2349" t="s">
        <v>2255</v>
      </c>
      <c r="J51" s="1347">
        <f>SUMPRODUCT((I64:I66=J48)*(J63:L63=J49)*(J64:L66))</f>
        <v>60</v>
      </c>
      <c r="K51" s="2353" t="s">
        <v>2256</v>
      </c>
      <c r="L51" s="1346"/>
      <c r="O51" s="1367" t="s">
        <v>963</v>
      </c>
      <c r="P51" s="1368" t="str">
        <f>IF(C2="元","收益价值(元)","收益价值(万元)")</f>
        <v>收益价值(元)</v>
      </c>
      <c r="Q51" s="1369">
        <f ca="1">ROUND(IF(C2="元",Q45+Q46,(Q45+Q46)/10000),0)</f>
        <v>4058359</v>
      </c>
      <c r="R51" s="1370" t="s">
        <v>964</v>
      </c>
    </row>
    <row r="52" spans="1:18" s="791" customFormat="1" ht="16.5" thickBot="1">
      <c r="A52" s="321"/>
      <c r="B52" s="322"/>
      <c r="C52" s="323"/>
      <c r="D52" s="324"/>
      <c r="E52" s="319" t="s">
        <v>2110</v>
      </c>
      <c r="F52" s="320">
        <f>F8</f>
        <v>12</v>
      </c>
      <c r="I52" s="2354" t="s">
        <v>2257</v>
      </c>
      <c r="J52" s="1348">
        <f>IF(J50="",J51,J50+J51-YEAR('数据-取费表'!B2))</f>
        <v>49</v>
      </c>
      <c r="K52" s="2355" t="s">
        <v>2258</v>
      </c>
      <c r="L52" s="1349">
        <f ca="1">ROUND(-PV('数据-取费表'!B15,L49,(C40-C13*J35)),0)</f>
        <v>94342897</v>
      </c>
      <c r="O52" s="1361" t="s">
        <v>2259</v>
      </c>
      <c r="P52" s="1362"/>
      <c r="Q52" s="1358"/>
      <c r="R52" s="1362"/>
    </row>
    <row r="53" spans="1:18" s="791" customFormat="1" ht="15.75" thickBot="1">
      <c r="A53" s="325"/>
      <c r="B53" s="326"/>
      <c r="C53" s="327"/>
      <c r="D53" s="328"/>
      <c r="E53" s="319" t="s">
        <v>2111</v>
      </c>
      <c r="F53" s="1356"/>
      <c r="I53" s="2356" t="s">
        <v>2260</v>
      </c>
      <c r="J53" s="1350"/>
      <c r="K53" s="2356" t="s">
        <v>2261</v>
      </c>
      <c r="L53" s="1350"/>
      <c r="O53" s="1363" t="s">
        <v>2226</v>
      </c>
      <c r="P53" s="1364" t="s">
        <v>2227</v>
      </c>
      <c r="Q53" s="1365" t="s">
        <v>2228</v>
      </c>
      <c r="R53" s="1366" t="s">
        <v>2229</v>
      </c>
    </row>
    <row r="54" spans="1:18" s="791" customFormat="1" ht="29.25" customHeight="1" thickBot="1">
      <c r="A54" s="1384" t="s">
        <v>2112</v>
      </c>
      <c r="B54" s="2337" t="s">
        <v>2113</v>
      </c>
      <c r="C54" s="1385">
        <f ca="1">ROUND(IF(F54="押一",C50/12*F11,IF(F54="押二",C50/12*2*F11,IF(F54="押三",C50/12*3*F11,C55*F11))),0)</f>
        <v>0</v>
      </c>
      <c r="D54" s="2338" t="s">
        <v>2810</v>
      </c>
      <c r="E54" s="330" t="s">
        <v>2114</v>
      </c>
      <c r="F54" s="2339"/>
      <c r="I54" s="2729" t="s">
        <v>2813</v>
      </c>
      <c r="J54" s="1351">
        <f>IF(M48="住宅",IF(E1="——",MAX(J52,L49),IF(E1="在建（套用方法）",MAX(J52,L49-'数据-取费表'!B25),MAX(J52,L49-'数据-取费表'!B21))),IF(E1="——",MIN(J52,L49),IF(E1="在建（套用方法）",MIN(J52,L49-'数据-取费表'!B25),IF(E1="土地（套用方法）",MIN(J52,L49-'数据-取费表'!B21)))))</f>
        <v>70</v>
      </c>
      <c r="K54" s="3003" t="s">
        <v>2800</v>
      </c>
      <c r="L54" s="3004"/>
      <c r="O54" s="1367" t="s">
        <v>957</v>
      </c>
      <c r="P54" s="1368" t="s">
        <v>2230</v>
      </c>
      <c r="Q54" s="1369">
        <f ca="1">C40+J29</f>
        <v>4058359</v>
      </c>
      <c r="R54" s="1370" t="s">
        <v>2231</v>
      </c>
    </row>
    <row r="55" spans="1:18" s="791" customFormat="1" ht="20.25" thickBot="1">
      <c r="A55" s="1384"/>
      <c r="B55" s="2357" t="s">
        <v>2117</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2262</v>
      </c>
      <c r="Q55" s="1369">
        <f>L61</f>
        <v>0</v>
      </c>
      <c r="R55" s="1370" t="s">
        <v>2263</v>
      </c>
    </row>
    <row r="56" spans="1:18" s="791" customFormat="1" ht="20.25" thickBot="1">
      <c r="A56" s="1424" t="s">
        <v>2118</v>
      </c>
      <c r="B56" s="2341" t="s">
        <v>2119</v>
      </c>
      <c r="C56" s="1425"/>
      <c r="D56" s="1441"/>
      <c r="E56" s="2360"/>
      <c r="F56" s="1501"/>
      <c r="I56" s="2361" t="s">
        <v>2264</v>
      </c>
      <c r="J56" s="1870" t="e">
        <f>ROUND(IF(J48="钢混",J58/J51,1-(1-2%)*(J51-J58)/J51),3)</f>
        <v>#VALUE!</v>
      </c>
      <c r="K56" s="2362" t="s">
        <v>2265</v>
      </c>
      <c r="L56" s="1352"/>
      <c r="O56" s="1371" t="s">
        <v>959</v>
      </c>
      <c r="P56" s="1368" t="s">
        <v>2266</v>
      </c>
      <c r="Q56" s="1369">
        <f>IF(L56="比较法",L50,IF(L56="基准地价",L51,0))</f>
        <v>0</v>
      </c>
      <c r="R56" s="1370" t="s">
        <v>2231</v>
      </c>
    </row>
    <row r="57" spans="1:18" s="791" customFormat="1" ht="44.25" thickTop="1" thickBot="1">
      <c r="A57" s="1420">
        <v>2</v>
      </c>
      <c r="B57" s="1421" t="s">
        <v>2120</v>
      </c>
      <c r="C57" s="1500">
        <f ca="1">C13</f>
        <v>320825</v>
      </c>
      <c r="D57" s="1294"/>
      <c r="E57" s="1295"/>
      <c r="F57" s="1302"/>
      <c r="I57" s="2363" t="s">
        <v>2267</v>
      </c>
      <c r="J57" s="1355" t="s">
        <v>2846</v>
      </c>
      <c r="K57" s="2349" t="s">
        <v>2268</v>
      </c>
      <c r="L57" s="1128">
        <f>IF(L49&lt;J52,"——",L49-J52)</f>
        <v>21</v>
      </c>
      <c r="O57" s="1371" t="s">
        <v>960</v>
      </c>
      <c r="P57" s="1368" t="s">
        <v>2269</v>
      </c>
      <c r="Q57" s="1372">
        <f>L53</f>
        <v>0</v>
      </c>
      <c r="R57" s="1370"/>
    </row>
    <row r="58" spans="1:18" s="791" customFormat="1" ht="29.25" thickBot="1">
      <c r="A58" s="1301"/>
      <c r="B58" s="319" t="s">
        <v>2199</v>
      </c>
      <c r="C58" s="188">
        <f ca="1">C29</f>
        <v>381935</v>
      </c>
      <c r="D58" s="1294"/>
      <c r="E58" s="1295"/>
      <c r="F58" s="1302"/>
      <c r="I58" s="2364" t="s">
        <v>2270</v>
      </c>
      <c r="J58" s="1354" t="str">
        <f>IF(OR(M48="住宅",J52&lt;L49,J57="是"),"——",J52-L49)</f>
        <v>——</v>
      </c>
      <c r="K58" s="2349" t="s">
        <v>2271</v>
      </c>
      <c r="L58" s="1128">
        <f ca="1">IF(L49&lt;J52,"——",IF(L56="比较法",L50,IF(L56="基准地价",L51,L52)))</f>
        <v>94342897</v>
      </c>
      <c r="O58" s="1371" t="s">
        <v>961</v>
      </c>
      <c r="P58" s="1368" t="s">
        <v>2272</v>
      </c>
      <c r="Q58" s="1369" t="e">
        <f>L59</f>
        <v>#DIV/0!</v>
      </c>
      <c r="R58" s="1370" t="s">
        <v>2273</v>
      </c>
    </row>
    <row r="59" spans="1:18" s="791" customFormat="1" ht="29.25" thickBot="1">
      <c r="A59" s="332" t="s">
        <v>14</v>
      </c>
      <c r="B59" s="333" t="s">
        <v>2202</v>
      </c>
      <c r="C59" s="334">
        <f ca="1">ROUND(C60+C65+C66+C67,0)</f>
        <v>4140</v>
      </c>
      <c r="D59" s="12" t="s">
        <v>2203</v>
      </c>
      <c r="E59" s="1897"/>
      <c r="F59" s="16"/>
      <c r="I59" s="2364" t="s">
        <v>2274</v>
      </c>
      <c r="J59" s="1869" t="e">
        <f>IF(J56&lt;0.4,0.4,J56)</f>
        <v>#VALUE!</v>
      </c>
      <c r="K59" s="2355" t="s">
        <v>2275</v>
      </c>
      <c r="L59" s="1128" t="e">
        <f>ROUND(POWER(1+L53,L48-L49)*(POWER(1+L53,L49)-1)/(POWER(1+L53,L48)-1),4)</f>
        <v>#DIV/0!</v>
      </c>
      <c r="O59" s="1371" t="s">
        <v>962</v>
      </c>
      <c r="P59" s="1368" t="str">
        <f>K60</f>
        <v>建筑物剩余耐用年限下的土地年期修正系数Kn</v>
      </c>
      <c r="Q59" s="1369" t="e">
        <f>L60</f>
        <v>#DIV/0!</v>
      </c>
      <c r="R59" s="1370" t="s">
        <v>2276</v>
      </c>
    </row>
    <row r="60" spans="1:18" s="791" customFormat="1" ht="29.25" thickBot="1">
      <c r="A60" s="337" t="s">
        <v>15</v>
      </c>
      <c r="B60" s="319" t="s">
        <v>2142</v>
      </c>
      <c r="C60" s="14">
        <f ca="1">ROUND(IF(项目基本情况!B7="自然人",C49*F60,C61+C62+C63),1)</f>
        <v>0</v>
      </c>
      <c r="D60" s="1887" t="s">
        <v>2204</v>
      </c>
      <c r="E60" s="1892" t="s">
        <v>2205</v>
      </c>
      <c r="F60" s="343">
        <f>IF(项目基本情况!B7="企业","",IF('数据-取费表'!B10="住宅",5%,IF(F50*F51*F52/12/(1+'数据-取费表'!F30)&gt;20000,12%,7%)))</f>
        <v>0.05</v>
      </c>
      <c r="I60" s="2364" t="s">
        <v>2277</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4058359</v>
      </c>
      <c r="R60" s="1370" t="s">
        <v>964</v>
      </c>
    </row>
    <row r="61" spans="1:18" s="791" customFormat="1" ht="16.5" thickBot="1">
      <c r="A61" s="337" t="s">
        <v>16</v>
      </c>
      <c r="B61" s="319" t="s">
        <v>2206</v>
      </c>
      <c r="C61" s="14" t="str">
        <f>IF(项目基本情况!B7="自然人","——",ROUND(C49*F61/(1+'数据-取费表'!F30),0))</f>
        <v>——</v>
      </c>
      <c r="D61" s="1892" t="s">
        <v>2207</v>
      </c>
      <c r="E61" s="319" t="s">
        <v>2156</v>
      </c>
      <c r="F61" s="352">
        <f t="shared" ref="F61:F67" si="0">F32</f>
        <v>5.6000000000000001E-2</v>
      </c>
      <c r="I61" s="2365" t="s">
        <v>2278</v>
      </c>
      <c r="J61" s="1353" t="str">
        <f>IF(OR(M48="住宅",J52&lt;L49,J57="是"),"0",ROUND(J60/(1+J53)^J54,0))</f>
        <v>0</v>
      </c>
      <c r="K61" s="2366"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3" t="s">
        <v>2153</v>
      </c>
      <c r="E62" s="319" t="s">
        <v>2156</v>
      </c>
      <c r="F62" s="342">
        <f t="shared" si="0"/>
        <v>1.2E-2</v>
      </c>
      <c r="O62" s="1363" t="s">
        <v>2226</v>
      </c>
      <c r="P62" s="1364" t="s">
        <v>2227</v>
      </c>
      <c r="Q62" s="1365" t="s">
        <v>2228</v>
      </c>
      <c r="R62" s="1366" t="s">
        <v>2229</v>
      </c>
    </row>
    <row r="63" spans="1:18" s="791" customFormat="1" ht="15.75" thickBot="1">
      <c r="A63" s="345" t="s">
        <v>18</v>
      </c>
      <c r="B63" s="80" t="s">
        <v>2282</v>
      </c>
      <c r="C63" s="15" t="str">
        <f>IF(项目基本情况!B7="自然人","——",ROUND(F63*F64,0))</f>
        <v>——</v>
      </c>
      <c r="D63" s="346" t="s">
        <v>2283</v>
      </c>
      <c r="E63" s="319" t="s">
        <v>2284</v>
      </c>
      <c r="F63" s="347">
        <f t="shared" si="0"/>
        <v>0</v>
      </c>
      <c r="I63" s="2367" t="s">
        <v>2285</v>
      </c>
      <c r="J63" s="1873" t="s">
        <v>2286</v>
      </c>
      <c r="K63" s="1873" t="s">
        <v>2287</v>
      </c>
      <c r="L63" s="1873" t="s">
        <v>2288</v>
      </c>
      <c r="M63" s="1872" t="s">
        <v>2289</v>
      </c>
      <c r="O63" s="1367" t="s">
        <v>957</v>
      </c>
      <c r="P63" s="1368" t="s">
        <v>2230</v>
      </c>
      <c r="Q63" s="1369">
        <f ca="1">C40+J29</f>
        <v>4058359</v>
      </c>
      <c r="R63" s="1370" t="s">
        <v>2231</v>
      </c>
    </row>
    <row r="64" spans="1:18" s="791" customFormat="1" ht="20.25" thickBot="1">
      <c r="A64" s="348"/>
      <c r="B64" s="328"/>
      <c r="C64" s="19"/>
      <c r="D64" s="349"/>
      <c r="E64" s="319" t="s">
        <v>2290</v>
      </c>
      <c r="F64" s="320">
        <f t="shared" si="0"/>
        <v>0</v>
      </c>
      <c r="I64" s="2367" t="s">
        <v>2291</v>
      </c>
      <c r="J64" s="1873">
        <v>70</v>
      </c>
      <c r="K64" s="1873">
        <v>50</v>
      </c>
      <c r="L64" s="1873">
        <v>80</v>
      </c>
      <c r="M64" s="1871">
        <v>0.02</v>
      </c>
      <c r="O64" s="1367" t="s">
        <v>958</v>
      </c>
      <c r="P64" s="1368" t="s">
        <v>2262</v>
      </c>
      <c r="Q64" s="1369">
        <f>L61</f>
        <v>0</v>
      </c>
      <c r="R64" s="1370" t="s">
        <v>2263</v>
      </c>
    </row>
    <row r="65" spans="1:18" s="791" customFormat="1" ht="23.25" thickBot="1">
      <c r="A65" s="337" t="s">
        <v>19</v>
      </c>
      <c r="B65" s="319" t="s">
        <v>2211</v>
      </c>
      <c r="C65" s="14">
        <f ca="1">ROUND(C58*F65,0)</f>
        <v>3819</v>
      </c>
      <c r="D65" s="1892" t="s">
        <v>2212</v>
      </c>
      <c r="E65" s="319" t="s">
        <v>2156</v>
      </c>
      <c r="F65" s="350">
        <f t="shared" si="0"/>
        <v>0.01</v>
      </c>
      <c r="I65" s="2367" t="s">
        <v>2292</v>
      </c>
      <c r="J65" s="1873">
        <v>50</v>
      </c>
      <c r="K65" s="1873">
        <v>35</v>
      </c>
      <c r="L65" s="1873">
        <v>60</v>
      </c>
      <c r="M65" s="1872">
        <v>0</v>
      </c>
      <c r="O65" s="1371" t="s">
        <v>959</v>
      </c>
      <c r="P65" s="1368" t="s">
        <v>2266</v>
      </c>
      <c r="Q65" s="1373">
        <f ca="1">L52</f>
        <v>94342897</v>
      </c>
      <c r="R65" s="1374" t="s">
        <v>2293</v>
      </c>
    </row>
    <row r="66" spans="1:18" s="791" customFormat="1" ht="20.25" thickBot="1">
      <c r="A66" s="337" t="s">
        <v>20</v>
      </c>
      <c r="B66" s="319" t="s">
        <v>2171</v>
      </c>
      <c r="C66" s="14">
        <f ca="1">ROUND(C57*F66,0)</f>
        <v>321</v>
      </c>
      <c r="D66" s="1892" t="s">
        <v>2172</v>
      </c>
      <c r="E66" s="319" t="s">
        <v>2173</v>
      </c>
      <c r="F66" s="351">
        <f t="shared" si="0"/>
        <v>1E-3</v>
      </c>
      <c r="I66" s="2367" t="s">
        <v>2294</v>
      </c>
      <c r="J66" s="1873">
        <v>40</v>
      </c>
      <c r="K66" s="1873">
        <v>30</v>
      </c>
      <c r="L66" s="1873">
        <v>50</v>
      </c>
      <c r="M66" s="1871">
        <v>0.02</v>
      </c>
      <c r="O66" s="1371" t="s">
        <v>960</v>
      </c>
      <c r="P66" s="1375" t="s">
        <v>2295</v>
      </c>
      <c r="Q66" s="1369">
        <f ca="1">ROUND(Q67-Q68*Q69,0)</f>
        <v>45487</v>
      </c>
      <c r="R66" s="1370"/>
    </row>
    <row r="67" spans="1:18" s="791" customFormat="1" ht="15.75" thickBot="1">
      <c r="A67" s="337" t="s">
        <v>21</v>
      </c>
      <c r="B67" s="319" t="s">
        <v>2154</v>
      </c>
      <c r="C67" s="14">
        <f ca="1">ROUND(C49*F67,0)</f>
        <v>0</v>
      </c>
      <c r="D67" s="1892" t="s">
        <v>2177</v>
      </c>
      <c r="E67" s="319" t="s">
        <v>2173</v>
      </c>
      <c r="F67" s="329">
        <f t="shared" si="0"/>
        <v>0.01</v>
      </c>
      <c r="O67" s="1371" t="s">
        <v>965</v>
      </c>
      <c r="P67" s="1375" t="s">
        <v>2296</v>
      </c>
      <c r="Q67" s="1369">
        <f ca="1">C39</f>
        <v>71153</v>
      </c>
      <c r="R67" s="1370" t="s">
        <v>2231</v>
      </c>
    </row>
    <row r="68" spans="1:18" ht="15.75" thickBot="1">
      <c r="A68" s="332" t="s">
        <v>22</v>
      </c>
      <c r="B68" s="89" t="s">
        <v>2181</v>
      </c>
      <c r="C68" s="334">
        <f ca="1">C49-C59</f>
        <v>-4140</v>
      </c>
      <c r="D68" s="1887" t="s">
        <v>2182</v>
      </c>
      <c r="E68" s="1891"/>
      <c r="F68" s="353"/>
      <c r="H68" s="791"/>
      <c r="I68" s="791"/>
      <c r="J68" s="791"/>
      <c r="K68" s="791"/>
      <c r="L68" s="791"/>
      <c r="M68" s="791"/>
      <c r="O68" s="1371" t="s">
        <v>966</v>
      </c>
      <c r="P68" s="1375" t="s">
        <v>2297</v>
      </c>
      <c r="Q68" s="1369">
        <f ca="1">C13</f>
        <v>320825</v>
      </c>
      <c r="R68" s="1370" t="s">
        <v>2231</v>
      </c>
    </row>
    <row r="69" spans="1:18" ht="15.75" thickBot="1">
      <c r="A69" s="316" t="s">
        <v>23</v>
      </c>
      <c r="B69" s="317" t="s">
        <v>2219</v>
      </c>
      <c r="C69" s="318">
        <f ca="1">ROUND(C68*(1-((1+F71)/(1+F69))^F70)/(F69-F71),0)</f>
        <v>-87777</v>
      </c>
      <c r="D69" s="346" t="s">
        <v>2187</v>
      </c>
      <c r="E69" s="319" t="s">
        <v>2188</v>
      </c>
      <c r="F69" s="329">
        <f>F40</f>
        <v>4.4999999999999998E-2</v>
      </c>
      <c r="H69" s="791"/>
      <c r="I69" s="791"/>
      <c r="J69" s="791"/>
      <c r="K69" s="791"/>
      <c r="L69" s="791"/>
      <c r="M69" s="791"/>
      <c r="O69" s="1371" t="s">
        <v>967</v>
      </c>
      <c r="P69" s="1375" t="s">
        <v>2298</v>
      </c>
      <c r="Q69" s="1372">
        <f>J35</f>
        <v>0.08</v>
      </c>
      <c r="R69" s="1370"/>
    </row>
    <row r="70" spans="1:18" ht="15.75" thickBot="1">
      <c r="A70" s="321"/>
      <c r="B70" s="322"/>
      <c r="C70" s="323"/>
      <c r="D70" s="354" t="s">
        <v>2221</v>
      </c>
      <c r="E70" s="319" t="s">
        <v>2193</v>
      </c>
      <c r="F70" s="355">
        <f>F41</f>
        <v>70</v>
      </c>
      <c r="H70" s="791"/>
      <c r="I70" s="791"/>
      <c r="J70" s="791"/>
      <c r="K70" s="791"/>
      <c r="L70" s="791"/>
      <c r="M70" s="791"/>
      <c r="O70" s="1371" t="s">
        <v>961</v>
      </c>
      <c r="P70" s="1368" t="s">
        <v>2269</v>
      </c>
      <c r="Q70" s="1372">
        <f>L53</f>
        <v>0</v>
      </c>
      <c r="R70" s="1370"/>
    </row>
    <row r="71" spans="1:18" ht="20.25" thickBot="1">
      <c r="A71" s="325"/>
      <c r="B71" s="326"/>
      <c r="C71" s="327"/>
      <c r="D71" s="349"/>
      <c r="E71" s="319" t="s">
        <v>2197</v>
      </c>
      <c r="F71" s="1356"/>
      <c r="H71" s="791"/>
      <c r="M71" s="791"/>
      <c r="O71" s="1371" t="s">
        <v>962</v>
      </c>
      <c r="P71" s="1368" t="s">
        <v>2272</v>
      </c>
      <c r="Q71" s="1369" t="e">
        <f>L59</f>
        <v>#DIV/0!</v>
      </c>
      <c r="R71" s="1370" t="s">
        <v>2273</v>
      </c>
    </row>
    <row r="72" spans="1:18" ht="15.75" thickBot="1">
      <c r="A72" s="356" t="s">
        <v>24</v>
      </c>
      <c r="B72" s="357" t="s">
        <v>2222</v>
      </c>
      <c r="C72" s="358">
        <f ca="1">ROUND(C69/F72,0)</f>
        <v>-880</v>
      </c>
      <c r="D72" s="359" t="s">
        <v>2223</v>
      </c>
      <c r="E72" s="360" t="s">
        <v>2224</v>
      </c>
      <c r="F72" s="361">
        <f>F43</f>
        <v>99.8</v>
      </c>
      <c r="O72" s="1371" t="s">
        <v>968</v>
      </c>
      <c r="P72" s="1368" t="str">
        <f>K60</f>
        <v>建筑物剩余耐用年限下的土地年期修正系数Kn</v>
      </c>
      <c r="Q72" s="1369" t="e">
        <f>L60</f>
        <v>#DIV/0!</v>
      </c>
      <c r="R72" s="1370" t="s">
        <v>2276</v>
      </c>
    </row>
    <row r="73" spans="1:18" ht="15.75" thickBot="1">
      <c r="A73" s="791"/>
      <c r="B73" s="795"/>
      <c r="C73" s="795"/>
      <c r="D73" s="791"/>
      <c r="E73" s="791"/>
      <c r="F73" s="791"/>
      <c r="O73" s="1367" t="s">
        <v>963</v>
      </c>
      <c r="P73" s="1368" t="str">
        <f>IF(C2="元","收益价值(元)","收益价值(万元)")</f>
        <v>收益价值(元)</v>
      </c>
      <c r="Q73" s="1369">
        <f ca="1">ROUND(IF(C2="元",Q63+Q64,(Q63+Q64)/10000),0)</f>
        <v>4058359</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6"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7">
        <f>项目基本情况!B4</f>
        <v>0</v>
      </c>
      <c r="C12" s="1043"/>
    </row>
    <row r="13" spans="1:7">
      <c r="A13" s="1184"/>
      <c r="B13" s="1077"/>
      <c r="C13" s="1043"/>
    </row>
    <row r="14" spans="1:7">
      <c r="A14" s="1187" t="s">
        <v>948</v>
      </c>
      <c r="B14" s="1186" t="s">
        <v>950</v>
      </c>
      <c r="C14" s="1043"/>
    </row>
    <row r="15" spans="1:7">
      <c r="A15" s="1184"/>
      <c r="B15" s="1907" t="s">
        <v>779</v>
      </c>
      <c r="C15" s="1043"/>
    </row>
    <row r="16" spans="1:7">
      <c r="A16" s="1184"/>
      <c r="B16" s="1077"/>
      <c r="C16" s="1043"/>
    </row>
    <row r="17" spans="1:5">
      <c r="A17" s="1187" t="s">
        <v>948</v>
      </c>
      <c r="B17" s="1186" t="s">
        <v>951</v>
      </c>
      <c r="C17" s="1043"/>
    </row>
    <row r="18" spans="1:5" s="1047" customFormat="1">
      <c r="A18" s="1185"/>
      <c r="B18" s="1907"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948</v>
      </c>
      <c r="B20" s="1186" t="s">
        <v>952</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5" t="s">
        <v>1024</v>
      </c>
      <c r="B1" s="3006"/>
      <c r="C1" s="3007"/>
      <c r="D1" s="3008">
        <f>SUM(I10,I15,I20,I21,I23)</f>
        <v>0</v>
      </c>
      <c r="E1" s="3008"/>
      <c r="F1" s="3008"/>
      <c r="G1" s="3008"/>
      <c r="H1" s="3008"/>
      <c r="I1" s="3009"/>
    </row>
    <row r="2" spans="1:9">
      <c r="A2" s="3010" t="s">
        <v>1025</v>
      </c>
      <c r="B2" s="3011" t="s">
        <v>974</v>
      </c>
      <c r="C2" s="3011"/>
      <c r="D2" s="1389" t="s">
        <v>975</v>
      </c>
      <c r="E2" s="1389" t="s">
        <v>976</v>
      </c>
      <c r="F2" s="1389" t="s">
        <v>977</v>
      </c>
      <c r="G2" s="1389" t="s">
        <v>978</v>
      </c>
      <c r="H2" s="1389" t="s">
        <v>979</v>
      </c>
      <c r="I2" s="1390" t="s">
        <v>980</v>
      </c>
    </row>
    <row r="3" spans="1:9">
      <c r="A3" s="3010"/>
      <c r="B3" s="3011" t="s">
        <v>981</v>
      </c>
      <c r="C3" s="3011"/>
      <c r="D3" s="1391"/>
      <c r="E3" s="1389"/>
      <c r="F3" s="1392"/>
      <c r="G3" s="1392"/>
      <c r="H3" s="1393"/>
      <c r="I3" s="1394">
        <f>ROUND(D3*E3*F3*G3*H3/10000,0)</f>
        <v>0</v>
      </c>
    </row>
    <row r="4" spans="1:9">
      <c r="A4" s="3010"/>
      <c r="B4" s="3011" t="s">
        <v>982</v>
      </c>
      <c r="C4" s="3011"/>
      <c r="D4" s="1391"/>
      <c r="E4" s="1389"/>
      <c r="F4" s="1392"/>
      <c r="G4" s="1392"/>
      <c r="H4" s="1393"/>
      <c r="I4" s="1394">
        <f t="shared" ref="I4:I9" si="0">ROUND(D4*E4*F4*G4*H4/10000,0)</f>
        <v>0</v>
      </c>
    </row>
    <row r="5" spans="1:9">
      <c r="A5" s="3010"/>
      <c r="B5" s="3011" t="s">
        <v>983</v>
      </c>
      <c r="C5" s="3011"/>
      <c r="D5" s="1391"/>
      <c r="E5" s="1389"/>
      <c r="F5" s="1392"/>
      <c r="G5" s="1392"/>
      <c r="H5" s="1393"/>
      <c r="I5" s="1394">
        <f t="shared" si="0"/>
        <v>0</v>
      </c>
    </row>
    <row r="6" spans="1:9">
      <c r="A6" s="3010"/>
      <c r="B6" s="3011" t="s">
        <v>984</v>
      </c>
      <c r="C6" s="3011"/>
      <c r="D6" s="1391"/>
      <c r="E6" s="1389"/>
      <c r="F6" s="1392"/>
      <c r="G6" s="1392"/>
      <c r="H6" s="1393"/>
      <c r="I6" s="1394">
        <f t="shared" si="0"/>
        <v>0</v>
      </c>
    </row>
    <row r="7" spans="1:9">
      <c r="A7" s="3010"/>
      <c r="B7" s="3011" t="s">
        <v>985</v>
      </c>
      <c r="C7" s="3011"/>
      <c r="D7" s="1391"/>
      <c r="E7" s="1389"/>
      <c r="F7" s="1392"/>
      <c r="G7" s="1392"/>
      <c r="H7" s="1393"/>
      <c r="I7" s="1394">
        <f t="shared" si="0"/>
        <v>0</v>
      </c>
    </row>
    <row r="8" spans="1:9">
      <c r="A8" s="3010"/>
      <c r="B8" s="3011" t="s">
        <v>986</v>
      </c>
      <c r="C8" s="3011"/>
      <c r="D8" s="1391"/>
      <c r="E8" s="1389"/>
      <c r="F8" s="1392"/>
      <c r="G8" s="1392"/>
      <c r="H8" s="1393"/>
      <c r="I8" s="1394">
        <f t="shared" si="0"/>
        <v>0</v>
      </c>
    </row>
    <row r="9" spans="1:9">
      <c r="A9" s="3010"/>
      <c r="B9" s="3011" t="s">
        <v>987</v>
      </c>
      <c r="C9" s="3011"/>
      <c r="D9" s="1391"/>
      <c r="E9" s="1389"/>
      <c r="F9" s="1392"/>
      <c r="G9" s="1392"/>
      <c r="H9" s="1393"/>
      <c r="I9" s="1394">
        <f t="shared" si="0"/>
        <v>0</v>
      </c>
    </row>
    <row r="10" spans="1:9">
      <c r="A10" s="3010"/>
      <c r="B10" s="3012" t="s">
        <v>988</v>
      </c>
      <c r="C10" s="3012"/>
      <c r="D10" s="1395">
        <v>527</v>
      </c>
      <c r="E10" s="1395" t="e">
        <f>ROUND(D1*10000/D10/H9,0)</f>
        <v>#DIV/0!</v>
      </c>
      <c r="F10" s="1396"/>
      <c r="G10" s="1396"/>
      <c r="H10" s="1397"/>
      <c r="I10" s="1398">
        <f>SUM(I3:I9)</f>
        <v>0</v>
      </c>
    </row>
    <row r="11" spans="1:9" ht="14.25">
      <c r="A11" s="3010" t="s">
        <v>1026</v>
      </c>
      <c r="B11" s="3011" t="s">
        <v>989</v>
      </c>
      <c r="C11" s="3011"/>
      <c r="D11" s="1391" t="s">
        <v>990</v>
      </c>
      <c r="E11" s="1391" t="s">
        <v>991</v>
      </c>
      <c r="F11" s="1392" t="s">
        <v>992</v>
      </c>
      <c r="G11" s="1392" t="s">
        <v>979</v>
      </c>
      <c r="H11" s="1399" t="s">
        <v>993</v>
      </c>
      <c r="I11" s="1390" t="s">
        <v>980</v>
      </c>
    </row>
    <row r="12" spans="1:9">
      <c r="A12" s="3010"/>
      <c r="B12" s="3011" t="s">
        <v>994</v>
      </c>
      <c r="C12" s="3011"/>
      <c r="D12" s="1391"/>
      <c r="E12" s="1391"/>
      <c r="F12" s="1392"/>
      <c r="G12" s="1393"/>
      <c r="H12" s="1400"/>
      <c r="I12" s="1390">
        <f>ROUND(D12*E12*F12*G12/10000,0)</f>
        <v>0</v>
      </c>
    </row>
    <row r="13" spans="1:9">
      <c r="A13" s="3010"/>
      <c r="B13" s="3011" t="s">
        <v>995</v>
      </c>
      <c r="C13" s="3011"/>
      <c r="D13" s="1391"/>
      <c r="E13" s="1391"/>
      <c r="F13" s="1392"/>
      <c r="G13" s="1393"/>
      <c r="H13" s="1400"/>
      <c r="I13" s="1390">
        <f>ROUND(D13*E13*F13*G13/10000,0)</f>
        <v>0</v>
      </c>
    </row>
    <row r="14" spans="1:9">
      <c r="A14" s="3010"/>
      <c r="B14" s="3011" t="s">
        <v>996</v>
      </c>
      <c r="C14" s="3011"/>
      <c r="D14" s="1391"/>
      <c r="E14" s="1391"/>
      <c r="F14" s="1392"/>
      <c r="G14" s="1393"/>
      <c r="H14" s="1400"/>
      <c r="I14" s="1390">
        <f>ROUND(D14*E14*F14*G14/10000,0)</f>
        <v>0</v>
      </c>
    </row>
    <row r="15" spans="1:9">
      <c r="A15" s="3010"/>
      <c r="B15" s="3012" t="s">
        <v>988</v>
      </c>
      <c r="C15" s="3012"/>
      <c r="D15" s="1395"/>
      <c r="E15" s="1395">
        <f>SUM(E12:E14)</f>
        <v>0</v>
      </c>
      <c r="F15" s="1396"/>
      <c r="G15" s="1393"/>
      <c r="H15" s="1400"/>
      <c r="I15" s="1401">
        <f>SUM(I12:I14)</f>
        <v>0</v>
      </c>
    </row>
    <row r="16" spans="1:9" ht="24">
      <c r="A16" s="3010" t="s">
        <v>1027</v>
      </c>
      <c r="B16" s="3011" t="s">
        <v>997</v>
      </c>
      <c r="C16" s="3011"/>
      <c r="D16" s="1391" t="s">
        <v>975</v>
      </c>
      <c r="E16" s="1402" t="s">
        <v>998</v>
      </c>
      <c r="F16" s="1392" t="s">
        <v>999</v>
      </c>
      <c r="G16" s="1393" t="s">
        <v>979</v>
      </c>
      <c r="H16" s="1399" t="s">
        <v>993</v>
      </c>
      <c r="I16" s="1390" t="s">
        <v>980</v>
      </c>
    </row>
    <row r="17" spans="1:9" ht="14.25">
      <c r="A17" s="3010"/>
      <c r="B17" s="3011" t="s">
        <v>1000</v>
      </c>
      <c r="C17" s="3011"/>
      <c r="D17" s="1391"/>
      <c r="E17" s="1391"/>
      <c r="F17" s="1392"/>
      <c r="G17" s="1393"/>
      <c r="H17" s="1403"/>
      <c r="I17" s="1404">
        <f>ROUND(D17*E17*F17*G17/10000,0)</f>
        <v>0</v>
      </c>
    </row>
    <row r="18" spans="1:9" ht="14.25">
      <c r="A18" s="3010"/>
      <c r="B18" s="3011" t="s">
        <v>1001</v>
      </c>
      <c r="C18" s="3011"/>
      <c r="D18" s="1391"/>
      <c r="E18" s="1391"/>
      <c r="F18" s="1392"/>
      <c r="G18" s="1393"/>
      <c r="H18" s="1403"/>
      <c r="I18" s="1404">
        <f>ROUND(D18*E18*F18*G18/10000,0)</f>
        <v>0</v>
      </c>
    </row>
    <row r="19" spans="1:9" ht="14.25">
      <c r="A19" s="3010"/>
      <c r="B19" s="3011" t="s">
        <v>1002</v>
      </c>
      <c r="C19" s="3011"/>
      <c r="D19" s="1391"/>
      <c r="E19" s="1391"/>
      <c r="F19" s="1392"/>
      <c r="G19" s="1393"/>
      <c r="H19" s="1403"/>
      <c r="I19" s="1404">
        <f>ROUND(D19*E19*F19*G19/10000,0)</f>
        <v>0</v>
      </c>
    </row>
    <row r="20" spans="1:9">
      <c r="A20" s="3010"/>
      <c r="B20" s="3012" t="s">
        <v>988</v>
      </c>
      <c r="C20" s="3012"/>
      <c r="D20" s="1395">
        <f>SUM(D17:D19)</f>
        <v>0</v>
      </c>
      <c r="E20" s="1395"/>
      <c r="F20" s="1396"/>
      <c r="G20" s="1393"/>
      <c r="H20" s="1400"/>
      <c r="I20" s="1401">
        <f>SUM(I17:I19)</f>
        <v>0</v>
      </c>
    </row>
    <row r="21" spans="1:9">
      <c r="A21" s="3010" t="s">
        <v>1028</v>
      </c>
      <c r="B21" s="3014"/>
      <c r="C21" s="3014"/>
      <c r="D21" s="3014"/>
      <c r="E21" s="3014"/>
      <c r="F21" s="3014"/>
      <c r="G21" s="3014"/>
      <c r="H21" s="1405">
        <v>0.1</v>
      </c>
      <c r="I21" s="1398">
        <f>ROUND(I10*H21,0)</f>
        <v>0</v>
      </c>
    </row>
    <row r="22" spans="1:9" ht="14.25">
      <c r="A22" s="3015" t="s">
        <v>1029</v>
      </c>
      <c r="B22" s="3016"/>
      <c r="C22" s="3017"/>
      <c r="D22" s="1406" t="s">
        <v>1003</v>
      </c>
      <c r="E22" s="1406" t="s">
        <v>1004</v>
      </c>
      <c r="F22" s="1407" t="s">
        <v>979</v>
      </c>
      <c r="G22" s="1407" t="s">
        <v>1005</v>
      </c>
      <c r="H22" s="1399" t="s">
        <v>993</v>
      </c>
      <c r="I22" s="1390" t="s">
        <v>980</v>
      </c>
    </row>
    <row r="23" spans="1:9" ht="14.25" thickBot="1">
      <c r="A23" s="3018"/>
      <c r="B23" s="3019"/>
      <c r="C23" s="3020"/>
      <c r="D23" s="1408"/>
      <c r="E23" s="1408"/>
      <c r="F23" s="1408"/>
      <c r="G23" s="1409"/>
      <c r="H23" s="1410"/>
      <c r="I23" s="1411">
        <f>ROUND(E23*D23*F23*(1-G23)/10000,0)</f>
        <v>0</v>
      </c>
    </row>
    <row r="26" spans="1:9">
      <c r="A26" s="1412" t="s">
        <v>1006</v>
      </c>
      <c r="B26" s="1412"/>
      <c r="C26" s="1412"/>
      <c r="D26" s="1412"/>
      <c r="E26" s="3021">
        <f>C27-C30-C31-C32</f>
        <v>0</v>
      </c>
      <c r="F26" s="3021"/>
      <c r="G26" s="3021"/>
      <c r="H26" s="1828" t="s">
        <v>1219</v>
      </c>
    </row>
    <row r="27" spans="1:9">
      <c r="A27" s="1413">
        <v>1</v>
      </c>
      <c r="B27" s="1414" t="s">
        <v>1007</v>
      </c>
      <c r="C27" s="1414">
        <f>C28+C29</f>
        <v>0</v>
      </c>
      <c r="D27" s="1414"/>
      <c r="E27" s="3022"/>
      <c r="F27" s="3022"/>
      <c r="G27" s="3022"/>
    </row>
    <row r="28" spans="1:9">
      <c r="A28" s="1415" t="s">
        <v>1008</v>
      </c>
      <c r="B28" s="1414" t="s">
        <v>1009</v>
      </c>
      <c r="C28" s="1414"/>
      <c r="D28" s="1414"/>
      <c r="E28" s="3022"/>
      <c r="F28" s="3022"/>
      <c r="G28" s="302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13"/>
      <c r="F32" s="3013"/>
      <c r="G32" s="3013"/>
    </row>
    <row r="33" spans="1:7" hidden="1">
      <c r="A33" s="3023" t="s">
        <v>1018</v>
      </c>
      <c r="B33" s="3024"/>
      <c r="C33" s="3024"/>
      <c r="D33" s="3025"/>
      <c r="E33" s="3021"/>
      <c r="F33" s="3021"/>
      <c r="G33" s="3021"/>
    </row>
    <row r="34" spans="1:7" hidden="1">
      <c r="A34" s="1417">
        <v>1</v>
      </c>
      <c r="B34" s="1414" t="s">
        <v>1019</v>
      </c>
      <c r="C34" s="1414"/>
      <c r="D34" s="1414"/>
      <c r="E34" s="3022"/>
      <c r="F34" s="3022"/>
      <c r="G34" s="3022"/>
    </row>
    <row r="35" spans="1:7" hidden="1">
      <c r="A35" s="1417">
        <v>2</v>
      </c>
      <c r="B35" s="1414" t="s">
        <v>1020</v>
      </c>
      <c r="C35" s="1414"/>
      <c r="D35" s="1414"/>
      <c r="E35" s="3022"/>
      <c r="F35" s="3022"/>
      <c r="G35" s="3022"/>
    </row>
    <row r="36" spans="1:7" hidden="1">
      <c r="A36" s="1417">
        <v>3</v>
      </c>
      <c r="B36" s="1414" t="s">
        <v>1021</v>
      </c>
      <c r="C36" s="1414"/>
      <c r="D36" s="1414"/>
      <c r="E36" s="3022"/>
      <c r="F36" s="3022"/>
      <c r="G36" s="3022"/>
    </row>
    <row r="37" spans="1:7" hidden="1">
      <c r="A37" s="1417">
        <v>4</v>
      </c>
      <c r="B37" s="1414" t="s">
        <v>1022</v>
      </c>
      <c r="C37" s="1414"/>
      <c r="D37" s="1414"/>
      <c r="E37" s="3022"/>
      <c r="F37" s="3022"/>
      <c r="G37" s="3022"/>
    </row>
    <row r="38" spans="1:7" hidden="1">
      <c r="A38" s="3023" t="s">
        <v>1023</v>
      </c>
      <c r="B38" s="3024"/>
      <c r="C38" s="3024"/>
      <c r="D38" s="3025"/>
      <c r="E38" s="3021"/>
      <c r="F38" s="3021"/>
      <c r="G38" s="302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29" t="s">
        <v>2304</v>
      </c>
      <c r="D4" s="3030"/>
      <c r="E4" s="3030"/>
      <c r="F4" s="3030"/>
      <c r="G4" s="3030"/>
      <c r="H4" s="3030"/>
      <c r="I4" s="3030"/>
      <c r="J4" s="3030"/>
      <c r="K4" s="3030"/>
      <c r="L4" s="3030"/>
      <c r="M4" s="3030"/>
      <c r="N4" s="3030"/>
      <c r="O4" s="3030"/>
      <c r="P4" s="3030"/>
      <c r="Q4" s="3030"/>
      <c r="R4" s="3030"/>
      <c r="S4" s="3031"/>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2313</v>
      </c>
      <c r="B20" s="2369"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2315</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1" t="str">
        <f>'数据-取费表'!B3</f>
        <v>元</v>
      </c>
      <c r="D23" s="84"/>
      <c r="E23" s="84"/>
      <c r="F23" s="2372" t="s">
        <v>1253</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2317</v>
      </c>
      <c r="B24" s="308" t="e">
        <f>R25</f>
        <v>#DIV/0!</v>
      </c>
      <c r="C24" s="1144"/>
      <c r="D24" s="84"/>
      <c r="E24" s="84"/>
      <c r="F24" s="84"/>
      <c r="G24" s="84"/>
      <c r="H24" s="84"/>
      <c r="I24" s="84"/>
      <c r="J24" s="84"/>
      <c r="K24" s="84"/>
      <c r="L24" s="84"/>
      <c r="M24" s="84"/>
      <c r="N24" s="84"/>
      <c r="O24" s="84"/>
      <c r="P24" s="84"/>
      <c r="Q24" s="84"/>
      <c r="R24" s="769"/>
      <c r="S24" s="14" t="s">
        <v>2318</v>
      </c>
      <c r="T24" s="1896" t="s">
        <v>2319</v>
      </c>
      <c r="U24" s="2374" t="s">
        <v>2320</v>
      </c>
      <c r="V24" s="1342"/>
      <c r="W24" s="2375" t="s">
        <v>2321</v>
      </c>
      <c r="X24" s="2374" t="s">
        <v>2322</v>
      </c>
      <c r="Y24" s="1342"/>
      <c r="Z24" s="2376" t="s">
        <v>2321</v>
      </c>
    </row>
    <row r="25" spans="1:45">
      <c r="A25" s="334" t="s">
        <v>2323</v>
      </c>
      <c r="B25" s="14">
        <f>SUM(B27:B10000)</f>
        <v>0</v>
      </c>
      <c r="C25" s="3026" t="s">
        <v>45</v>
      </c>
      <c r="D25" s="3027"/>
      <c r="E25" s="3027"/>
      <c r="F25" s="3027"/>
      <c r="G25" s="3027"/>
      <c r="H25" s="3027"/>
      <c r="I25" s="3027"/>
      <c r="J25" s="3027"/>
      <c r="K25" s="3027"/>
      <c r="L25" s="3027"/>
      <c r="M25" s="3027"/>
      <c r="N25" s="3027"/>
      <c r="O25" s="3027"/>
      <c r="P25" s="3027"/>
      <c r="Q25" s="302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2" t="s">
        <v>2329</v>
      </c>
      <c r="V26" s="2378" t="s">
        <v>2330</v>
      </c>
      <c r="W26" s="2379" t="s">
        <v>2331</v>
      </c>
      <c r="X26" s="1882" t="s">
        <v>2329</v>
      </c>
      <c r="Y26" s="2378" t="s">
        <v>2330</v>
      </c>
      <c r="Z26" s="2379"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39" zoomScale="90" zoomScaleNormal="90" workbookViewId="0">
      <selection activeCell="F19" sqref="F1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t="s">
        <v>2843</v>
      </c>
      <c r="D1" s="2380"/>
      <c r="E1" s="2381" t="s">
        <v>2850</v>
      </c>
      <c r="F1" s="1740" t="s">
        <v>2335</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2005</v>
      </c>
      <c r="B2" s="1725">
        <f>IF(D2="——",IF(C2="元",ROUND(C49*D3,0),ROUND(C49*D3/10000,0)),IF(C2="元",ROUND(C49*D3,0),ROUND(C49*D3/10000,0))-E2)</f>
        <v>6100175</v>
      </c>
      <c r="C2" s="163" t="str">
        <f>'数据-取费表'!B3</f>
        <v>元</v>
      </c>
      <c r="D2" s="2383" t="s">
        <v>1253</v>
      </c>
      <c r="E2" s="1842"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2006</v>
      </c>
      <c r="B3" s="378">
        <f>ROUND(IF(D2="——",C49,IF(C2="万元",B2*10000/D3,B2/D3)),0)</f>
        <v>61124</v>
      </c>
      <c r="C3" s="379" t="s">
        <v>2336</v>
      </c>
      <c r="D3" s="378">
        <f>IF(C1="仅计算典型户型",'数据-取费表'!E5,'数据-取费表'!B5)</f>
        <v>99.8</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2337</v>
      </c>
      <c r="B4" s="381"/>
      <c r="C4" s="3035" t="s">
        <v>2338</v>
      </c>
      <c r="D4" s="3036"/>
      <c r="E4" s="3037" t="s">
        <v>2339</v>
      </c>
      <c r="F4" s="3038"/>
      <c r="G4" s="3035" t="s">
        <v>2340</v>
      </c>
      <c r="H4" s="3036"/>
      <c r="I4" s="3035" t="s">
        <v>2341</v>
      </c>
      <c r="J4" s="3036"/>
      <c r="K4" s="2394" t="s">
        <v>2342</v>
      </c>
      <c r="L4" s="1243"/>
      <c r="M4" s="1244"/>
      <c r="N4" s="1244"/>
      <c r="O4" s="1244"/>
      <c r="P4" s="3039" t="s">
        <v>2343</v>
      </c>
      <c r="Q4" s="3040"/>
      <c r="R4" s="3045" t="s">
        <v>2339</v>
      </c>
      <c r="S4" s="3046"/>
      <c r="T4" s="3045" t="s">
        <v>2340</v>
      </c>
      <c r="U4" s="3046"/>
      <c r="V4" s="3051" t="s">
        <v>2341</v>
      </c>
      <c r="W4" s="3051"/>
      <c r="X4" s="1899"/>
      <c r="Y4" s="3045" t="s">
        <v>2343</v>
      </c>
      <c r="Z4" s="3046"/>
      <c r="AA4" s="3032" t="s">
        <v>2339</v>
      </c>
      <c r="AB4" s="3032" t="s">
        <v>2340</v>
      </c>
      <c r="AC4" s="3032" t="s">
        <v>2341</v>
      </c>
    </row>
    <row r="5" spans="1:29" ht="15">
      <c r="A5" s="383"/>
      <c r="B5" s="384"/>
      <c r="C5" s="3054" t="s">
        <v>2851</v>
      </c>
      <c r="D5" s="3055"/>
      <c r="E5" s="3052" t="s">
        <v>2852</v>
      </c>
      <c r="F5" s="3053"/>
      <c r="G5" s="3052" t="s">
        <v>2852</v>
      </c>
      <c r="H5" s="3053"/>
      <c r="I5" s="3052" t="s">
        <v>2852</v>
      </c>
      <c r="J5" s="3053"/>
      <c r="K5" s="2395"/>
      <c r="L5" s="1243"/>
      <c r="M5" s="1244"/>
      <c r="N5" s="1244"/>
      <c r="O5" s="1244"/>
      <c r="P5" s="3041"/>
      <c r="Q5" s="3042"/>
      <c r="R5" s="3047"/>
      <c r="S5" s="3048"/>
      <c r="T5" s="3047"/>
      <c r="U5" s="3048"/>
      <c r="V5" s="3051"/>
      <c r="W5" s="3051"/>
      <c r="X5" s="1899"/>
      <c r="Y5" s="3047"/>
      <c r="Z5" s="3048"/>
      <c r="AA5" s="3033"/>
      <c r="AB5" s="3033"/>
      <c r="AC5" s="3033"/>
    </row>
    <row r="6" spans="1:29" ht="15.75" thickBot="1">
      <c r="A6" s="385"/>
      <c r="B6" s="386"/>
      <c r="C6" s="3056" t="s">
        <v>2348</v>
      </c>
      <c r="D6" s="3057"/>
      <c r="E6" s="3058" t="s">
        <v>2348</v>
      </c>
      <c r="F6" s="3059"/>
      <c r="G6" s="3056" t="s">
        <v>2348</v>
      </c>
      <c r="H6" s="3057"/>
      <c r="I6" s="3056" t="s">
        <v>2348</v>
      </c>
      <c r="J6" s="3057"/>
      <c r="K6" s="2395" t="s">
        <v>2349</v>
      </c>
      <c r="L6" s="1243"/>
      <c r="M6" s="1244"/>
      <c r="N6" s="1244"/>
      <c r="O6" s="1244"/>
      <c r="P6" s="3043"/>
      <c r="Q6" s="3044"/>
      <c r="R6" s="3047"/>
      <c r="S6" s="3048"/>
      <c r="T6" s="3049"/>
      <c r="U6" s="3050"/>
      <c r="V6" s="3051"/>
      <c r="W6" s="3051"/>
      <c r="X6" s="1899"/>
      <c r="Y6" s="3049"/>
      <c r="Z6" s="3050"/>
      <c r="AA6" s="3034"/>
      <c r="AB6" s="3034"/>
      <c r="AC6" s="3034"/>
    </row>
    <row r="7" spans="1:29" s="35" customFormat="1" ht="15.75" thickBot="1">
      <c r="A7" s="387" t="s">
        <v>2350</v>
      </c>
      <c r="B7" s="388"/>
      <c r="C7" s="389">
        <f>'数据-取费表'!B2</f>
        <v>43439</v>
      </c>
      <c r="D7" s="390">
        <v>100</v>
      </c>
      <c r="E7" s="391">
        <v>43339</v>
      </c>
      <c r="F7" s="392">
        <f>SUMIF(58:58,YEAR(E7)&amp;"-"&amp;MONTH(E7),59:59)</f>
        <v>101</v>
      </c>
      <c r="G7" s="391">
        <v>43331</v>
      </c>
      <c r="H7" s="390">
        <f>SUMIF(58:58,YEAR(G7)&amp;"-"&amp;MONTH(G7),59:59)</f>
        <v>101</v>
      </c>
      <c r="I7" s="391">
        <v>43330</v>
      </c>
      <c r="J7" s="390">
        <f>SUMIF(58:58,YEAR(I7)&amp;"-"&amp;MONTH(I7),59:59)</f>
        <v>101</v>
      </c>
      <c r="K7" s="2396"/>
      <c r="L7" s="1245"/>
      <c r="M7" s="1246"/>
      <c r="N7" s="1246"/>
      <c r="O7" s="1246"/>
      <c r="P7" s="3067" t="s">
        <v>2351</v>
      </c>
      <c r="Q7" s="3069"/>
      <c r="R7" s="749" t="s">
        <v>34</v>
      </c>
      <c r="S7" s="750">
        <f t="shared" ref="S7:S15" si="0">F7</f>
        <v>101</v>
      </c>
      <c r="T7" s="749" t="s">
        <v>34</v>
      </c>
      <c r="U7" s="750">
        <f t="shared" ref="U7:U15" si="1">H7</f>
        <v>101</v>
      </c>
      <c r="V7" s="749" t="s">
        <v>34</v>
      </c>
      <c r="W7" s="750">
        <f t="shared" ref="W7:W15" si="2">J7</f>
        <v>101</v>
      </c>
      <c r="X7" s="751"/>
      <c r="Y7" s="3067" t="s">
        <v>2351</v>
      </c>
      <c r="Z7" s="3068"/>
      <c r="AA7" s="752">
        <f>D7/F7</f>
        <v>0.99009900990099009</v>
      </c>
      <c r="AB7" s="752">
        <f>D7/H7</f>
        <v>0.99009900990099009</v>
      </c>
      <c r="AC7" s="752">
        <f>D7/J7</f>
        <v>0.99009900990099009</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6"/>
      <c r="L8" s="1245"/>
      <c r="M8" s="1246"/>
      <c r="N8" s="1246"/>
      <c r="O8" s="1246"/>
      <c r="P8" s="3067" t="s">
        <v>2354</v>
      </c>
      <c r="Q8" s="3068"/>
      <c r="R8" s="749" t="s">
        <v>34</v>
      </c>
      <c r="S8" s="750">
        <f t="shared" si="0"/>
        <v>100</v>
      </c>
      <c r="T8" s="749" t="s">
        <v>34</v>
      </c>
      <c r="U8" s="750">
        <f t="shared" si="1"/>
        <v>100</v>
      </c>
      <c r="V8" s="749" t="s">
        <v>34</v>
      </c>
      <c r="W8" s="750">
        <f t="shared" si="2"/>
        <v>100</v>
      </c>
      <c r="X8" s="751"/>
      <c r="Y8" s="3067" t="s">
        <v>2354</v>
      </c>
      <c r="Z8" s="3068"/>
      <c r="AA8" s="752">
        <f t="shared" ref="AA8:AA46" si="3">D8/F8</f>
        <v>1</v>
      </c>
      <c r="AB8" s="752">
        <f t="shared" ref="AB8:AB46" si="4">D8/H8</f>
        <v>1</v>
      </c>
      <c r="AC8" s="752">
        <f t="shared" ref="AC8:AC46" si="5">D8/J8</f>
        <v>1</v>
      </c>
    </row>
    <row r="9" spans="1:29" s="35" customFormat="1">
      <c r="A9" s="395" t="s">
        <v>2355</v>
      </c>
      <c r="B9" s="28" t="s">
        <v>2356</v>
      </c>
      <c r="C9" s="2752" t="s">
        <v>2853</v>
      </c>
      <c r="D9" s="51">
        <v>100</v>
      </c>
      <c r="E9" s="2753" t="s">
        <v>2853</v>
      </c>
      <c r="F9" s="398">
        <f>SUMIF(63:63,E9,64:64)-SUMIF(63:63,C9,64:64)+100</f>
        <v>100</v>
      </c>
      <c r="G9" s="2754" t="s">
        <v>2853</v>
      </c>
      <c r="H9" s="51">
        <f>SUMIF(63:63,G9,64:64)-SUMIF(63:63,C9,64:64)+100</f>
        <v>100</v>
      </c>
      <c r="I9" s="2754" t="s">
        <v>2853</v>
      </c>
      <c r="J9" s="51">
        <f>SUMIF(63:63,I9,64:64)-SUMIF(63:63,C9,64:64)+100</f>
        <v>100</v>
      </c>
      <c r="K9" s="2396"/>
      <c r="L9" s="1245"/>
      <c r="M9" s="1246"/>
      <c r="N9" s="1246"/>
      <c r="O9" s="1246"/>
      <c r="P9" s="3070" t="s">
        <v>2357</v>
      </c>
      <c r="Q9" s="1886" t="str">
        <f t="shared" ref="Q9:Q15" si="6">B9</f>
        <v>用途</v>
      </c>
      <c r="R9" s="749" t="s">
        <v>25</v>
      </c>
      <c r="S9" s="750">
        <f t="shared" si="0"/>
        <v>100</v>
      </c>
      <c r="T9" s="749" t="s">
        <v>25</v>
      </c>
      <c r="U9" s="750">
        <f t="shared" si="1"/>
        <v>100</v>
      </c>
      <c r="V9" s="749" t="s">
        <v>25</v>
      </c>
      <c r="W9" s="750">
        <f t="shared" si="2"/>
        <v>100</v>
      </c>
      <c r="X9" s="751"/>
      <c r="Y9" s="2883" t="s">
        <v>2358</v>
      </c>
      <c r="Z9" s="23" t="str">
        <f t="shared" ref="Z9:Z15" si="7">Q9</f>
        <v>用途</v>
      </c>
      <c r="AA9" s="752">
        <f t="shared" si="3"/>
        <v>1</v>
      </c>
      <c r="AB9" s="752">
        <f t="shared" si="4"/>
        <v>1</v>
      </c>
      <c r="AC9" s="752">
        <f t="shared" si="5"/>
        <v>1</v>
      </c>
    </row>
    <row r="10" spans="1:29" s="407" customFormat="1" ht="27.75" thickBot="1">
      <c r="A10" s="401"/>
      <c r="B10" s="402" t="s">
        <v>2359</v>
      </c>
      <c r="C10" s="403" t="s">
        <v>2901</v>
      </c>
      <c r="D10" s="52">
        <v>100</v>
      </c>
      <c r="E10" s="404" t="s">
        <v>2854</v>
      </c>
      <c r="F10" s="405">
        <f>SUMIF(65:65,E10,66:66)-SUMIF(65:65,C10,66:66)+100</f>
        <v>99.5</v>
      </c>
      <c r="G10" s="403" t="s">
        <v>2854</v>
      </c>
      <c r="H10" s="52">
        <f>SUMIF(65:65,G10,66:66)-SUMIF(65:65,C10,66:66)+100</f>
        <v>99.5</v>
      </c>
      <c r="I10" s="403" t="s">
        <v>2854</v>
      </c>
      <c r="J10" s="52">
        <f>SUMIF(65:65,I10,66:66)-SUMIF(65:65,C10,66:66)+100</f>
        <v>99.5</v>
      </c>
      <c r="K10" s="406">
        <v>0.5</v>
      </c>
      <c r="L10" s="1248"/>
      <c r="M10" s="1249"/>
      <c r="N10" s="1249"/>
      <c r="O10" s="1249"/>
      <c r="P10" s="3070"/>
      <c r="Q10" s="1886" t="str">
        <f t="shared" si="6"/>
        <v>土地使用年限（年）</v>
      </c>
      <c r="R10" s="749" t="s">
        <v>25</v>
      </c>
      <c r="S10" s="750">
        <f t="shared" si="0"/>
        <v>99.5</v>
      </c>
      <c r="T10" s="749" t="s">
        <v>25</v>
      </c>
      <c r="U10" s="750">
        <f t="shared" si="1"/>
        <v>99.5</v>
      </c>
      <c r="V10" s="749" t="s">
        <v>25</v>
      </c>
      <c r="W10" s="750">
        <f t="shared" si="2"/>
        <v>99.5</v>
      </c>
      <c r="X10" s="751"/>
      <c r="Y10" s="2883"/>
      <c r="Z10" s="23" t="str">
        <f t="shared" si="7"/>
        <v>土地使用年限（年）</v>
      </c>
      <c r="AA10" s="752">
        <f t="shared" si="3"/>
        <v>1.0050251256281406</v>
      </c>
      <c r="AB10" s="752">
        <f t="shared" si="4"/>
        <v>1.0050251256281406</v>
      </c>
      <c r="AC10" s="752">
        <f t="shared" si="5"/>
        <v>1.0050251256281406</v>
      </c>
    </row>
    <row r="11" spans="1:29" ht="15.75" hidden="1" thickBot="1">
      <c r="A11" s="408"/>
      <c r="B11" s="402" t="s">
        <v>2360</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70"/>
      <c r="Q11" s="1886" t="str">
        <f t="shared" si="6"/>
        <v>容积率</v>
      </c>
      <c r="R11" s="749" t="s">
        <v>28</v>
      </c>
      <c r="S11" s="750">
        <f t="shared" si="0"/>
        <v>100</v>
      </c>
      <c r="T11" s="749" t="s">
        <v>28</v>
      </c>
      <c r="U11" s="750">
        <f t="shared" si="1"/>
        <v>100</v>
      </c>
      <c r="V11" s="749" t="s">
        <v>28</v>
      </c>
      <c r="W11" s="750">
        <f t="shared" si="2"/>
        <v>100</v>
      </c>
      <c r="X11" s="751"/>
      <c r="Y11" s="2883"/>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70"/>
      <c r="Q12" s="1886">
        <f t="shared" si="6"/>
        <v>111</v>
      </c>
      <c r="R12" s="749" t="s">
        <v>28</v>
      </c>
      <c r="S12" s="750">
        <f t="shared" si="0"/>
        <v>100</v>
      </c>
      <c r="T12" s="749" t="s">
        <v>28</v>
      </c>
      <c r="U12" s="750">
        <f t="shared" si="1"/>
        <v>100</v>
      </c>
      <c r="V12" s="749" t="s">
        <v>28</v>
      </c>
      <c r="W12" s="750">
        <f t="shared" si="2"/>
        <v>100</v>
      </c>
      <c r="X12" s="751"/>
      <c r="Y12" s="2883"/>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70"/>
      <c r="Q13" s="1886">
        <f t="shared" si="6"/>
        <v>111</v>
      </c>
      <c r="R13" s="749" t="s">
        <v>28</v>
      </c>
      <c r="S13" s="750">
        <f t="shared" si="0"/>
        <v>100</v>
      </c>
      <c r="T13" s="749" t="s">
        <v>28</v>
      </c>
      <c r="U13" s="750">
        <f t="shared" si="1"/>
        <v>100</v>
      </c>
      <c r="V13" s="749" t="s">
        <v>28</v>
      </c>
      <c r="W13" s="750">
        <f t="shared" si="2"/>
        <v>100</v>
      </c>
      <c r="X13" s="751"/>
      <c r="Y13" s="2883"/>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70"/>
      <c r="Q14" s="1886">
        <f t="shared" si="6"/>
        <v>111</v>
      </c>
      <c r="R14" s="749" t="s">
        <v>28</v>
      </c>
      <c r="S14" s="750">
        <f t="shared" si="0"/>
        <v>100</v>
      </c>
      <c r="T14" s="749" t="s">
        <v>28</v>
      </c>
      <c r="U14" s="750">
        <f t="shared" si="1"/>
        <v>100</v>
      </c>
      <c r="V14" s="749" t="s">
        <v>28</v>
      </c>
      <c r="W14" s="750">
        <f t="shared" si="2"/>
        <v>100</v>
      </c>
      <c r="X14" s="751"/>
      <c r="Y14" s="2883"/>
      <c r="Z14" s="23">
        <f t="shared" si="7"/>
        <v>111</v>
      </c>
      <c r="AA14" s="752">
        <f t="shared" si="3"/>
        <v>1</v>
      </c>
      <c r="AB14" s="752">
        <f t="shared" si="4"/>
        <v>1</v>
      </c>
      <c r="AC14" s="752">
        <f t="shared" si="5"/>
        <v>1</v>
      </c>
    </row>
    <row r="15" spans="1:29" ht="85.5">
      <c r="A15" s="419" t="s">
        <v>2361</v>
      </c>
      <c r="B15" s="26" t="s">
        <v>1739</v>
      </c>
      <c r="C15" s="2401" t="str">
        <f>估价对象房地状况!C3</f>
        <v>周边有清润家园、水木天成、永泰园、清缘里中区、永泰东里等居住社区成熟度较好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73" t="s">
        <v>2362</v>
      </c>
      <c r="Q15" s="1898" t="str">
        <f t="shared" si="6"/>
        <v>居住社区成熟度</v>
      </c>
      <c r="R15" s="753" t="s">
        <v>28</v>
      </c>
      <c r="S15" s="754">
        <f t="shared" si="0"/>
        <v>100</v>
      </c>
      <c r="T15" s="753" t="s">
        <v>28</v>
      </c>
      <c r="U15" s="754">
        <f t="shared" si="1"/>
        <v>100</v>
      </c>
      <c r="V15" s="753" t="s">
        <v>28</v>
      </c>
      <c r="W15" s="754">
        <f t="shared" si="2"/>
        <v>100</v>
      </c>
      <c r="X15" s="1899"/>
      <c r="Y15" s="3060" t="s">
        <v>2362</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74"/>
      <c r="Q16" s="1898"/>
      <c r="R16" s="753"/>
      <c r="S16" s="754"/>
      <c r="T16" s="753"/>
      <c r="U16" s="754"/>
      <c r="V16" s="753"/>
      <c r="W16" s="754"/>
      <c r="X16" s="1899"/>
      <c r="Y16" s="3061"/>
      <c r="Z16" s="1901"/>
      <c r="AA16" s="1902">
        <v>1</v>
      </c>
      <c r="AB16" s="1902">
        <v>1</v>
      </c>
      <c r="AC16" s="1902">
        <v>1</v>
      </c>
    </row>
    <row r="17" spans="1:29" ht="115.5" customHeight="1">
      <c r="A17" s="408"/>
      <c r="B17" s="431" t="s">
        <v>1748</v>
      </c>
      <c r="C17" s="2404" t="str">
        <f>估价对象房地状况!C6</f>
        <v>临近城市高速路——京藏高速，周边有专43号、专89号、307号、345号、355号路等多条公交线路及地铁8号线（永泰站），交通状况较好。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74"/>
      <c r="Q17" s="1898" t="str">
        <f>B17</f>
        <v>交通便捷度</v>
      </c>
      <c r="R17" s="753" t="s">
        <v>28</v>
      </c>
      <c r="S17" s="754">
        <f>F17</f>
        <v>100</v>
      </c>
      <c r="T17" s="753" t="s">
        <v>28</v>
      </c>
      <c r="U17" s="754">
        <f>H17</f>
        <v>100</v>
      </c>
      <c r="V17" s="753" t="s">
        <v>28</v>
      </c>
      <c r="W17" s="754">
        <f>J17</f>
        <v>100</v>
      </c>
      <c r="X17" s="1899"/>
      <c r="Y17" s="3061"/>
      <c r="Z17" s="1901" t="str">
        <f>Q17</f>
        <v>交通便捷度</v>
      </c>
      <c r="AA17" s="1902">
        <f t="shared" si="3"/>
        <v>1</v>
      </c>
      <c r="AB17" s="1902">
        <f t="shared" si="4"/>
        <v>1</v>
      </c>
      <c r="AC17" s="1902">
        <f t="shared" si="5"/>
        <v>1</v>
      </c>
    </row>
    <row r="18" spans="1:29" ht="15">
      <c r="A18" s="408"/>
      <c r="B18" s="436"/>
      <c r="C18" s="437" t="s">
        <v>30</v>
      </c>
      <c r="D18" s="430"/>
      <c r="E18" s="428" t="s">
        <v>30</v>
      </c>
      <c r="F18" s="433"/>
      <c r="G18" s="428" t="s">
        <v>30</v>
      </c>
      <c r="H18" s="427"/>
      <c r="I18" s="428" t="s">
        <v>30</v>
      </c>
      <c r="J18" s="427"/>
      <c r="K18" s="2403"/>
      <c r="L18" s="1253"/>
      <c r="M18" s="1244"/>
      <c r="N18" s="1244"/>
      <c r="O18" s="1244"/>
      <c r="P18" s="3074"/>
      <c r="Q18" s="1898"/>
      <c r="R18" s="753"/>
      <c r="S18" s="754"/>
      <c r="T18" s="753"/>
      <c r="U18" s="754"/>
      <c r="V18" s="753"/>
      <c r="W18" s="754"/>
      <c r="X18" s="1899"/>
      <c r="Y18" s="3061"/>
      <c r="Z18" s="1901"/>
      <c r="AA18" s="1902">
        <v>1</v>
      </c>
      <c r="AB18" s="1902">
        <v>1</v>
      </c>
      <c r="AC18" s="1902">
        <v>1</v>
      </c>
    </row>
    <row r="19" spans="1:29" ht="78.75" customHeight="1">
      <c r="A19" s="408"/>
      <c r="B19" s="431" t="s">
        <v>1746</v>
      </c>
      <c r="C19" s="2404" t="str">
        <f>估价对象房地状况!C7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74"/>
      <c r="Q19" s="1898" t="str">
        <f>B19</f>
        <v>公共配套设施</v>
      </c>
      <c r="R19" s="753" t="s">
        <v>28</v>
      </c>
      <c r="S19" s="754">
        <f>F19</f>
        <v>100</v>
      </c>
      <c r="T19" s="753" t="s">
        <v>28</v>
      </c>
      <c r="U19" s="754">
        <f>H19</f>
        <v>100</v>
      </c>
      <c r="V19" s="753" t="s">
        <v>28</v>
      </c>
      <c r="W19" s="754">
        <f>J19</f>
        <v>100</v>
      </c>
      <c r="X19" s="1899"/>
      <c r="Y19" s="3061"/>
      <c r="Z19" s="1901" t="str">
        <f>Q19</f>
        <v>公共配套设施</v>
      </c>
      <c r="AA19" s="1902">
        <f t="shared" si="3"/>
        <v>1</v>
      </c>
      <c r="AB19" s="1902">
        <f t="shared" si="4"/>
        <v>1</v>
      </c>
      <c r="AC19" s="1902">
        <f t="shared" si="5"/>
        <v>1</v>
      </c>
    </row>
    <row r="20" spans="1:29" ht="15">
      <c r="A20" s="408"/>
      <c r="B20" s="436"/>
      <c r="C20" s="428" t="s">
        <v>30</v>
      </c>
      <c r="D20" s="427"/>
      <c r="E20" s="428" t="s">
        <v>30</v>
      </c>
      <c r="F20" s="429"/>
      <c r="G20" s="428" t="s">
        <v>30</v>
      </c>
      <c r="H20" s="427"/>
      <c r="I20" s="428" t="s">
        <v>30</v>
      </c>
      <c r="J20" s="427"/>
      <c r="K20" s="2403"/>
      <c r="L20" s="1253"/>
      <c r="M20" s="1244"/>
      <c r="N20" s="1244"/>
      <c r="O20" s="1244"/>
      <c r="P20" s="3074"/>
      <c r="Q20" s="1898"/>
      <c r="R20" s="753"/>
      <c r="S20" s="754"/>
      <c r="T20" s="753"/>
      <c r="U20" s="754"/>
      <c r="V20" s="753"/>
      <c r="W20" s="754"/>
      <c r="X20" s="1899"/>
      <c r="Y20" s="3061"/>
      <c r="Z20" s="1901"/>
      <c r="AA20" s="1902">
        <v>1</v>
      </c>
      <c r="AB20" s="1902">
        <v>1</v>
      </c>
      <c r="AC20" s="1902">
        <v>1</v>
      </c>
    </row>
    <row r="21" spans="1:29" ht="20.25" customHeight="1">
      <c r="A21" s="408"/>
      <c r="B21" s="2406" t="s">
        <v>1749</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74"/>
      <c r="Q21" s="1898" t="str">
        <f>B21</f>
        <v>基础设施水平</v>
      </c>
      <c r="R21" s="753" t="s">
        <v>28</v>
      </c>
      <c r="S21" s="754">
        <f>F21</f>
        <v>100</v>
      </c>
      <c r="T21" s="753" t="s">
        <v>28</v>
      </c>
      <c r="U21" s="754">
        <f>H21</f>
        <v>100</v>
      </c>
      <c r="V21" s="753" t="s">
        <v>28</v>
      </c>
      <c r="W21" s="754">
        <f>J21</f>
        <v>100</v>
      </c>
      <c r="X21" s="1899"/>
      <c r="Y21" s="3061"/>
      <c r="Z21" s="1901" t="str">
        <f>Q21</f>
        <v>基础设施水平</v>
      </c>
      <c r="AA21" s="1902">
        <f t="shared" ref="AA21" si="8">D21/F21</f>
        <v>1</v>
      </c>
      <c r="AB21" s="1902">
        <f t="shared" ref="AB21" si="9">D21/H21</f>
        <v>1</v>
      </c>
      <c r="AC21" s="1902">
        <f t="shared" ref="AC21" si="10">D21/J21</f>
        <v>1</v>
      </c>
    </row>
    <row r="22" spans="1:29" ht="15">
      <c r="A22" s="408"/>
      <c r="B22" s="2406"/>
      <c r="C22" s="437" t="s">
        <v>2855</v>
      </c>
      <c r="D22" s="427"/>
      <c r="E22" s="437" t="s">
        <v>2855</v>
      </c>
      <c r="F22" s="429"/>
      <c r="G22" s="437" t="s">
        <v>2855</v>
      </c>
      <c r="H22" s="427"/>
      <c r="I22" s="437" t="s">
        <v>2855</v>
      </c>
      <c r="J22" s="427"/>
      <c r="K22" s="2407"/>
      <c r="L22" s="1253"/>
      <c r="M22" s="1244"/>
      <c r="N22" s="1244"/>
      <c r="O22" s="1244"/>
      <c r="P22" s="3074"/>
      <c r="Q22" s="1898"/>
      <c r="R22" s="753"/>
      <c r="S22" s="754"/>
      <c r="T22" s="753"/>
      <c r="U22" s="754"/>
      <c r="V22" s="753"/>
      <c r="W22" s="754"/>
      <c r="X22" s="1899"/>
      <c r="Y22" s="3061"/>
      <c r="Z22" s="1901"/>
      <c r="AA22" s="1902">
        <v>1</v>
      </c>
      <c r="AB22" s="1902">
        <v>1</v>
      </c>
      <c r="AC22" s="1902">
        <v>1</v>
      </c>
    </row>
    <row r="23" spans="1:29" ht="108" customHeight="1">
      <c r="A23" s="408"/>
      <c r="B23" s="431" t="s">
        <v>1753</v>
      </c>
      <c r="C23" s="2404" t="str">
        <f>估价对象房地状况!C9</f>
        <v>区域自然环境：清河、奥林匹克森林公园、西三旗公园；人文环境：北京信息科技大学（清河小营校区）；综合评价环境状况较好。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74"/>
      <c r="Q23" s="1898" t="str">
        <f>B23</f>
        <v>自然及人文环境</v>
      </c>
      <c r="R23" s="753" t="s">
        <v>28</v>
      </c>
      <c r="S23" s="754">
        <f>F23</f>
        <v>100</v>
      </c>
      <c r="T23" s="753" t="s">
        <v>28</v>
      </c>
      <c r="U23" s="754">
        <f>H23</f>
        <v>100</v>
      </c>
      <c r="V23" s="753" t="s">
        <v>28</v>
      </c>
      <c r="W23" s="754">
        <f>J23</f>
        <v>100</v>
      </c>
      <c r="X23" s="1899"/>
      <c r="Y23" s="3061"/>
      <c r="Z23" s="1901" t="str">
        <f>Q23</f>
        <v>自然及人文环境</v>
      </c>
      <c r="AA23" s="1902">
        <f t="shared" si="3"/>
        <v>1</v>
      </c>
      <c r="AB23" s="1902">
        <f t="shared" si="4"/>
        <v>1</v>
      </c>
      <c r="AC23" s="1902">
        <f t="shared" si="5"/>
        <v>1</v>
      </c>
    </row>
    <row r="24" spans="1:29" ht="15">
      <c r="A24" s="408"/>
      <c r="B24" s="436"/>
      <c r="C24" s="426" t="s">
        <v>30</v>
      </c>
      <c r="D24" s="427"/>
      <c r="E24" s="426" t="s">
        <v>30</v>
      </c>
      <c r="F24" s="429"/>
      <c r="G24" s="426" t="s">
        <v>30</v>
      </c>
      <c r="H24" s="427"/>
      <c r="I24" s="426" t="s">
        <v>30</v>
      </c>
      <c r="J24" s="427"/>
      <c r="K24" s="2403"/>
      <c r="L24" s="1253"/>
      <c r="M24" s="1244"/>
      <c r="N24" s="1244"/>
      <c r="O24" s="1244"/>
      <c r="P24" s="3074"/>
      <c r="Q24" s="1898"/>
      <c r="R24" s="753"/>
      <c r="S24" s="754"/>
      <c r="T24" s="753"/>
      <c r="U24" s="754"/>
      <c r="V24" s="753"/>
      <c r="W24" s="754"/>
      <c r="X24" s="1899"/>
      <c r="Y24" s="3061"/>
      <c r="Z24" s="1901"/>
      <c r="AA24" s="1902">
        <v>1</v>
      </c>
      <c r="AB24" s="1902">
        <v>1</v>
      </c>
      <c r="AC24" s="1902">
        <v>1</v>
      </c>
    </row>
    <row r="25" spans="1:29" ht="15" hidden="1">
      <c r="A25" s="408"/>
      <c r="B25" s="402" t="s">
        <v>2363</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74"/>
      <c r="Q25" s="1898" t="str">
        <f t="shared" ref="Q25:Q46" si="11">B25</f>
        <v>楼层-1</v>
      </c>
      <c r="R25" s="753" t="s">
        <v>28</v>
      </c>
      <c r="S25" s="754">
        <f>F25</f>
        <v>100</v>
      </c>
      <c r="T25" s="753" t="s">
        <v>28</v>
      </c>
      <c r="U25" s="754">
        <f>H25</f>
        <v>100</v>
      </c>
      <c r="V25" s="753" t="s">
        <v>28</v>
      </c>
      <c r="W25" s="754">
        <f>J25</f>
        <v>100</v>
      </c>
      <c r="X25" s="1899"/>
      <c r="Y25" s="3061"/>
      <c r="Z25" s="1901" t="str">
        <f>Q25</f>
        <v>楼层-1</v>
      </c>
      <c r="AA25" s="1902">
        <f t="shared" si="3"/>
        <v>1</v>
      </c>
      <c r="AB25" s="1902">
        <f t="shared" si="4"/>
        <v>1</v>
      </c>
      <c r="AC25" s="1902">
        <f t="shared" si="5"/>
        <v>1</v>
      </c>
    </row>
    <row r="26" spans="1:29" ht="15">
      <c r="A26" s="408"/>
      <c r="B26" s="402" t="s">
        <v>2364</v>
      </c>
      <c r="C26" s="441" t="s">
        <v>2872</v>
      </c>
      <c r="D26" s="415">
        <v>100</v>
      </c>
      <c r="E26" s="2408" t="s">
        <v>2873</v>
      </c>
      <c r="F26" s="442">
        <f>SUMIF(88:88,E26,89:89)-SUMIF(88:88,C26,89:89)+100</f>
        <v>102</v>
      </c>
      <c r="G26" s="2409" t="s">
        <v>2874</v>
      </c>
      <c r="H26" s="415">
        <f>SUMIF(88:88,G26,89:89)-SUMIF(88:88,C26,89:89)+100</f>
        <v>99.5</v>
      </c>
      <c r="I26" s="2408" t="s">
        <v>2873</v>
      </c>
      <c r="J26" s="415">
        <f>SUMIF(88:88,I26,89:89)-SUMIF(88:88,C26,89:89)+100</f>
        <v>102</v>
      </c>
      <c r="K26" s="406">
        <v>0.5</v>
      </c>
      <c r="L26" s="1253"/>
      <c r="M26" s="1244"/>
      <c r="N26" s="1244"/>
      <c r="O26" s="1244"/>
      <c r="P26" s="3074"/>
      <c r="Q26" s="1898" t="str">
        <f t="shared" si="11"/>
        <v>朝向</v>
      </c>
      <c r="R26" s="753" t="s">
        <v>28</v>
      </c>
      <c r="S26" s="754">
        <f>F26</f>
        <v>102</v>
      </c>
      <c r="T26" s="753" t="s">
        <v>28</v>
      </c>
      <c r="U26" s="754">
        <f>H26</f>
        <v>99.5</v>
      </c>
      <c r="V26" s="753" t="s">
        <v>28</v>
      </c>
      <c r="W26" s="754">
        <f>J26</f>
        <v>102</v>
      </c>
      <c r="X26" s="1899"/>
      <c r="Y26" s="3061"/>
      <c r="Z26" s="1901" t="str">
        <f>Q26</f>
        <v>朝向</v>
      </c>
      <c r="AA26" s="1902">
        <f t="shared" si="3"/>
        <v>0.98039215686274506</v>
      </c>
      <c r="AB26" s="1902">
        <f t="shared" si="4"/>
        <v>1.0050251256281406</v>
      </c>
      <c r="AC26" s="1902">
        <f t="shared" si="5"/>
        <v>0.98039215686274506</v>
      </c>
    </row>
    <row r="27" spans="1:29" s="35" customFormat="1" ht="27">
      <c r="A27" s="411"/>
      <c r="B27" s="2397" t="s">
        <v>2365</v>
      </c>
      <c r="C27" s="2762" t="s">
        <v>2875</v>
      </c>
      <c r="D27" s="443">
        <v>100</v>
      </c>
      <c r="E27" s="2762" t="s">
        <v>2875</v>
      </c>
      <c r="F27" s="445">
        <f>SUMIF(90:90,E27,91:91)-SUMIF(90:90,C27,91:91)+100</f>
        <v>100</v>
      </c>
      <c r="G27" s="2762" t="s">
        <v>2875</v>
      </c>
      <c r="H27" s="443">
        <f>SUMIF(90:90,G27,91:91)-SUMIF(90:90,C27,91:91)+100</f>
        <v>100</v>
      </c>
      <c r="I27" s="2762" t="s">
        <v>2875</v>
      </c>
      <c r="J27" s="443">
        <f>SUMIF(90:90,I27,91:91)-SUMIF(90:90,C27,91:91)+100</f>
        <v>100</v>
      </c>
      <c r="K27" s="2398"/>
      <c r="L27" s="1245"/>
      <c r="M27" s="1246"/>
      <c r="N27" s="1246"/>
      <c r="O27" s="1246"/>
      <c r="P27" s="3074"/>
      <c r="Q27" s="1886" t="str">
        <f t="shared" si="11"/>
        <v>道路级别</v>
      </c>
      <c r="R27" s="749" t="s">
        <v>28</v>
      </c>
      <c r="S27" s="750">
        <f>F27</f>
        <v>100</v>
      </c>
      <c r="T27" s="749" t="s">
        <v>28</v>
      </c>
      <c r="U27" s="750">
        <f>H27</f>
        <v>100</v>
      </c>
      <c r="V27" s="749" t="s">
        <v>28</v>
      </c>
      <c r="W27" s="750">
        <f>J27</f>
        <v>100</v>
      </c>
      <c r="X27" s="751"/>
      <c r="Y27" s="3061"/>
      <c r="Z27" s="23" t="str">
        <f>Q27</f>
        <v>道路级别</v>
      </c>
      <c r="AA27" s="1902">
        <f>D27/F27</f>
        <v>1</v>
      </c>
      <c r="AB27" s="1902">
        <f>D27/H27</f>
        <v>1</v>
      </c>
      <c r="AC27" s="1902">
        <f>D27/J27</f>
        <v>1</v>
      </c>
    </row>
    <row r="28" spans="1:29" ht="15.75" thickBot="1">
      <c r="A28" s="408"/>
      <c r="B28" s="2763" t="s">
        <v>2876</v>
      </c>
      <c r="C28" s="2764" t="s">
        <v>2877</v>
      </c>
      <c r="D28" s="415">
        <v>100</v>
      </c>
      <c r="E28" s="2764" t="s">
        <v>2878</v>
      </c>
      <c r="F28" s="442">
        <f>SUMIF(92:92,E28,93:93)-SUMIF(92:92,C28,93:93)+100</f>
        <v>100</v>
      </c>
      <c r="G28" s="2764" t="s">
        <v>2879</v>
      </c>
      <c r="H28" s="415">
        <f>SUMIF(92:92,G28,93:93)-SUMIF(92:92,C28,93:93)+100</f>
        <v>103</v>
      </c>
      <c r="I28" s="2764" t="s">
        <v>2880</v>
      </c>
      <c r="J28" s="415">
        <f>SUMIF(92:92,I28,93:93)-SUMIF(92:92,C28,93:93)+100</f>
        <v>101.5</v>
      </c>
      <c r="K28" s="2398"/>
      <c r="L28" s="1253"/>
      <c r="M28" s="1244"/>
      <c r="N28" s="1244"/>
      <c r="O28" s="1244"/>
      <c r="P28" s="3074"/>
      <c r="Q28" s="1898" t="str">
        <f t="shared" si="11"/>
        <v>楼层</v>
      </c>
      <c r="R28" s="753" t="s">
        <v>28</v>
      </c>
      <c r="S28" s="754">
        <f t="shared" ref="S28:S46" si="12">F28</f>
        <v>100</v>
      </c>
      <c r="T28" s="753" t="s">
        <v>28</v>
      </c>
      <c r="U28" s="754">
        <f t="shared" ref="U28:U46" si="13">H28</f>
        <v>103</v>
      </c>
      <c r="V28" s="753" t="s">
        <v>28</v>
      </c>
      <c r="W28" s="754">
        <f t="shared" ref="W28:W46" si="14">J28</f>
        <v>101.5</v>
      </c>
      <c r="X28" s="1899"/>
      <c r="Y28" s="3061"/>
      <c r="Z28" s="1901" t="str">
        <f t="shared" ref="Z28:Z46" si="15">Q28</f>
        <v>楼层</v>
      </c>
      <c r="AA28" s="1902">
        <f t="shared" si="3"/>
        <v>1</v>
      </c>
      <c r="AB28" s="1902">
        <f t="shared" si="4"/>
        <v>0.970873786407767</v>
      </c>
      <c r="AC28" s="1902">
        <f t="shared" si="5"/>
        <v>0.98522167487684731</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74"/>
      <c r="Q29" s="1898">
        <f t="shared" si="11"/>
        <v>111</v>
      </c>
      <c r="R29" s="753" t="s">
        <v>28</v>
      </c>
      <c r="S29" s="754">
        <f t="shared" si="12"/>
        <v>100</v>
      </c>
      <c r="T29" s="753" t="s">
        <v>28</v>
      </c>
      <c r="U29" s="754">
        <f t="shared" si="13"/>
        <v>100</v>
      </c>
      <c r="V29" s="753" t="s">
        <v>28</v>
      </c>
      <c r="W29" s="754">
        <f t="shared" si="14"/>
        <v>100</v>
      </c>
      <c r="X29" s="1899"/>
      <c r="Y29" s="3061"/>
      <c r="Z29" s="1901">
        <f t="shared" si="15"/>
        <v>111</v>
      </c>
      <c r="AA29" s="1902">
        <f t="shared" si="3"/>
        <v>1</v>
      </c>
      <c r="AB29" s="1902">
        <f t="shared" si="4"/>
        <v>1</v>
      </c>
      <c r="AC29" s="1902">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74"/>
      <c r="Q30" s="1898">
        <f t="shared" si="11"/>
        <v>111</v>
      </c>
      <c r="R30" s="753" t="s">
        <v>28</v>
      </c>
      <c r="S30" s="754">
        <f t="shared" si="12"/>
        <v>100</v>
      </c>
      <c r="T30" s="753" t="s">
        <v>28</v>
      </c>
      <c r="U30" s="754">
        <f t="shared" si="13"/>
        <v>100</v>
      </c>
      <c r="V30" s="753" t="s">
        <v>28</v>
      </c>
      <c r="W30" s="754">
        <f t="shared" si="14"/>
        <v>100</v>
      </c>
      <c r="X30" s="1899"/>
      <c r="Y30" s="3061"/>
      <c r="Z30" s="1901">
        <f t="shared" si="15"/>
        <v>111</v>
      </c>
      <c r="AA30" s="1902">
        <f t="shared" si="3"/>
        <v>1</v>
      </c>
      <c r="AB30" s="1902">
        <f t="shared" si="4"/>
        <v>1</v>
      </c>
      <c r="AC30" s="1902">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74"/>
      <c r="Q31" s="1898">
        <f t="shared" si="11"/>
        <v>111</v>
      </c>
      <c r="R31" s="753" t="s">
        <v>28</v>
      </c>
      <c r="S31" s="754">
        <f t="shared" si="12"/>
        <v>100</v>
      </c>
      <c r="T31" s="753" t="s">
        <v>28</v>
      </c>
      <c r="U31" s="754">
        <f t="shared" si="13"/>
        <v>100</v>
      </c>
      <c r="V31" s="753" t="s">
        <v>28</v>
      </c>
      <c r="W31" s="754">
        <f t="shared" si="14"/>
        <v>100</v>
      </c>
      <c r="X31" s="1899"/>
      <c r="Y31" s="3061"/>
      <c r="Z31" s="1901">
        <f t="shared" si="15"/>
        <v>111</v>
      </c>
      <c r="AA31" s="1902">
        <f t="shared" si="3"/>
        <v>1</v>
      </c>
      <c r="AB31" s="1902">
        <f t="shared" si="4"/>
        <v>1</v>
      </c>
      <c r="AC31" s="1902">
        <f t="shared" si="5"/>
        <v>1</v>
      </c>
    </row>
    <row r="32" spans="1:29" ht="15">
      <c r="A32" s="419" t="s">
        <v>2366</v>
      </c>
      <c r="B32" s="28" t="s">
        <v>2367</v>
      </c>
      <c r="C32" s="2411" t="s">
        <v>2896</v>
      </c>
      <c r="D32" s="448">
        <v>100</v>
      </c>
      <c r="E32" s="2411" t="s">
        <v>2896</v>
      </c>
      <c r="F32" s="442">
        <f>SUMIF(100:100,E32,101:101)-SUMIF(100:100,C32,101:101)+100</f>
        <v>100</v>
      </c>
      <c r="G32" s="2411" t="s">
        <v>2896</v>
      </c>
      <c r="H32" s="448">
        <f>SUMIF(100:100,G32,101:101)-SUMIF(100:100,C32,101:101)+100</f>
        <v>100</v>
      </c>
      <c r="I32" s="2411" t="s">
        <v>2896</v>
      </c>
      <c r="J32" s="415">
        <f>SUMIF(100:100,I32,101:101)-SUMIF(100:100,C32,101:101)+100</f>
        <v>100</v>
      </c>
      <c r="K32" s="406"/>
      <c r="L32" s="1253"/>
      <c r="M32" s="1244"/>
      <c r="N32" s="1244"/>
      <c r="O32" s="1244"/>
      <c r="P32" s="3062" t="s">
        <v>2368</v>
      </c>
      <c r="Q32" s="1898" t="str">
        <f t="shared" si="11"/>
        <v>建筑类型</v>
      </c>
      <c r="R32" s="753" t="s">
        <v>28</v>
      </c>
      <c r="S32" s="754">
        <f t="shared" si="12"/>
        <v>100</v>
      </c>
      <c r="T32" s="753" t="s">
        <v>28</v>
      </c>
      <c r="U32" s="754">
        <f t="shared" si="13"/>
        <v>100</v>
      </c>
      <c r="V32" s="753" t="s">
        <v>28</v>
      </c>
      <c r="W32" s="754">
        <f t="shared" si="14"/>
        <v>100</v>
      </c>
      <c r="X32" s="1899"/>
      <c r="Y32" s="3065" t="s">
        <v>2368</v>
      </c>
      <c r="Z32" s="1901" t="str">
        <f t="shared" si="15"/>
        <v>建筑类型</v>
      </c>
      <c r="AA32" s="1902">
        <f t="shared" si="3"/>
        <v>1</v>
      </c>
      <c r="AB32" s="1902">
        <f t="shared" si="4"/>
        <v>1</v>
      </c>
      <c r="AC32" s="1902">
        <f t="shared" si="5"/>
        <v>1</v>
      </c>
    </row>
    <row r="33" spans="1:29" s="452" customFormat="1" ht="15" hidden="1">
      <c r="A33" s="449"/>
      <c r="B33" s="402" t="s">
        <v>2369</v>
      </c>
      <c r="C33" s="450">
        <v>100</v>
      </c>
      <c r="D33" s="52">
        <v>100</v>
      </c>
      <c r="E33" s="450">
        <v>100</v>
      </c>
      <c r="F33" s="405">
        <f>LOOKUP(E33,103:103,104:104)-LOOKUP(C33,103:103,104:104)+100</f>
        <v>100</v>
      </c>
      <c r="G33" s="450">
        <v>100</v>
      </c>
      <c r="H33" s="52">
        <f>LOOKUP(G33,103:103,104:104)-LOOKUP(C33,103:103,104:104)+100</f>
        <v>100</v>
      </c>
      <c r="I33" s="450">
        <v>100</v>
      </c>
      <c r="J33" s="52">
        <f>LOOKUP(I33,103:103,104:104)-LOOKUP(C33,103:103,104:104)+100</f>
        <v>100</v>
      </c>
      <c r="K33" s="2398"/>
      <c r="L33" s="1251"/>
      <c r="M33" s="1254"/>
      <c r="N33" s="1254"/>
      <c r="O33" s="1254"/>
      <c r="P33" s="3063"/>
      <c r="Q33" s="755" t="str">
        <f t="shared" si="11"/>
        <v>项目建筑规模</v>
      </c>
      <c r="R33" s="756" t="s">
        <v>28</v>
      </c>
      <c r="S33" s="757">
        <f t="shared" si="12"/>
        <v>100</v>
      </c>
      <c r="T33" s="756" t="s">
        <v>28</v>
      </c>
      <c r="U33" s="757">
        <f t="shared" si="13"/>
        <v>100</v>
      </c>
      <c r="V33" s="756" t="s">
        <v>28</v>
      </c>
      <c r="W33" s="757">
        <f t="shared" si="14"/>
        <v>100</v>
      </c>
      <c r="X33" s="758"/>
      <c r="Y33" s="3065"/>
      <c r="Z33" s="759" t="str">
        <f t="shared" si="15"/>
        <v>项目建筑规模</v>
      </c>
      <c r="AA33" s="1902">
        <f t="shared" si="3"/>
        <v>1</v>
      </c>
      <c r="AB33" s="1902">
        <f t="shared" si="4"/>
        <v>1</v>
      </c>
      <c r="AC33" s="1902">
        <f t="shared" si="5"/>
        <v>1</v>
      </c>
    </row>
    <row r="34" spans="1:29" ht="15">
      <c r="A34" s="453"/>
      <c r="B34" s="402" t="s">
        <v>2370</v>
      </c>
      <c r="C34" s="2412" t="s">
        <v>2844</v>
      </c>
      <c r="D34" s="415">
        <v>100</v>
      </c>
      <c r="E34" s="2412" t="s">
        <v>2844</v>
      </c>
      <c r="F34" s="442">
        <f>SUMIF(105:105,E34,106:106)-SUMIF(105:105,C34,106:106)+100</f>
        <v>100</v>
      </c>
      <c r="G34" s="2412" t="s">
        <v>2844</v>
      </c>
      <c r="H34" s="415">
        <f>SUMIF(105:105,G34,106:106)-SUMIF(105:105,C34,106:106)+100</f>
        <v>100</v>
      </c>
      <c r="I34" s="2412" t="s">
        <v>2844</v>
      </c>
      <c r="J34" s="415">
        <f>SUMIF(105:105,I34,106:106)-SUMIF(105:105,C34,106:106)+100</f>
        <v>100</v>
      </c>
      <c r="K34" s="406"/>
      <c r="L34" s="1253"/>
      <c r="M34" s="1244"/>
      <c r="N34" s="1244"/>
      <c r="O34" s="1244"/>
      <c r="P34" s="3063"/>
      <c r="Q34" s="1898" t="str">
        <f t="shared" si="11"/>
        <v>建筑结构</v>
      </c>
      <c r="R34" s="753" t="s">
        <v>28</v>
      </c>
      <c r="S34" s="754">
        <f t="shared" si="12"/>
        <v>100</v>
      </c>
      <c r="T34" s="753" t="s">
        <v>28</v>
      </c>
      <c r="U34" s="754">
        <f t="shared" si="13"/>
        <v>100</v>
      </c>
      <c r="V34" s="753" t="s">
        <v>28</v>
      </c>
      <c r="W34" s="754">
        <f t="shared" si="14"/>
        <v>100</v>
      </c>
      <c r="X34" s="1899"/>
      <c r="Y34" s="3065"/>
      <c r="Z34" s="1901" t="str">
        <f t="shared" si="15"/>
        <v>建筑结构</v>
      </c>
      <c r="AA34" s="1902">
        <f t="shared" si="3"/>
        <v>1</v>
      </c>
      <c r="AB34" s="1902">
        <f t="shared" si="4"/>
        <v>1</v>
      </c>
      <c r="AC34" s="1902">
        <f t="shared" si="5"/>
        <v>1</v>
      </c>
    </row>
    <row r="35" spans="1:29" ht="15" hidden="1">
      <c r="A35" s="453"/>
      <c r="B35" s="402" t="s">
        <v>2371</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63"/>
      <c r="Q35" s="1898" t="str">
        <f t="shared" si="11"/>
        <v>建筑品质</v>
      </c>
      <c r="R35" s="753" t="s">
        <v>28</v>
      </c>
      <c r="S35" s="754">
        <f t="shared" si="12"/>
        <v>100</v>
      </c>
      <c r="T35" s="753" t="s">
        <v>28</v>
      </c>
      <c r="U35" s="754">
        <f t="shared" si="13"/>
        <v>100</v>
      </c>
      <c r="V35" s="753" t="s">
        <v>28</v>
      </c>
      <c r="W35" s="754">
        <f t="shared" si="14"/>
        <v>100</v>
      </c>
      <c r="X35" s="1899"/>
      <c r="Y35" s="3065"/>
      <c r="Z35" s="1901" t="str">
        <f t="shared" si="15"/>
        <v>建筑品质</v>
      </c>
      <c r="AA35" s="1902">
        <f t="shared" si="3"/>
        <v>1</v>
      </c>
      <c r="AB35" s="1902">
        <f t="shared" si="4"/>
        <v>1</v>
      </c>
      <c r="AC35" s="1902">
        <f t="shared" si="5"/>
        <v>1</v>
      </c>
    </row>
    <row r="36" spans="1:29" ht="15">
      <c r="A36" s="453"/>
      <c r="B36" s="402" t="s">
        <v>2372</v>
      </c>
      <c r="C36" s="2769" t="s">
        <v>2897</v>
      </c>
      <c r="D36" s="415">
        <v>100</v>
      </c>
      <c r="E36" s="2769" t="s">
        <v>2897</v>
      </c>
      <c r="F36" s="442">
        <f>SUMIF(109:109,E36,110:110)-SUMIF(109:109,C36,110:110)+100</f>
        <v>100</v>
      </c>
      <c r="G36" s="2769" t="s">
        <v>2897</v>
      </c>
      <c r="H36" s="415">
        <f>SUMIF(109:109,G36,110:110)-SUMIF(109:109,C36,110:110)+100</f>
        <v>100</v>
      </c>
      <c r="I36" s="2769" t="s">
        <v>2897</v>
      </c>
      <c r="J36" s="415">
        <f>SUMIF(109:109,I36,110:110)-SUMIF(109:109,C36,110:110)+100</f>
        <v>100</v>
      </c>
      <c r="K36" s="406"/>
      <c r="L36" s="1253"/>
      <c r="M36" s="1244"/>
      <c r="N36" s="1244"/>
      <c r="O36" s="1244"/>
      <c r="P36" s="3063"/>
      <c r="Q36" s="1898" t="str">
        <f t="shared" si="11"/>
        <v>公共部分装修</v>
      </c>
      <c r="R36" s="753" t="s">
        <v>28</v>
      </c>
      <c r="S36" s="754">
        <f t="shared" si="12"/>
        <v>100</v>
      </c>
      <c r="T36" s="753" t="s">
        <v>28</v>
      </c>
      <c r="U36" s="754">
        <f t="shared" si="13"/>
        <v>100</v>
      </c>
      <c r="V36" s="753" t="s">
        <v>28</v>
      </c>
      <c r="W36" s="754">
        <f t="shared" si="14"/>
        <v>100</v>
      </c>
      <c r="X36" s="1899"/>
      <c r="Y36" s="3065"/>
      <c r="Z36" s="1901" t="str">
        <f t="shared" si="15"/>
        <v>公共部分装修</v>
      </c>
      <c r="AA36" s="1902">
        <f t="shared" si="3"/>
        <v>1</v>
      </c>
      <c r="AB36" s="1902">
        <f t="shared" si="4"/>
        <v>1</v>
      </c>
      <c r="AC36" s="1902">
        <f t="shared" si="5"/>
        <v>1</v>
      </c>
    </row>
    <row r="37" spans="1:29" s="35" customFormat="1" ht="15" hidden="1">
      <c r="A37" s="454"/>
      <c r="B37" s="402" t="s">
        <v>2373</v>
      </c>
      <c r="C37" s="455">
        <v>0.84</v>
      </c>
      <c r="D37" s="52">
        <v>100</v>
      </c>
      <c r="E37" s="455">
        <v>0.85</v>
      </c>
      <c r="F37" s="405">
        <f>LOOKUP(E37,112:112,113:113)-LOOKUP(C37,112:112,113:113)+100</f>
        <v>100</v>
      </c>
      <c r="G37" s="455">
        <v>0.85</v>
      </c>
      <c r="H37" s="52">
        <f>LOOKUP(G37,112:112,113:113)-LOOKUP(C37,112:112,113:113)+100</f>
        <v>100</v>
      </c>
      <c r="I37" s="455">
        <v>0.85</v>
      </c>
      <c r="J37" s="52">
        <f>LOOKUP(I37,112:112,113:113)-LOOKUP(C37,112:112,113:113)+100</f>
        <v>100</v>
      </c>
      <c r="K37" s="406">
        <v>100</v>
      </c>
      <c r="L37" s="1245"/>
      <c r="M37" s="1246"/>
      <c r="N37" s="1246"/>
      <c r="O37" s="1246"/>
      <c r="P37" s="3063"/>
      <c r="Q37" s="1886" t="str">
        <f t="shared" si="11"/>
        <v>成新度</v>
      </c>
      <c r="R37" s="749" t="s">
        <v>28</v>
      </c>
      <c r="S37" s="750">
        <f t="shared" si="12"/>
        <v>100</v>
      </c>
      <c r="T37" s="749" t="s">
        <v>28</v>
      </c>
      <c r="U37" s="750">
        <f t="shared" si="13"/>
        <v>100</v>
      </c>
      <c r="V37" s="749" t="s">
        <v>28</v>
      </c>
      <c r="W37" s="750">
        <f t="shared" si="14"/>
        <v>100</v>
      </c>
      <c r="X37" s="751"/>
      <c r="Y37" s="3065"/>
      <c r="Z37" s="23" t="str">
        <f t="shared" si="15"/>
        <v>成新度</v>
      </c>
      <c r="AA37" s="752">
        <f t="shared" si="3"/>
        <v>1</v>
      </c>
      <c r="AB37" s="752">
        <f t="shared" si="4"/>
        <v>1</v>
      </c>
      <c r="AC37" s="752">
        <f t="shared" si="5"/>
        <v>1</v>
      </c>
    </row>
    <row r="38" spans="1:29" ht="15">
      <c r="A38" s="453"/>
      <c r="B38" s="402" t="s">
        <v>2374</v>
      </c>
      <c r="C38" s="2409" t="s">
        <v>2894</v>
      </c>
      <c r="D38" s="415">
        <v>100</v>
      </c>
      <c r="E38" s="2409" t="s">
        <v>2894</v>
      </c>
      <c r="F38" s="442">
        <f>SUMIF(114:114,E38,115:115)-SUMIF(114:114,C38,115:115)+100</f>
        <v>100</v>
      </c>
      <c r="G38" s="2409" t="s">
        <v>2894</v>
      </c>
      <c r="H38" s="415">
        <f>SUMIF(114:114,G38,115:115)-SUMIF(114:114,C38,115:115)+100</f>
        <v>100</v>
      </c>
      <c r="I38" s="2409" t="s">
        <v>2894</v>
      </c>
      <c r="J38" s="415">
        <f>SUMIF(114:114,I38,115:115)-SUMIF(114:114,C38,115:115)+100</f>
        <v>100</v>
      </c>
      <c r="K38" s="406"/>
      <c r="L38" s="1253"/>
      <c r="M38" s="1244"/>
      <c r="N38" s="1244"/>
      <c r="O38" s="1244"/>
      <c r="P38" s="3063" t="s">
        <v>2368</v>
      </c>
      <c r="Q38" s="1898" t="str">
        <f t="shared" si="11"/>
        <v>物业管理</v>
      </c>
      <c r="R38" s="753" t="s">
        <v>28</v>
      </c>
      <c r="S38" s="754">
        <f t="shared" si="12"/>
        <v>100</v>
      </c>
      <c r="T38" s="753" t="s">
        <v>28</v>
      </c>
      <c r="U38" s="754">
        <f t="shared" si="13"/>
        <v>100</v>
      </c>
      <c r="V38" s="753" t="s">
        <v>28</v>
      </c>
      <c r="W38" s="754">
        <f t="shared" si="14"/>
        <v>100</v>
      </c>
      <c r="X38" s="1899"/>
      <c r="Y38" s="3065" t="s">
        <v>2368</v>
      </c>
      <c r="Z38" s="1901" t="str">
        <f t="shared" si="15"/>
        <v>物业管理</v>
      </c>
      <c r="AA38" s="1902">
        <f t="shared" si="3"/>
        <v>1</v>
      </c>
      <c r="AB38" s="1902">
        <f t="shared" si="4"/>
        <v>1</v>
      </c>
      <c r="AC38" s="1902">
        <f t="shared" si="5"/>
        <v>1</v>
      </c>
    </row>
    <row r="39" spans="1:29" ht="15">
      <c r="A39" s="453"/>
      <c r="B39" s="402" t="s">
        <v>2375</v>
      </c>
      <c r="C39" s="2409" t="s">
        <v>2855</v>
      </c>
      <c r="D39" s="415">
        <v>100</v>
      </c>
      <c r="E39" s="2409" t="s">
        <v>2855</v>
      </c>
      <c r="F39" s="442">
        <f>SUMIF(116:116,E39,117:117)-SUMIF(116:116,C39,117:117)+100</f>
        <v>100</v>
      </c>
      <c r="G39" s="2409" t="s">
        <v>2855</v>
      </c>
      <c r="H39" s="415">
        <f>SUMIF(116:116,G39,117:117)-SUMIF(116:116,C39,117:117)+100</f>
        <v>100</v>
      </c>
      <c r="I39" s="2409" t="s">
        <v>2855</v>
      </c>
      <c r="J39" s="415">
        <f>SUMIF(116:116,I39,117:117)-SUMIF(116:116,C39,117:117)+100</f>
        <v>100</v>
      </c>
      <c r="K39" s="406"/>
      <c r="L39" s="1253"/>
      <c r="M39" s="1244"/>
      <c r="N39" s="1244"/>
      <c r="O39" s="1244"/>
      <c r="P39" s="3063"/>
      <c r="Q39" s="1898" t="str">
        <f t="shared" si="11"/>
        <v>市政基础设施</v>
      </c>
      <c r="R39" s="753" t="s">
        <v>28</v>
      </c>
      <c r="S39" s="754">
        <f t="shared" si="12"/>
        <v>100</v>
      </c>
      <c r="T39" s="753" t="s">
        <v>28</v>
      </c>
      <c r="U39" s="754">
        <f t="shared" si="13"/>
        <v>100</v>
      </c>
      <c r="V39" s="753" t="s">
        <v>28</v>
      </c>
      <c r="W39" s="754">
        <f t="shared" si="14"/>
        <v>100</v>
      </c>
      <c r="X39" s="1899"/>
      <c r="Y39" s="3065"/>
      <c r="Z39" s="1901" t="str">
        <f t="shared" si="15"/>
        <v>市政基础设施</v>
      </c>
      <c r="AA39" s="1902">
        <f t="shared" si="3"/>
        <v>1</v>
      </c>
      <c r="AB39" s="1902">
        <f t="shared" si="4"/>
        <v>1</v>
      </c>
      <c r="AC39" s="1902">
        <f t="shared" si="5"/>
        <v>1</v>
      </c>
    </row>
    <row r="40" spans="1:29" ht="15">
      <c r="A40" s="453"/>
      <c r="B40" s="402" t="s">
        <v>2376</v>
      </c>
      <c r="C40" s="2409" t="s">
        <v>2890</v>
      </c>
      <c r="D40" s="415">
        <v>100</v>
      </c>
      <c r="E40" s="2409" t="s">
        <v>2890</v>
      </c>
      <c r="F40" s="442">
        <f>SUMIF(118:118,E40,119:119)-SUMIF(118:118,C40,119:119)+100</f>
        <v>100</v>
      </c>
      <c r="G40" s="2409" t="s">
        <v>2890</v>
      </c>
      <c r="H40" s="415">
        <f>SUMIF(118:118,G40,119:119)-SUMIF(118:118,C40,119:119)+100</f>
        <v>100</v>
      </c>
      <c r="I40" s="2409" t="s">
        <v>2890</v>
      </c>
      <c r="J40" s="415">
        <f>SUMIF(118:118,I40,119:119)-SUMIF(118:118,C40,119:119)+100</f>
        <v>100</v>
      </c>
      <c r="K40" s="406"/>
      <c r="L40" s="1253"/>
      <c r="M40" s="1244"/>
      <c r="N40" s="1244"/>
      <c r="O40" s="1244"/>
      <c r="P40" s="3063"/>
      <c r="Q40" s="1898" t="str">
        <f t="shared" si="11"/>
        <v>房型</v>
      </c>
      <c r="R40" s="753" t="s">
        <v>28</v>
      </c>
      <c r="S40" s="754">
        <f t="shared" si="12"/>
        <v>100</v>
      </c>
      <c r="T40" s="753" t="s">
        <v>28</v>
      </c>
      <c r="U40" s="754">
        <f t="shared" si="13"/>
        <v>100</v>
      </c>
      <c r="V40" s="753" t="s">
        <v>28</v>
      </c>
      <c r="W40" s="754">
        <f t="shared" si="14"/>
        <v>100</v>
      </c>
      <c r="X40" s="1899"/>
      <c r="Y40" s="3065"/>
      <c r="Z40" s="1901" t="str">
        <f t="shared" si="15"/>
        <v>房型</v>
      </c>
      <c r="AA40" s="1902">
        <f t="shared" si="3"/>
        <v>1</v>
      </c>
      <c r="AB40" s="1902">
        <f t="shared" si="4"/>
        <v>1</v>
      </c>
      <c r="AC40" s="1902">
        <f t="shared" si="5"/>
        <v>1</v>
      </c>
    </row>
    <row r="41" spans="1:29" s="452" customFormat="1" ht="28.5">
      <c r="A41" s="449"/>
      <c r="B41" s="402" t="s">
        <v>2377</v>
      </c>
      <c r="C41" s="450">
        <v>99.8</v>
      </c>
      <c r="D41" s="52">
        <v>100</v>
      </c>
      <c r="E41" s="410">
        <v>99.71</v>
      </c>
      <c r="F41" s="405">
        <f>SUMIF(120:120,E41,121:121)-SUMIF(120:120,C41,121:121)+100</f>
        <v>100</v>
      </c>
      <c r="G41" s="409">
        <v>98.03</v>
      </c>
      <c r="H41" s="52">
        <f>SUMIF(120:120,G41,121:121)-SUMIF(120:120,C41,121:121)+100</f>
        <v>100</v>
      </c>
      <c r="I41" s="458">
        <v>99.16</v>
      </c>
      <c r="J41" s="415">
        <f>SUMIF(120:120,I41,121:121)-SUMIF(120:120,C41,121:121)+100</f>
        <v>100</v>
      </c>
      <c r="K41" s="2398"/>
      <c r="L41" s="1251"/>
      <c r="M41" s="1254"/>
      <c r="N41" s="1254"/>
      <c r="O41" s="1254"/>
      <c r="P41" s="3063"/>
      <c r="Q41" s="755" t="str">
        <f t="shared" si="11"/>
        <v>单套/主力户型建筑面积</v>
      </c>
      <c r="R41" s="756" t="s">
        <v>28</v>
      </c>
      <c r="S41" s="757">
        <f t="shared" si="12"/>
        <v>100</v>
      </c>
      <c r="T41" s="756" t="s">
        <v>28</v>
      </c>
      <c r="U41" s="757">
        <f t="shared" si="13"/>
        <v>100</v>
      </c>
      <c r="V41" s="756" t="s">
        <v>28</v>
      </c>
      <c r="W41" s="757">
        <f t="shared" si="14"/>
        <v>100</v>
      </c>
      <c r="X41" s="758"/>
      <c r="Y41" s="3065"/>
      <c r="Z41" s="759" t="str">
        <f t="shared" si="15"/>
        <v>单套/主力户型建筑面积</v>
      </c>
      <c r="AA41" s="1902">
        <f t="shared" si="3"/>
        <v>1</v>
      </c>
      <c r="AB41" s="1902">
        <f t="shared" si="4"/>
        <v>1</v>
      </c>
      <c r="AC41" s="1902">
        <f t="shared" si="5"/>
        <v>1</v>
      </c>
    </row>
    <row r="42" spans="1:29" ht="15">
      <c r="A42" s="453"/>
      <c r="B42" s="402" t="s">
        <v>2378</v>
      </c>
      <c r="C42" s="2769" t="s">
        <v>2897</v>
      </c>
      <c r="D42" s="415">
        <v>100</v>
      </c>
      <c r="E42" s="2769" t="s">
        <v>2897</v>
      </c>
      <c r="F42" s="442">
        <f>SUMIF(122:122,E42,123:123)-SUMIF(122:122,C42,123:123)+100</f>
        <v>100</v>
      </c>
      <c r="G42" s="2769" t="s">
        <v>2897</v>
      </c>
      <c r="H42" s="415">
        <f>SUMIF(122:122,G42,123:123)-SUMIF(122:122,C42,123:123)+100</f>
        <v>100</v>
      </c>
      <c r="I42" s="2769" t="s">
        <v>2897</v>
      </c>
      <c r="J42" s="415">
        <f>SUMIF(122:122,I42,123:123)-SUMIF(122:122,C42,123:123)+100</f>
        <v>100</v>
      </c>
      <c r="K42" s="406"/>
      <c r="L42" s="1253"/>
      <c r="M42" s="1244"/>
      <c r="N42" s="1244"/>
      <c r="O42" s="1244"/>
      <c r="P42" s="3063"/>
      <c r="Q42" s="1898" t="str">
        <f t="shared" si="11"/>
        <v>内部装修</v>
      </c>
      <c r="R42" s="753" t="s">
        <v>28</v>
      </c>
      <c r="S42" s="754">
        <f t="shared" si="12"/>
        <v>100</v>
      </c>
      <c r="T42" s="753" t="s">
        <v>28</v>
      </c>
      <c r="U42" s="754">
        <f t="shared" si="13"/>
        <v>100</v>
      </c>
      <c r="V42" s="753" t="s">
        <v>28</v>
      </c>
      <c r="W42" s="754">
        <f t="shared" si="14"/>
        <v>100</v>
      </c>
      <c r="X42" s="1899"/>
      <c r="Y42" s="3065"/>
      <c r="Z42" s="1901" t="str">
        <f t="shared" si="15"/>
        <v>内部装修</v>
      </c>
      <c r="AA42" s="1902">
        <f t="shared" si="3"/>
        <v>1</v>
      </c>
      <c r="AB42" s="1902">
        <f t="shared" si="4"/>
        <v>1</v>
      </c>
      <c r="AC42" s="1902">
        <f t="shared" si="5"/>
        <v>1</v>
      </c>
    </row>
    <row r="43" spans="1:29" ht="15">
      <c r="A43" s="453"/>
      <c r="B43" s="402" t="s">
        <v>2379</v>
      </c>
      <c r="C43" s="2409" t="s">
        <v>30</v>
      </c>
      <c r="D43" s="415">
        <v>100</v>
      </c>
      <c r="E43" s="2409" t="s">
        <v>30</v>
      </c>
      <c r="F43" s="442">
        <f>SUMIF(124:124,E43,125:125)-SUMIF(124:124,C43,125:125)+100</f>
        <v>100</v>
      </c>
      <c r="G43" s="2409" t="s">
        <v>30</v>
      </c>
      <c r="H43" s="415">
        <f>SUMIF(124:124,G43,125:125)-SUMIF(124:124,C43,125:125)+100</f>
        <v>100</v>
      </c>
      <c r="I43" s="2409" t="s">
        <v>30</v>
      </c>
      <c r="J43" s="415">
        <f>SUMIF(124:124,I43,125:125)-SUMIF(124:124,C43,125:125)+100</f>
        <v>100</v>
      </c>
      <c r="K43" s="406"/>
      <c r="L43" s="1253"/>
      <c r="M43" s="1244"/>
      <c r="N43" s="1244"/>
      <c r="O43" s="1244"/>
      <c r="P43" s="3063"/>
      <c r="Q43" s="1898" t="str">
        <f t="shared" si="11"/>
        <v>内部装修维护情况</v>
      </c>
      <c r="R43" s="753" t="s">
        <v>28</v>
      </c>
      <c r="S43" s="754">
        <f t="shared" si="12"/>
        <v>100</v>
      </c>
      <c r="T43" s="753" t="s">
        <v>28</v>
      </c>
      <c r="U43" s="754">
        <f t="shared" si="13"/>
        <v>100</v>
      </c>
      <c r="V43" s="753" t="s">
        <v>28</v>
      </c>
      <c r="W43" s="754">
        <f t="shared" si="14"/>
        <v>100</v>
      </c>
      <c r="X43" s="1899"/>
      <c r="Y43" s="3065"/>
      <c r="Z43" s="1901" t="str">
        <f t="shared" si="15"/>
        <v>内部装修维护情况</v>
      </c>
      <c r="AA43" s="1902">
        <f t="shared" si="3"/>
        <v>1</v>
      </c>
      <c r="AB43" s="1902">
        <f t="shared" si="4"/>
        <v>1</v>
      </c>
      <c r="AC43" s="1902">
        <f t="shared" si="5"/>
        <v>1</v>
      </c>
    </row>
    <row r="44" spans="1:29" s="35" customFormat="1" ht="15">
      <c r="A44" s="454"/>
      <c r="B44" s="2763" t="s">
        <v>2898</v>
      </c>
      <c r="C44" s="450">
        <v>2007</v>
      </c>
      <c r="D44" s="52">
        <v>100</v>
      </c>
      <c r="E44" s="450">
        <v>2005</v>
      </c>
      <c r="F44" s="405">
        <f>SUMIF(126:126,E44,127:127)-SUMIF(126:126,C44,127:127)+100</f>
        <v>99.6</v>
      </c>
      <c r="G44" s="450">
        <v>2005</v>
      </c>
      <c r="H44" s="52">
        <f>SUMIF(126:126,G44,127:127)-SUMIF(126:126,C44,127:127)+100</f>
        <v>99.6</v>
      </c>
      <c r="I44" s="450">
        <v>2006</v>
      </c>
      <c r="J44" s="52">
        <f>SUMIF(126:126,I44,127:127)-SUMIF(126:126,C44,127:127)+100</f>
        <v>99.8</v>
      </c>
      <c r="K44" s="2398"/>
      <c r="L44" s="1245"/>
      <c r="M44" s="1246"/>
      <c r="N44" s="1246"/>
      <c r="O44" s="1246"/>
      <c r="P44" s="3063"/>
      <c r="Q44" s="1886" t="str">
        <f t="shared" si="11"/>
        <v>建成年代</v>
      </c>
      <c r="R44" s="749" t="s">
        <v>28</v>
      </c>
      <c r="S44" s="750">
        <f t="shared" si="12"/>
        <v>99.6</v>
      </c>
      <c r="T44" s="749" t="s">
        <v>28</v>
      </c>
      <c r="U44" s="750">
        <f t="shared" si="13"/>
        <v>99.6</v>
      </c>
      <c r="V44" s="749" t="s">
        <v>28</v>
      </c>
      <c r="W44" s="750">
        <f t="shared" si="14"/>
        <v>99.8</v>
      </c>
      <c r="X44" s="751"/>
      <c r="Y44" s="3065"/>
      <c r="Z44" s="23" t="str">
        <f t="shared" si="15"/>
        <v>建成年代</v>
      </c>
      <c r="AA44" s="752">
        <f t="shared" si="3"/>
        <v>1.0040160642570282</v>
      </c>
      <c r="AB44" s="752">
        <f t="shared" si="4"/>
        <v>1.0040160642570282</v>
      </c>
      <c r="AC44" s="752">
        <f t="shared" si="5"/>
        <v>1.0020040080160322</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63"/>
      <c r="Q45" s="1898">
        <f t="shared" si="11"/>
        <v>111</v>
      </c>
      <c r="R45" s="753" t="s">
        <v>28</v>
      </c>
      <c r="S45" s="754">
        <f t="shared" si="12"/>
        <v>100</v>
      </c>
      <c r="T45" s="753" t="s">
        <v>28</v>
      </c>
      <c r="U45" s="754">
        <f t="shared" si="13"/>
        <v>100</v>
      </c>
      <c r="V45" s="753" t="s">
        <v>28</v>
      </c>
      <c r="W45" s="754">
        <f t="shared" si="14"/>
        <v>100</v>
      </c>
      <c r="X45" s="1899"/>
      <c r="Y45" s="3065"/>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64"/>
      <c r="Q46" s="1898">
        <f t="shared" si="11"/>
        <v>111</v>
      </c>
      <c r="R46" s="753" t="s">
        <v>27</v>
      </c>
      <c r="S46" s="754">
        <f t="shared" si="12"/>
        <v>100</v>
      </c>
      <c r="T46" s="753" t="s">
        <v>27</v>
      </c>
      <c r="U46" s="754">
        <f t="shared" si="13"/>
        <v>100</v>
      </c>
      <c r="V46" s="753" t="s">
        <v>27</v>
      </c>
      <c r="W46" s="754">
        <f t="shared" si="14"/>
        <v>100</v>
      </c>
      <c r="X46" s="1899"/>
      <c r="Y46" s="3066"/>
      <c r="Z46" s="1901">
        <f t="shared" si="15"/>
        <v>111</v>
      </c>
      <c r="AA46" s="1902">
        <f t="shared" si="3"/>
        <v>1</v>
      </c>
      <c r="AB46" s="1902">
        <f t="shared" si="4"/>
        <v>1</v>
      </c>
      <c r="AC46" s="1902">
        <f t="shared" si="5"/>
        <v>1</v>
      </c>
    </row>
    <row r="47" spans="1:29" ht="15">
      <c r="A47" s="460" t="s">
        <v>2380</v>
      </c>
      <c r="B47" s="461"/>
      <c r="C47" s="1502" t="s">
        <v>26</v>
      </c>
      <c r="D47" s="1503"/>
      <c r="E47" s="1504">
        <v>63033</v>
      </c>
      <c r="F47" s="1505"/>
      <c r="G47" s="1506">
        <v>61206</v>
      </c>
      <c r="H47" s="1507"/>
      <c r="I47" s="1504">
        <v>64341</v>
      </c>
      <c r="J47" s="1507"/>
      <c r="K47" s="2414"/>
      <c r="L47" s="1256"/>
      <c r="M47" s="1257"/>
      <c r="N47" s="1244"/>
      <c r="O47" s="1257"/>
      <c r="P47" s="3071" t="str">
        <f>A47</f>
        <v>成交单价（元/平方米）</v>
      </c>
      <c r="Q47" s="3071"/>
      <c r="R47" s="3072">
        <f>E47</f>
        <v>63033</v>
      </c>
      <c r="S47" s="3072"/>
      <c r="T47" s="3072">
        <f>G47</f>
        <v>61206</v>
      </c>
      <c r="U47" s="3072"/>
      <c r="V47" s="3072">
        <f>I47</f>
        <v>64341</v>
      </c>
      <c r="W47" s="3072"/>
      <c r="X47" s="738"/>
      <c r="Y47" s="760"/>
      <c r="Z47" s="738"/>
      <c r="AA47" s="738"/>
      <c r="AB47" s="738"/>
      <c r="AC47" s="738"/>
    </row>
    <row r="48" spans="1:29" ht="15.75" thickBot="1">
      <c r="A48" s="467" t="s">
        <v>2381</v>
      </c>
      <c r="B48" s="468"/>
      <c r="C48" s="1508">
        <f>R49</f>
        <v>61124</v>
      </c>
      <c r="D48" s="1509"/>
      <c r="E48" s="1510">
        <f>R48</f>
        <v>61740</v>
      </c>
      <c r="F48" s="1510"/>
      <c r="G48" s="1508">
        <f>T48</f>
        <v>59666</v>
      </c>
      <c r="H48" s="1509"/>
      <c r="I48" s="1510">
        <f>V48</f>
        <v>61965</v>
      </c>
      <c r="J48" s="1509"/>
      <c r="K48" s="2415"/>
      <c r="L48" s="1256"/>
      <c r="M48" s="1257"/>
      <c r="N48" s="1257"/>
      <c r="O48" s="1257"/>
      <c r="P48" s="3071" t="str">
        <f>A48</f>
        <v>比较价值（元/平方米）</v>
      </c>
      <c r="Q48" s="3071"/>
      <c r="R48" s="3072">
        <f>IF(E1="售价",ROUND(PRODUCT(R47,AA7:AA46),0),ROUND(PRODUCT(R47,AA7:AA46),1))</f>
        <v>61740</v>
      </c>
      <c r="S48" s="3072"/>
      <c r="T48" s="3075">
        <f>IF(E1="售价",ROUND(PRODUCT(T47,AB7:AB46),0),ROUND(PRODUCT(T47,AB7:AB46),1))</f>
        <v>59666</v>
      </c>
      <c r="U48" s="3076"/>
      <c r="V48" s="3072">
        <f>IF(E1="售价",ROUND(PRODUCT(V47,AC7:AC46),0),ROUND(PRODUCT(V47,AC7:AC46),1))</f>
        <v>61965</v>
      </c>
      <c r="W48" s="3072"/>
      <c r="X48" s="738"/>
      <c r="Y48" s="738"/>
      <c r="Z48" s="738"/>
      <c r="AA48" s="738"/>
      <c r="AB48" s="738"/>
      <c r="AC48" s="738"/>
    </row>
    <row r="49" spans="1:29" ht="15.75" thickBot="1">
      <c r="A49" s="473" t="s">
        <v>2382</v>
      </c>
      <c r="B49" s="474"/>
      <c r="C49" s="1511">
        <f>R49</f>
        <v>61124</v>
      </c>
      <c r="D49" s="1512"/>
      <c r="E49" s="1512"/>
      <c r="F49" s="1512"/>
      <c r="G49" s="1512"/>
      <c r="H49" s="1512"/>
      <c r="I49" s="1512"/>
      <c r="J49" s="1512"/>
      <c r="K49" s="2416"/>
      <c r="L49" s="1256"/>
      <c r="M49" s="1257"/>
      <c r="N49" s="1257"/>
      <c r="O49" s="1257"/>
      <c r="P49" s="3077" t="str">
        <f>A49</f>
        <v>估价对象XX用房的比较价值（楼面单价，元/平方米）</v>
      </c>
      <c r="Q49" s="3078"/>
      <c r="R49" s="3079">
        <f>IF(E1="售价",ROUND(AVERAGE(R48:V48),0),ROUND(AVERAGE(R48:V48),1))</f>
        <v>61124</v>
      </c>
      <c r="S49" s="3079"/>
      <c r="T49" s="3079"/>
      <c r="U49" s="3079"/>
      <c r="V49" s="3079"/>
      <c r="W49" s="307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2.0942662779397381E-2</v>
      </c>
      <c r="F52" s="481" t="str">
        <f>IF(OR(E52&gt;=0.3,E52&lt;=-0.3),"超过30%","")</f>
        <v/>
      </c>
      <c r="G52" s="480">
        <f>IF(G47&lt;G48,G48/G47-1,G47/G48-1)</f>
        <v>2.5810344249656447E-2</v>
      </c>
      <c r="H52" s="481" t="str">
        <f>IF(OR(G52&gt;=0.3,G52&lt;=-0.3),"超过30%","")</f>
        <v/>
      </c>
      <c r="I52" s="480">
        <f>IF(I47&lt;I48,I48/I47-1,I47/I48-1)</f>
        <v>3.8344226579520635E-2</v>
      </c>
      <c r="J52" s="481" t="str">
        <f>IF(OR(I52&gt;=0.3,I52&lt;=-0.3),"超过30%","")</f>
        <v/>
      </c>
      <c r="K52" s="1262"/>
      <c r="L52" s="1258"/>
      <c r="M52" s="1257"/>
      <c r="N52" s="1257"/>
      <c r="O52" s="1257"/>
    </row>
    <row r="53" spans="1:29" ht="13.5" customHeight="1">
      <c r="A53" s="1257"/>
      <c r="B53" s="1257"/>
      <c r="C53" s="478" t="s">
        <v>2384</v>
      </c>
      <c r="D53" s="482"/>
      <c r="E53" s="480">
        <f>IF(E48&lt;G48,G48/E48-1,E48/G48-1)</f>
        <v>3.476016491804379E-2</v>
      </c>
      <c r="F53" s="481" t="str">
        <f>IF(OR(E53&gt;=0.2,E53&lt;=-0.2),"超过20%","")</f>
        <v/>
      </c>
      <c r="G53" s="480">
        <f>IF(G48&lt;I48,I48/G48-1,G48/I48-1)</f>
        <v>3.8531156772701358E-2</v>
      </c>
      <c r="H53" s="481" t="str">
        <f>IF(OR(G53&gt;=0.2,G53&lt;=-0.2),"超过20%","")</f>
        <v/>
      </c>
      <c r="I53" s="480">
        <f>IF(I48&lt;E48,E48/I48-1,I48/E48-1)</f>
        <v>3.6443148688045657E-3</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2.9850014704440708E-2</v>
      </c>
      <c r="F54" s="481" t="str">
        <f>IF(OR(E54&gt;=0.3,E54&lt;=-0.3),"超过30%","")</f>
        <v/>
      </c>
      <c r="G54" s="480">
        <f>IF(G47&lt;I47,I47/G47-1,G47/I47-1)</f>
        <v>5.1220468581511636E-2</v>
      </c>
      <c r="H54" s="481" t="str">
        <f>IF(OR(G54&gt;=0.3,G54&lt;=-0.3),"超过30%","")</f>
        <v/>
      </c>
      <c r="I54" s="480">
        <f>IF(I47&lt;E47,E47/I47-1,I47/E47-1)</f>
        <v>2.075103517205279E-2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8" t="str">
        <f>YEAR(C7)&amp;"-"&amp;MONTH(C7)</f>
        <v>2018-12</v>
      </c>
      <c r="D58" s="1679">
        <f>EDATE(C58,-1)</f>
        <v>43405</v>
      </c>
      <c r="E58" s="1679">
        <f t="shared" ref="E58:O58" si="16">EDATE(D58,-1)</f>
        <v>43374</v>
      </c>
      <c r="F58" s="1679">
        <f t="shared" si="16"/>
        <v>43344</v>
      </c>
      <c r="G58" s="1679">
        <f t="shared" si="16"/>
        <v>43313</v>
      </c>
      <c r="H58" s="1679">
        <f t="shared" si="16"/>
        <v>43282</v>
      </c>
      <c r="I58" s="1679">
        <f t="shared" si="16"/>
        <v>43252</v>
      </c>
      <c r="J58" s="1679">
        <f t="shared" si="16"/>
        <v>43221</v>
      </c>
      <c r="K58" s="1679">
        <f t="shared" si="16"/>
        <v>43191</v>
      </c>
      <c r="L58" s="1679">
        <f t="shared" si="16"/>
        <v>43160</v>
      </c>
      <c r="M58" s="1679">
        <f t="shared" si="16"/>
        <v>43132</v>
      </c>
      <c r="N58" s="1679">
        <f t="shared" si="16"/>
        <v>43101</v>
      </c>
      <c r="O58" s="1679">
        <f t="shared" si="16"/>
        <v>43070</v>
      </c>
      <c r="P58" s="2420"/>
    </row>
    <row r="59" spans="1:29" s="35" customFormat="1" ht="15">
      <c r="A59" s="490"/>
      <c r="B59" s="491"/>
      <c r="C59" s="623">
        <v>100</v>
      </c>
      <c r="D59" s="493">
        <v>100</v>
      </c>
      <c r="E59" s="493">
        <v>100</v>
      </c>
      <c r="F59" s="493">
        <v>101</v>
      </c>
      <c r="G59" s="493">
        <v>101</v>
      </c>
      <c r="H59" s="493">
        <v>101</v>
      </c>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3"/>
      <c r="Q66" s="485"/>
    </row>
    <row r="67" spans="1:17" ht="15.75" thickTop="1">
      <c r="A67" s="516"/>
      <c r="B67" s="529" t="s">
        <v>2360</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1</v>
      </c>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1749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2413</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2759" t="s">
        <v>2863</v>
      </c>
      <c r="D88" s="2759" t="s">
        <v>2864</v>
      </c>
      <c r="E88" s="2759" t="s">
        <v>2865</v>
      </c>
      <c r="F88" s="2760" t="s">
        <v>2866</v>
      </c>
      <c r="G88" s="2759" t="s">
        <v>2867</v>
      </c>
      <c r="H88" s="2759" t="s">
        <v>2868</v>
      </c>
      <c r="I88" s="2759" t="s">
        <v>2869</v>
      </c>
      <c r="J88" s="2759" t="s">
        <v>2870</v>
      </c>
      <c r="K88" s="2761" t="s">
        <v>2871</v>
      </c>
      <c r="L88" s="2759"/>
      <c r="M88" s="2761"/>
      <c r="N88" s="1266"/>
      <c r="O88" s="1266"/>
      <c r="P88" s="242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3"/>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4"/>
      <c r="Q90" s="543"/>
    </row>
    <row r="91" spans="1:17" s="452" customFormat="1" ht="15.75" thickBot="1">
      <c r="A91" s="536"/>
      <c r="B91" s="526"/>
      <c r="C91" s="544"/>
      <c r="D91" s="544"/>
      <c r="E91" s="544"/>
      <c r="F91" s="544"/>
      <c r="G91" s="544"/>
      <c r="H91" s="546"/>
      <c r="I91" s="546"/>
      <c r="J91" s="546"/>
      <c r="K91" s="546"/>
      <c r="L91" s="546"/>
      <c r="M91" s="547"/>
      <c r="N91" s="1269"/>
      <c r="O91" s="1269"/>
      <c r="P91" s="2424"/>
      <c r="Q91" s="543"/>
    </row>
    <row r="92" spans="1:17" ht="15.75" thickTop="1">
      <c r="A92" s="516"/>
      <c r="B92" s="521" t="str">
        <f>B28</f>
        <v>楼层</v>
      </c>
      <c r="C92" s="2764" t="s">
        <v>2877</v>
      </c>
      <c r="D92" s="2764" t="s">
        <v>2878</v>
      </c>
      <c r="E92" s="2764" t="s">
        <v>2899</v>
      </c>
      <c r="F92" s="2764" t="s">
        <v>2880</v>
      </c>
      <c r="G92" s="567"/>
      <c r="H92" s="567"/>
      <c r="I92" s="567"/>
      <c r="J92" s="567"/>
      <c r="K92" s="568"/>
      <c r="L92" s="569"/>
      <c r="M92" s="570"/>
      <c r="N92" s="1267"/>
      <c r="O92" s="1267"/>
      <c r="P92" s="2423"/>
      <c r="Q92" s="485"/>
    </row>
    <row r="93" spans="1:17" ht="15.75" thickBot="1">
      <c r="A93" s="516"/>
      <c r="B93" s="526"/>
      <c r="C93" s="544">
        <v>100</v>
      </c>
      <c r="D93" s="518">
        <v>100</v>
      </c>
      <c r="E93" s="518">
        <v>103</v>
      </c>
      <c r="F93" s="518">
        <v>101.5</v>
      </c>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2765" t="s">
        <v>2881</v>
      </c>
      <c r="D100" s="2765" t="s">
        <v>2882</v>
      </c>
      <c r="E100" s="2765" t="s">
        <v>2883</v>
      </c>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2416</v>
      </c>
      <c r="C102" s="562" t="str">
        <f>C103&amp;"(含)"&amp;"-"&amp;D103</f>
        <v>100(含)-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100</v>
      </c>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4"/>
      <c r="Q104" s="543"/>
    </row>
    <row r="105" spans="1:17" ht="15" thickTop="1">
      <c r="A105" s="583"/>
      <c r="B105" s="521" t="s">
        <v>2417</v>
      </c>
      <c r="C105" s="2759" t="s">
        <v>2884</v>
      </c>
      <c r="D105" s="2766" t="s">
        <v>2885</v>
      </c>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3"/>
      <c r="Q106" s="485"/>
    </row>
    <row r="107" spans="1:17" ht="15" thickTop="1">
      <c r="A107" s="583"/>
      <c r="B107" s="521" t="s">
        <v>2418</v>
      </c>
      <c r="C107" s="567"/>
      <c r="D107" s="567"/>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3"/>
      <c r="Q108" s="485"/>
    </row>
    <row r="109" spans="1:17" ht="15" thickTop="1">
      <c r="A109" s="583"/>
      <c r="B109" s="521" t="s">
        <v>2419</v>
      </c>
      <c r="C109" s="2759" t="s">
        <v>2886</v>
      </c>
      <c r="D109" s="2759" t="s">
        <v>2887</v>
      </c>
      <c r="E109" s="2759" t="s">
        <v>2888</v>
      </c>
      <c r="F109" s="2766" t="s">
        <v>2889</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200</v>
      </c>
      <c r="E113" s="527">
        <f>D113+$K37</f>
        <v>300</v>
      </c>
      <c r="F113" s="527">
        <f>E113+$K37</f>
        <v>400</v>
      </c>
      <c r="G113" s="527">
        <f>F113+$K37</f>
        <v>500</v>
      </c>
      <c r="H113" s="527">
        <f>G113+$K37</f>
        <v>600</v>
      </c>
      <c r="I113" s="566"/>
      <c r="J113" s="591"/>
      <c r="K113" s="591"/>
      <c r="L113" s="591"/>
      <c r="M113" s="592"/>
      <c r="N113" s="1269"/>
      <c r="O113" s="1269"/>
      <c r="P113" s="2424"/>
      <c r="Q113" s="543"/>
    </row>
    <row r="114" spans="1:17" ht="15" thickTop="1">
      <c r="A114" s="583"/>
      <c r="B114" s="521" t="s">
        <v>2421</v>
      </c>
      <c r="C114" s="2768" t="s">
        <v>2895</v>
      </c>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3"/>
      <c r="Q115" s="485"/>
    </row>
    <row r="116" spans="1:17" ht="15" thickTop="1">
      <c r="A116" s="583"/>
      <c r="B116" s="521" t="s">
        <v>2422</v>
      </c>
      <c r="C116" s="2768" t="s">
        <v>2892</v>
      </c>
      <c r="D116" s="2768" t="s">
        <v>2893</v>
      </c>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2423</v>
      </c>
      <c r="C118" s="2767" t="s">
        <v>2891</v>
      </c>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2424</v>
      </c>
      <c r="C122" s="2759" t="s">
        <v>2886</v>
      </c>
      <c r="D122" s="2759" t="s">
        <v>2887</v>
      </c>
      <c r="E122" s="2759" t="s">
        <v>2888</v>
      </c>
      <c r="F122" s="2766" t="s">
        <v>2889</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t="str">
        <f>B44</f>
        <v>建成年代</v>
      </c>
      <c r="C126" s="537">
        <v>2007</v>
      </c>
      <c r="D126" s="537">
        <v>2006</v>
      </c>
      <c r="E126" s="537">
        <v>2005</v>
      </c>
      <c r="F126" s="537"/>
      <c r="G126" s="537"/>
      <c r="H126" s="538"/>
      <c r="I126" s="538"/>
      <c r="J126" s="538"/>
      <c r="K126" s="538"/>
      <c r="L126" s="539"/>
      <c r="M126" s="540"/>
      <c r="N126" s="1269"/>
      <c r="O126" s="1269"/>
      <c r="P126" s="2424"/>
      <c r="Q126" s="543"/>
    </row>
    <row r="127" spans="1:17" s="452" customFormat="1" ht="15.75" thickBot="1">
      <c r="A127" s="536"/>
      <c r="B127" s="526"/>
      <c r="C127" s="544">
        <v>100</v>
      </c>
      <c r="D127" s="518">
        <v>99.8</v>
      </c>
      <c r="E127" s="518">
        <v>99.6</v>
      </c>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2446</v>
      </c>
      <c r="C1" s="1726"/>
      <c r="D1" s="2450"/>
      <c r="E1" s="2381"/>
      <c r="F1" s="1740" t="s">
        <v>2335</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IF(D2="——",IF(C2="元",ROUND(C49*D3,0),ROUND(C49*D3/10000,0)),IF(C2="元",ROUND(C49*D3,0),ROUND(C49*D3/10000,0))-E2)</f>
        <v>#DIV/0!</v>
      </c>
      <c r="C2" s="163" t="str">
        <f>'数据-取费表'!B3</f>
        <v>元</v>
      </c>
      <c r="D2" s="2383"/>
      <c r="E2" s="2451" t="e">
        <f ca="1">SUMIF(INDIRECT("'"&amp;G2&amp;"'"&amp;"!A:A"),"承租人权益价值",INDIRECT("'"&amp;G2&amp;"'"&amp;"!c:c"))</f>
        <v>#REF!</v>
      </c>
      <c r="F2" s="2384" t="str">
        <f>C2</f>
        <v>元</v>
      </c>
      <c r="G2" s="2385"/>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99.8</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35" t="s">
        <v>2338</v>
      </c>
      <c r="D4" s="3036"/>
      <c r="E4" s="3037" t="s">
        <v>2339</v>
      </c>
      <c r="F4" s="3038"/>
      <c r="G4" s="3035" t="s">
        <v>2340</v>
      </c>
      <c r="H4" s="3036"/>
      <c r="I4" s="3035" t="s">
        <v>2341</v>
      </c>
      <c r="J4" s="3036"/>
      <c r="K4" s="594" t="s">
        <v>2342</v>
      </c>
      <c r="L4" s="1243"/>
      <c r="M4" s="1244"/>
      <c r="N4" s="1244"/>
      <c r="O4" s="1244"/>
      <c r="P4" s="3039" t="s">
        <v>2343</v>
      </c>
      <c r="Q4" s="3040"/>
      <c r="R4" s="3045" t="s">
        <v>2339</v>
      </c>
      <c r="S4" s="3046"/>
      <c r="T4" s="3045" t="s">
        <v>2340</v>
      </c>
      <c r="U4" s="3046"/>
      <c r="V4" s="3051" t="s">
        <v>2341</v>
      </c>
      <c r="W4" s="3051"/>
      <c r="X4" s="1899"/>
      <c r="Y4" s="3045" t="s">
        <v>2343</v>
      </c>
      <c r="Z4" s="3046"/>
      <c r="AA4" s="3032" t="s">
        <v>2339</v>
      </c>
      <c r="AB4" s="3051" t="s">
        <v>2340</v>
      </c>
      <c r="AC4" s="3032" t="s">
        <v>2341</v>
      </c>
    </row>
    <row r="5" spans="1:29" ht="15">
      <c r="A5" s="383"/>
      <c r="B5" s="384"/>
      <c r="C5" s="3080" t="s">
        <v>2344</v>
      </c>
      <c r="D5" s="3055"/>
      <c r="E5" s="3081" t="s">
        <v>2345</v>
      </c>
      <c r="F5" s="3053"/>
      <c r="G5" s="3080" t="s">
        <v>2346</v>
      </c>
      <c r="H5" s="3055"/>
      <c r="I5" s="3080" t="s">
        <v>2347</v>
      </c>
      <c r="J5" s="3055"/>
      <c r="K5" s="594"/>
      <c r="L5" s="1243"/>
      <c r="M5" s="1244"/>
      <c r="N5" s="1244"/>
      <c r="O5" s="1244"/>
      <c r="P5" s="3041"/>
      <c r="Q5" s="3042"/>
      <c r="R5" s="3047"/>
      <c r="S5" s="3048"/>
      <c r="T5" s="3047"/>
      <c r="U5" s="3048"/>
      <c r="V5" s="3051"/>
      <c r="W5" s="3051"/>
      <c r="X5" s="1899"/>
      <c r="Y5" s="3047"/>
      <c r="Z5" s="3048"/>
      <c r="AA5" s="3033"/>
      <c r="AB5" s="3051"/>
      <c r="AC5" s="3033"/>
    </row>
    <row r="6" spans="1:29" ht="15.75" thickBot="1">
      <c r="A6" s="385"/>
      <c r="B6" s="386"/>
      <c r="C6" s="3056" t="s">
        <v>2348</v>
      </c>
      <c r="D6" s="3057"/>
      <c r="E6" s="3058" t="s">
        <v>2348</v>
      </c>
      <c r="F6" s="3059"/>
      <c r="G6" s="3056" t="s">
        <v>2348</v>
      </c>
      <c r="H6" s="3057"/>
      <c r="I6" s="3056" t="s">
        <v>2348</v>
      </c>
      <c r="J6" s="3057"/>
      <c r="K6" s="594" t="s">
        <v>2349</v>
      </c>
      <c r="L6" s="1243"/>
      <c r="M6" s="1244"/>
      <c r="N6" s="1244"/>
      <c r="O6" s="1244"/>
      <c r="P6" s="3043"/>
      <c r="Q6" s="3044"/>
      <c r="R6" s="3047"/>
      <c r="S6" s="3048"/>
      <c r="T6" s="3049"/>
      <c r="U6" s="3050"/>
      <c r="V6" s="3051"/>
      <c r="W6" s="3051"/>
      <c r="X6" s="1899"/>
      <c r="Y6" s="3049"/>
      <c r="Z6" s="3050"/>
      <c r="AA6" s="3034"/>
      <c r="AB6" s="3051"/>
      <c r="AC6" s="3034"/>
    </row>
    <row r="7" spans="1:29" s="35" customFormat="1" ht="15.75" thickBot="1">
      <c r="A7" s="387" t="s">
        <v>2350</v>
      </c>
      <c r="B7" s="388"/>
      <c r="C7" s="389">
        <f>'数据-取费表'!B2</f>
        <v>43439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7" t="s">
        <v>2351</v>
      </c>
      <c r="Q7" s="3069"/>
      <c r="R7" s="749" t="s">
        <v>25</v>
      </c>
      <c r="S7" s="750">
        <f t="shared" ref="S7:S15" si="0">F7</f>
        <v>0</v>
      </c>
      <c r="T7" s="749" t="s">
        <v>25</v>
      </c>
      <c r="U7" s="750">
        <f t="shared" ref="U7:U15" si="1">H7</f>
        <v>0</v>
      </c>
      <c r="V7" s="749" t="s">
        <v>25</v>
      </c>
      <c r="W7" s="750">
        <f t="shared" ref="W7:W15" si="2">J7</f>
        <v>0</v>
      </c>
      <c r="X7" s="751"/>
      <c r="Y7" s="3067" t="s">
        <v>2351</v>
      </c>
      <c r="Z7" s="3068"/>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7" t="s">
        <v>2354</v>
      </c>
      <c r="Q8" s="3068"/>
      <c r="R8" s="749" t="s">
        <v>25</v>
      </c>
      <c r="S8" s="750">
        <f t="shared" si="0"/>
        <v>0</v>
      </c>
      <c r="T8" s="749" t="s">
        <v>25</v>
      </c>
      <c r="U8" s="750">
        <f t="shared" si="1"/>
        <v>0</v>
      </c>
      <c r="V8" s="749" t="s">
        <v>25</v>
      </c>
      <c r="W8" s="750">
        <f t="shared" si="2"/>
        <v>0</v>
      </c>
      <c r="X8" s="751"/>
      <c r="Y8" s="3067" t="s">
        <v>2354</v>
      </c>
      <c r="Z8" s="306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0" t="s">
        <v>2357</v>
      </c>
      <c r="Q9" s="1886" t="str">
        <f t="shared" ref="Q9:Q15" si="6">B9</f>
        <v>用途</v>
      </c>
      <c r="R9" s="749" t="s">
        <v>25</v>
      </c>
      <c r="S9" s="750">
        <f t="shared" si="0"/>
        <v>100</v>
      </c>
      <c r="T9" s="749" t="s">
        <v>25</v>
      </c>
      <c r="U9" s="750">
        <f t="shared" si="1"/>
        <v>100</v>
      </c>
      <c r="V9" s="749" t="s">
        <v>25</v>
      </c>
      <c r="W9" s="750">
        <f t="shared" si="2"/>
        <v>100</v>
      </c>
      <c r="X9" s="751"/>
      <c r="Y9" s="288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0"/>
      <c r="Q10" s="1886"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0"/>
      <c r="Q11" s="1886"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0"/>
      <c r="Q12" s="1886">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0"/>
      <c r="Q13" s="1886">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0"/>
      <c r="Q14" s="1886">
        <f t="shared" si="6"/>
        <v>111</v>
      </c>
      <c r="R14" s="749" t="s">
        <v>25</v>
      </c>
      <c r="S14" s="750">
        <f t="shared" si="0"/>
        <v>100</v>
      </c>
      <c r="T14" s="749" t="s">
        <v>25</v>
      </c>
      <c r="U14" s="750">
        <f t="shared" si="1"/>
        <v>100</v>
      </c>
      <c r="V14" s="749" t="s">
        <v>25</v>
      </c>
      <c r="W14" s="750">
        <f t="shared" si="2"/>
        <v>100</v>
      </c>
      <c r="X14" s="751"/>
      <c r="Y14" s="2883"/>
      <c r="Z14" s="23">
        <f t="shared" si="7"/>
        <v>111</v>
      </c>
      <c r="AA14" s="752">
        <f t="shared" si="3"/>
        <v>1</v>
      </c>
      <c r="AB14" s="752">
        <f t="shared" si="4"/>
        <v>1</v>
      </c>
      <c r="AC14" s="752">
        <f t="shared" si="5"/>
        <v>1</v>
      </c>
    </row>
    <row r="15" spans="1:29" ht="15">
      <c r="A15" s="419" t="s">
        <v>2361</v>
      </c>
      <c r="B15" s="26" t="s">
        <v>2447</v>
      </c>
      <c r="C15" s="2401">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3" t="s">
        <v>2362</v>
      </c>
      <c r="Q15" s="1898" t="str">
        <f t="shared" si="6"/>
        <v>商业繁华度</v>
      </c>
      <c r="R15" s="753" t="s">
        <v>25</v>
      </c>
      <c r="S15" s="754">
        <f t="shared" si="0"/>
        <v>100</v>
      </c>
      <c r="T15" s="753" t="s">
        <v>25</v>
      </c>
      <c r="U15" s="754">
        <f t="shared" si="1"/>
        <v>100</v>
      </c>
      <c r="V15" s="753" t="s">
        <v>25</v>
      </c>
      <c r="W15" s="754">
        <f t="shared" si="2"/>
        <v>100</v>
      </c>
      <c r="X15" s="1899"/>
      <c r="Y15" s="3060" t="s">
        <v>2362</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74"/>
      <c r="Q16" s="1898"/>
      <c r="R16" s="753"/>
      <c r="S16" s="754"/>
      <c r="T16" s="753"/>
      <c r="U16" s="754"/>
      <c r="V16" s="753"/>
      <c r="W16" s="754"/>
      <c r="X16" s="1899"/>
      <c r="Y16" s="3061"/>
      <c r="Z16" s="1901"/>
      <c r="AA16" s="1902">
        <v>1</v>
      </c>
      <c r="AB16" s="1902">
        <v>1</v>
      </c>
      <c r="AC16" s="1902">
        <v>1</v>
      </c>
    </row>
    <row r="17" spans="1:29" ht="128.25">
      <c r="A17" s="408"/>
      <c r="B17" s="431" t="s">
        <v>1748</v>
      </c>
      <c r="C17" s="2404" t="str">
        <f>估价对象房地状况!C6</f>
        <v>临近城市高速路——京藏高速，周边有专43号、专89号、307号、345号、355号路等多条公交线路及地铁8号线（永泰站），交通状况较好。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4"/>
      <c r="Q17" s="1898" t="str">
        <f>B17</f>
        <v>交通便捷度</v>
      </c>
      <c r="R17" s="753" t="s">
        <v>25</v>
      </c>
      <c r="S17" s="754">
        <f>F17</f>
        <v>100</v>
      </c>
      <c r="T17" s="753" t="s">
        <v>25</v>
      </c>
      <c r="U17" s="754">
        <f>H17</f>
        <v>100</v>
      </c>
      <c r="V17" s="753" t="s">
        <v>25</v>
      </c>
      <c r="W17" s="754">
        <f>J17</f>
        <v>100</v>
      </c>
      <c r="X17" s="1899"/>
      <c r="Y17" s="3061"/>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44"/>
      <c r="P18" s="3074"/>
      <c r="Q18" s="1898"/>
      <c r="R18" s="753"/>
      <c r="S18" s="754"/>
      <c r="T18" s="753"/>
      <c r="U18" s="754"/>
      <c r="V18" s="753"/>
      <c r="W18" s="754"/>
      <c r="X18" s="1899"/>
      <c r="Y18" s="3061"/>
      <c r="Z18" s="1901"/>
      <c r="AA18" s="1902">
        <v>1</v>
      </c>
      <c r="AB18" s="1902">
        <v>1</v>
      </c>
      <c r="AC18" s="1902">
        <v>1</v>
      </c>
    </row>
    <row r="19" spans="1:29" ht="370.5">
      <c r="A19" s="408"/>
      <c r="B19" s="431" t="s">
        <v>2448</v>
      </c>
      <c r="C19" s="2404" t="str">
        <f>估价对象房地状况!C7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4"/>
      <c r="Q19" s="1898" t="str">
        <f>B19</f>
        <v>公共配套设施</v>
      </c>
      <c r="R19" s="753" t="s">
        <v>25</v>
      </c>
      <c r="S19" s="754">
        <f>F19</f>
        <v>100</v>
      </c>
      <c r="T19" s="753" t="s">
        <v>25</v>
      </c>
      <c r="U19" s="754">
        <f>H19</f>
        <v>100</v>
      </c>
      <c r="V19" s="753" t="s">
        <v>25</v>
      </c>
      <c r="W19" s="754">
        <f>J19</f>
        <v>100</v>
      </c>
      <c r="X19" s="1899"/>
      <c r="Y19" s="3061"/>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3"/>
      <c r="M20" s="1244"/>
      <c r="N20" s="1244"/>
      <c r="O20" s="1244"/>
      <c r="P20" s="3074"/>
      <c r="Q20" s="1898"/>
      <c r="R20" s="753"/>
      <c r="S20" s="754"/>
      <c r="T20" s="753"/>
      <c r="U20" s="754"/>
      <c r="V20" s="753"/>
      <c r="W20" s="754"/>
      <c r="X20" s="1899"/>
      <c r="Y20" s="3061"/>
      <c r="Z20" s="1901"/>
      <c r="AA20" s="1902">
        <v>1</v>
      </c>
      <c r="AB20" s="1902">
        <v>1</v>
      </c>
      <c r="AC20" s="1902">
        <v>1</v>
      </c>
    </row>
    <row r="21" spans="1:29" ht="15">
      <c r="A21" s="408"/>
      <c r="B21" s="2406" t="s">
        <v>2449</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4"/>
      <c r="Q21" s="1898" t="str">
        <f>B21</f>
        <v>基础设施水平</v>
      </c>
      <c r="R21" s="753" t="s">
        <v>25</v>
      </c>
      <c r="S21" s="754">
        <f>F21</f>
        <v>100</v>
      </c>
      <c r="T21" s="753" t="s">
        <v>25</v>
      </c>
      <c r="U21" s="754">
        <f>H21</f>
        <v>100</v>
      </c>
      <c r="V21" s="753" t="s">
        <v>25</v>
      </c>
      <c r="W21" s="754">
        <f>J21</f>
        <v>100</v>
      </c>
      <c r="X21" s="1899"/>
      <c r="Y21" s="3061"/>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44"/>
      <c r="P22" s="3074"/>
      <c r="Q22" s="1898"/>
      <c r="R22" s="753"/>
      <c r="S22" s="754"/>
      <c r="T22" s="753"/>
      <c r="U22" s="754"/>
      <c r="V22" s="753"/>
      <c r="W22" s="754"/>
      <c r="X22" s="1899"/>
      <c r="Y22" s="3061"/>
      <c r="Z22" s="1901"/>
      <c r="AA22" s="1902">
        <v>1</v>
      </c>
      <c r="AB22" s="1902">
        <v>1</v>
      </c>
      <c r="AC22" s="1902">
        <v>1</v>
      </c>
    </row>
    <row r="23" spans="1:29" ht="128.25">
      <c r="A23" s="408"/>
      <c r="B23" s="431" t="s">
        <v>1753</v>
      </c>
      <c r="C23" s="2454" t="str">
        <f>估价对象房地状况!C9</f>
        <v>区域自然环境：清河、奥林匹克森林公园、西三旗公园；人文环境：北京信息科技大学（清河小营校区）；综合评价环境状况较好。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4"/>
      <c r="Q23" s="1898" t="str">
        <f>B23</f>
        <v>自然及人文环境</v>
      </c>
      <c r="R23" s="753" t="s">
        <v>25</v>
      </c>
      <c r="S23" s="754">
        <f>F23</f>
        <v>100</v>
      </c>
      <c r="T23" s="753" t="s">
        <v>25</v>
      </c>
      <c r="U23" s="754">
        <f>H23</f>
        <v>100</v>
      </c>
      <c r="V23" s="753" t="s">
        <v>25</v>
      </c>
      <c r="W23" s="754">
        <f>J23</f>
        <v>100</v>
      </c>
      <c r="X23" s="1899"/>
      <c r="Y23" s="3061"/>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3"/>
      <c r="M24" s="1244"/>
      <c r="N24" s="1244"/>
      <c r="O24" s="1244"/>
      <c r="P24" s="3074"/>
      <c r="Q24" s="1898"/>
      <c r="R24" s="753"/>
      <c r="S24" s="754"/>
      <c r="T24" s="753"/>
      <c r="U24" s="754"/>
      <c r="V24" s="753"/>
      <c r="W24" s="754"/>
      <c r="X24" s="1899"/>
      <c r="Y24" s="3061"/>
      <c r="Z24" s="1901"/>
      <c r="AA24" s="1902">
        <v>1</v>
      </c>
      <c r="AB24" s="1902">
        <v>1</v>
      </c>
      <c r="AC24" s="1902">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4"/>
      <c r="Q25" s="1898" t="str">
        <f t="shared" ref="Q25:Q46" si="11">B25</f>
        <v>临街状况</v>
      </c>
      <c r="R25" s="753" t="s">
        <v>25</v>
      </c>
      <c r="S25" s="754">
        <f>F25</f>
        <v>100</v>
      </c>
      <c r="T25" s="753" t="s">
        <v>25</v>
      </c>
      <c r="U25" s="754">
        <f>H25</f>
        <v>100</v>
      </c>
      <c r="V25" s="753" t="s">
        <v>25</v>
      </c>
      <c r="W25" s="754">
        <f>J25</f>
        <v>100</v>
      </c>
      <c r="X25" s="1899"/>
      <c r="Y25" s="3061"/>
      <c r="Z25" s="1901" t="str">
        <f>Q25</f>
        <v>临街状况</v>
      </c>
      <c r="AA25" s="1902">
        <f t="shared" si="3"/>
        <v>1</v>
      </c>
      <c r="AB25" s="1902">
        <f t="shared" si="4"/>
        <v>1</v>
      </c>
      <c r="AC25" s="1902">
        <f t="shared" si="5"/>
        <v>1</v>
      </c>
    </row>
    <row r="26" spans="1:29" ht="15">
      <c r="A26" s="408"/>
      <c r="B26" s="2410"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4"/>
      <c r="Q26" s="1898" t="str">
        <f t="shared" si="11"/>
        <v>平面位置/可视性</v>
      </c>
      <c r="R26" s="753" t="s">
        <v>25</v>
      </c>
      <c r="S26" s="754">
        <f>F26</f>
        <v>100</v>
      </c>
      <c r="T26" s="753" t="s">
        <v>25</v>
      </c>
      <c r="U26" s="754">
        <f>H26</f>
        <v>100</v>
      </c>
      <c r="V26" s="753" t="s">
        <v>25</v>
      </c>
      <c r="W26" s="754">
        <f>J26</f>
        <v>100</v>
      </c>
      <c r="X26" s="1899"/>
      <c r="Y26" s="3061"/>
      <c r="Z26" s="1901" t="str">
        <f>Q26</f>
        <v>平面位置/可视性</v>
      </c>
      <c r="AA26" s="1902">
        <f t="shared" si="3"/>
        <v>1</v>
      </c>
      <c r="AB26" s="1902">
        <f t="shared" si="4"/>
        <v>1</v>
      </c>
      <c r="AC26" s="1902">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74"/>
      <c r="Q27" s="1886" t="str">
        <f t="shared" si="11"/>
        <v>人流量</v>
      </c>
      <c r="R27" s="749" t="s">
        <v>25</v>
      </c>
      <c r="S27" s="750">
        <f>F27</f>
        <v>100</v>
      </c>
      <c r="T27" s="749" t="s">
        <v>25</v>
      </c>
      <c r="U27" s="750">
        <f>H27</f>
        <v>100</v>
      </c>
      <c r="V27" s="749" t="s">
        <v>25</v>
      </c>
      <c r="W27" s="750">
        <f>J27</f>
        <v>100</v>
      </c>
      <c r="X27" s="751"/>
      <c r="Y27" s="3061"/>
      <c r="Z27" s="23" t="str">
        <f>Q27</f>
        <v>人流量</v>
      </c>
      <c r="AA27" s="1902">
        <f>D27/F27</f>
        <v>1</v>
      </c>
      <c r="AB27" s="1902">
        <f>D27/H27</f>
        <v>1</v>
      </c>
      <c r="AC27" s="1902">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4"/>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61"/>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4"/>
      <c r="Q29" s="1898">
        <f t="shared" si="11"/>
        <v>111</v>
      </c>
      <c r="R29" s="753" t="s">
        <v>25</v>
      </c>
      <c r="S29" s="754">
        <f t="shared" si="12"/>
        <v>100</v>
      </c>
      <c r="T29" s="753" t="s">
        <v>25</v>
      </c>
      <c r="U29" s="754">
        <f t="shared" si="13"/>
        <v>100</v>
      </c>
      <c r="V29" s="753" t="s">
        <v>25</v>
      </c>
      <c r="W29" s="754">
        <f t="shared" si="14"/>
        <v>100</v>
      </c>
      <c r="X29" s="1899"/>
      <c r="Y29" s="3061"/>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4"/>
      <c r="Q30" s="1898">
        <f t="shared" si="11"/>
        <v>111</v>
      </c>
      <c r="R30" s="753" t="s">
        <v>25</v>
      </c>
      <c r="S30" s="754">
        <f t="shared" si="12"/>
        <v>100</v>
      </c>
      <c r="T30" s="753" t="s">
        <v>25</v>
      </c>
      <c r="U30" s="754">
        <f t="shared" si="13"/>
        <v>100</v>
      </c>
      <c r="V30" s="753" t="s">
        <v>25</v>
      </c>
      <c r="W30" s="754">
        <f t="shared" si="14"/>
        <v>100</v>
      </c>
      <c r="X30" s="1899"/>
      <c r="Y30" s="3061"/>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4"/>
      <c r="Q31" s="1898">
        <f t="shared" si="11"/>
        <v>111</v>
      </c>
      <c r="R31" s="753" t="s">
        <v>25</v>
      </c>
      <c r="S31" s="754">
        <f t="shared" si="12"/>
        <v>100</v>
      </c>
      <c r="T31" s="753" t="s">
        <v>25</v>
      </c>
      <c r="U31" s="754">
        <f t="shared" si="13"/>
        <v>100</v>
      </c>
      <c r="V31" s="753" t="s">
        <v>25</v>
      </c>
      <c r="W31" s="754">
        <f t="shared" si="14"/>
        <v>100</v>
      </c>
      <c r="X31" s="1899"/>
      <c r="Y31" s="3061"/>
      <c r="Z31" s="1901">
        <f t="shared" si="15"/>
        <v>111</v>
      </c>
      <c r="AA31" s="1902">
        <f t="shared" si="3"/>
        <v>1</v>
      </c>
      <c r="AB31" s="1902">
        <f t="shared" si="4"/>
        <v>1</v>
      </c>
      <c r="AC31" s="1902">
        <f t="shared" si="5"/>
        <v>1</v>
      </c>
    </row>
    <row r="32" spans="1:29" ht="15">
      <c r="A32" s="419" t="s">
        <v>2366</v>
      </c>
      <c r="B32" s="28" t="s">
        <v>2454</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62" t="s">
        <v>2368</v>
      </c>
      <c r="Q32" s="1898" t="str">
        <f t="shared" si="11"/>
        <v>商业类型</v>
      </c>
      <c r="R32" s="753" t="s">
        <v>25</v>
      </c>
      <c r="S32" s="754">
        <f t="shared" si="12"/>
        <v>100</v>
      </c>
      <c r="T32" s="753" t="s">
        <v>25</v>
      </c>
      <c r="U32" s="754">
        <f t="shared" si="13"/>
        <v>100</v>
      </c>
      <c r="V32" s="753" t="s">
        <v>25</v>
      </c>
      <c r="W32" s="754">
        <f t="shared" si="14"/>
        <v>100</v>
      </c>
      <c r="X32" s="1899"/>
      <c r="Y32" s="3065" t="s">
        <v>2368</v>
      </c>
      <c r="Z32" s="1901" t="str">
        <f t="shared" si="15"/>
        <v>商业类型</v>
      </c>
      <c r="AA32" s="1902">
        <f t="shared" si="3"/>
        <v>1</v>
      </c>
      <c r="AB32" s="1902">
        <f t="shared" si="4"/>
        <v>1</v>
      </c>
      <c r="AC32" s="1902">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3"/>
      <c r="Q33" s="755" t="str">
        <f t="shared" si="11"/>
        <v>项目建筑规模</v>
      </c>
      <c r="R33" s="756" t="s">
        <v>25</v>
      </c>
      <c r="S33" s="757" t="e">
        <f t="shared" si="12"/>
        <v>#N/A</v>
      </c>
      <c r="T33" s="756" t="s">
        <v>25</v>
      </c>
      <c r="U33" s="757" t="e">
        <f t="shared" si="13"/>
        <v>#N/A</v>
      </c>
      <c r="V33" s="756" t="s">
        <v>25</v>
      </c>
      <c r="W33" s="757" t="e">
        <f t="shared" si="14"/>
        <v>#N/A</v>
      </c>
      <c r="X33" s="758"/>
      <c r="Y33" s="3065"/>
      <c r="Z33" s="759" t="str">
        <f t="shared" si="15"/>
        <v>项目建筑规模</v>
      </c>
      <c r="AA33" s="1902" t="e">
        <f t="shared" si="3"/>
        <v>#N/A</v>
      </c>
      <c r="AB33" s="1902" t="e">
        <f t="shared" si="4"/>
        <v>#N/A</v>
      </c>
      <c r="AC33" s="1902"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63"/>
      <c r="Q34" s="1898" t="str">
        <f t="shared" si="11"/>
        <v>建筑结构</v>
      </c>
      <c r="R34" s="753" t="s">
        <v>25</v>
      </c>
      <c r="S34" s="754">
        <f t="shared" si="12"/>
        <v>100</v>
      </c>
      <c r="T34" s="753" t="s">
        <v>25</v>
      </c>
      <c r="U34" s="754">
        <f t="shared" si="13"/>
        <v>100</v>
      </c>
      <c r="V34" s="753" t="s">
        <v>25</v>
      </c>
      <c r="W34" s="754">
        <f t="shared" si="14"/>
        <v>100</v>
      </c>
      <c r="X34" s="1899"/>
      <c r="Y34" s="3065"/>
      <c r="Z34" s="1901" t="str">
        <f t="shared" si="15"/>
        <v>建筑结构</v>
      </c>
      <c r="AA34" s="1902">
        <f t="shared" si="3"/>
        <v>1</v>
      </c>
      <c r="AB34" s="1902">
        <f t="shared" si="4"/>
        <v>1</v>
      </c>
      <c r="AC34" s="1902">
        <f t="shared" si="5"/>
        <v>1</v>
      </c>
    </row>
    <row r="35" spans="1:29" ht="15">
      <c r="A35" s="453"/>
      <c r="B35" s="402" t="s">
        <v>2455</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63"/>
      <c r="Q35" s="1898" t="str">
        <f t="shared" si="11"/>
        <v>公共部分装修</v>
      </c>
      <c r="R35" s="753" t="s">
        <v>25</v>
      </c>
      <c r="S35" s="754">
        <f t="shared" si="12"/>
        <v>100</v>
      </c>
      <c r="T35" s="753" t="s">
        <v>25</v>
      </c>
      <c r="U35" s="754">
        <f t="shared" si="13"/>
        <v>100</v>
      </c>
      <c r="V35" s="753" t="s">
        <v>25</v>
      </c>
      <c r="W35" s="754">
        <f t="shared" si="14"/>
        <v>100</v>
      </c>
      <c r="X35" s="1899"/>
      <c r="Y35" s="3065"/>
      <c r="Z35" s="1901" t="str">
        <f t="shared" si="15"/>
        <v>公共部分装修</v>
      </c>
      <c r="AA35" s="1902">
        <f t="shared" si="3"/>
        <v>1</v>
      </c>
      <c r="AB35" s="1902">
        <f t="shared" si="4"/>
        <v>1</v>
      </c>
      <c r="AC35" s="1902">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3"/>
      <c r="Q36" s="1898" t="str">
        <f t="shared" si="11"/>
        <v>成新度</v>
      </c>
      <c r="R36" s="753" t="s">
        <v>25</v>
      </c>
      <c r="S36" s="754" t="e">
        <f t="shared" si="12"/>
        <v>#N/A</v>
      </c>
      <c r="T36" s="753" t="s">
        <v>25</v>
      </c>
      <c r="U36" s="754" t="e">
        <f t="shared" si="13"/>
        <v>#N/A</v>
      </c>
      <c r="V36" s="753" t="s">
        <v>25</v>
      </c>
      <c r="W36" s="754" t="e">
        <f t="shared" si="14"/>
        <v>#N/A</v>
      </c>
      <c r="X36" s="1899"/>
      <c r="Y36" s="3065"/>
      <c r="Z36" s="1901" t="str">
        <f t="shared" si="15"/>
        <v>成新度</v>
      </c>
      <c r="AA36" s="1902" t="e">
        <f t="shared" si="3"/>
        <v>#N/A</v>
      </c>
      <c r="AB36" s="1902" t="e">
        <f t="shared" si="4"/>
        <v>#N/A</v>
      </c>
      <c r="AC36" s="1902" t="e">
        <f t="shared" si="5"/>
        <v>#N/A</v>
      </c>
    </row>
    <row r="37" spans="1:29" s="35" customFormat="1" ht="15">
      <c r="A37" s="454"/>
      <c r="B37" s="402" t="s">
        <v>2457</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63"/>
      <c r="Q37" s="1886" t="str">
        <f t="shared" si="11"/>
        <v>市政基础设施</v>
      </c>
      <c r="R37" s="749" t="s">
        <v>25</v>
      </c>
      <c r="S37" s="750">
        <f t="shared" si="12"/>
        <v>100</v>
      </c>
      <c r="T37" s="749" t="s">
        <v>25</v>
      </c>
      <c r="U37" s="750">
        <f t="shared" si="13"/>
        <v>100</v>
      </c>
      <c r="V37" s="749" t="s">
        <v>25</v>
      </c>
      <c r="W37" s="750">
        <f t="shared" si="14"/>
        <v>100</v>
      </c>
      <c r="X37" s="751"/>
      <c r="Y37" s="3065"/>
      <c r="Z37" s="23" t="str">
        <f t="shared" si="15"/>
        <v>市政基础设施</v>
      </c>
      <c r="AA37" s="752">
        <f t="shared" si="3"/>
        <v>1</v>
      </c>
      <c r="AB37" s="752">
        <f t="shared" si="4"/>
        <v>1</v>
      </c>
      <c r="AC37" s="752">
        <f t="shared" si="5"/>
        <v>1</v>
      </c>
    </row>
    <row r="38" spans="1:29" ht="15">
      <c r="A38" s="453"/>
      <c r="B38" s="402" t="s">
        <v>2458</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63" t="s">
        <v>2368</v>
      </c>
      <c r="Q38" s="1898" t="str">
        <f t="shared" si="11"/>
        <v>业态</v>
      </c>
      <c r="R38" s="753" t="s">
        <v>25</v>
      </c>
      <c r="S38" s="754">
        <f t="shared" si="12"/>
        <v>100</v>
      </c>
      <c r="T38" s="753" t="s">
        <v>25</v>
      </c>
      <c r="U38" s="754">
        <f t="shared" si="13"/>
        <v>100</v>
      </c>
      <c r="V38" s="753" t="s">
        <v>25</v>
      </c>
      <c r="W38" s="754">
        <f t="shared" si="14"/>
        <v>100</v>
      </c>
      <c r="X38" s="1899"/>
      <c r="Y38" s="3065" t="s">
        <v>2368</v>
      </c>
      <c r="Z38" s="1901" t="str">
        <f t="shared" si="15"/>
        <v>业态</v>
      </c>
      <c r="AA38" s="1902">
        <f t="shared" si="3"/>
        <v>1</v>
      </c>
      <c r="AB38" s="1902">
        <f t="shared" si="4"/>
        <v>1</v>
      </c>
      <c r="AC38" s="1902">
        <f t="shared" si="5"/>
        <v>1</v>
      </c>
    </row>
    <row r="39" spans="1:29" ht="15">
      <c r="A39" s="453"/>
      <c r="B39" s="402" t="s">
        <v>2459</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63"/>
      <c r="Q39" s="1898" t="str">
        <f t="shared" si="11"/>
        <v>层高</v>
      </c>
      <c r="R39" s="753" t="s">
        <v>25</v>
      </c>
      <c r="S39" s="754">
        <f t="shared" si="12"/>
        <v>100</v>
      </c>
      <c r="T39" s="753" t="s">
        <v>25</v>
      </c>
      <c r="U39" s="754">
        <f t="shared" si="13"/>
        <v>100</v>
      </c>
      <c r="V39" s="753" t="s">
        <v>25</v>
      </c>
      <c r="W39" s="754">
        <f t="shared" si="14"/>
        <v>100</v>
      </c>
      <c r="X39" s="1899"/>
      <c r="Y39" s="3065"/>
      <c r="Z39" s="1901" t="str">
        <f t="shared" si="15"/>
        <v>层高</v>
      </c>
      <c r="AA39" s="1902">
        <f t="shared" si="3"/>
        <v>1</v>
      </c>
      <c r="AB39" s="1902">
        <f t="shared" si="4"/>
        <v>1</v>
      </c>
      <c r="AC39" s="1902">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3"/>
      <c r="Q40" s="1898" t="str">
        <f t="shared" si="11"/>
        <v>单套建筑面积</v>
      </c>
      <c r="R40" s="753" t="s">
        <v>25</v>
      </c>
      <c r="S40" s="754">
        <f t="shared" si="12"/>
        <v>100</v>
      </c>
      <c r="T40" s="753" t="s">
        <v>25</v>
      </c>
      <c r="U40" s="754">
        <f t="shared" si="13"/>
        <v>100</v>
      </c>
      <c r="V40" s="753" t="s">
        <v>25</v>
      </c>
      <c r="W40" s="754">
        <f t="shared" si="14"/>
        <v>100</v>
      </c>
      <c r="X40" s="1899"/>
      <c r="Y40" s="3065"/>
      <c r="Z40" s="1901" t="str">
        <f t="shared" si="15"/>
        <v>单套建筑面积</v>
      </c>
      <c r="AA40" s="1902">
        <f t="shared" si="3"/>
        <v>1</v>
      </c>
      <c r="AB40" s="1902">
        <f t="shared" si="4"/>
        <v>1</v>
      </c>
      <c r="AC40" s="1902">
        <f t="shared" si="5"/>
        <v>1</v>
      </c>
    </row>
    <row r="41" spans="1:29" s="452" customFormat="1" ht="15">
      <c r="A41" s="449"/>
      <c r="B41" s="1903"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3"/>
      <c r="Q41" s="755" t="str">
        <f t="shared" si="11"/>
        <v>进深比</v>
      </c>
      <c r="R41" s="756" t="s">
        <v>25</v>
      </c>
      <c r="S41" s="757">
        <f t="shared" si="12"/>
        <v>100</v>
      </c>
      <c r="T41" s="756" t="s">
        <v>25</v>
      </c>
      <c r="U41" s="757">
        <f t="shared" si="13"/>
        <v>100</v>
      </c>
      <c r="V41" s="756" t="s">
        <v>25</v>
      </c>
      <c r="W41" s="757">
        <f t="shared" si="14"/>
        <v>100</v>
      </c>
      <c r="X41" s="758"/>
      <c r="Y41" s="3065"/>
      <c r="Z41" s="759" t="str">
        <f t="shared" si="15"/>
        <v>进深比</v>
      </c>
      <c r="AA41" s="1902">
        <f t="shared" si="3"/>
        <v>1</v>
      </c>
      <c r="AB41" s="1902">
        <f t="shared" si="4"/>
        <v>1</v>
      </c>
      <c r="AC41" s="1902">
        <f t="shared" si="5"/>
        <v>1</v>
      </c>
    </row>
    <row r="42" spans="1:29" ht="15">
      <c r="A42" s="453"/>
      <c r="B42" s="402" t="s">
        <v>2462</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63"/>
      <c r="Q42" s="1898" t="str">
        <f t="shared" si="11"/>
        <v>内部装修</v>
      </c>
      <c r="R42" s="753" t="s">
        <v>25</v>
      </c>
      <c r="S42" s="754">
        <f t="shared" si="12"/>
        <v>100</v>
      </c>
      <c r="T42" s="753" t="s">
        <v>25</v>
      </c>
      <c r="U42" s="754">
        <f t="shared" si="13"/>
        <v>100</v>
      </c>
      <c r="V42" s="753" t="s">
        <v>25</v>
      </c>
      <c r="W42" s="754">
        <f t="shared" si="14"/>
        <v>100</v>
      </c>
      <c r="X42" s="1899"/>
      <c r="Y42" s="3065"/>
      <c r="Z42" s="1901" t="str">
        <f t="shared" si="15"/>
        <v>内部装修</v>
      </c>
      <c r="AA42" s="1902">
        <f t="shared" si="3"/>
        <v>1</v>
      </c>
      <c r="AB42" s="1902">
        <f t="shared" si="4"/>
        <v>1</v>
      </c>
      <c r="AC42" s="1902">
        <f t="shared" si="5"/>
        <v>1</v>
      </c>
    </row>
    <row r="43" spans="1:29" ht="15">
      <c r="A43" s="453"/>
      <c r="B43" s="402" t="s">
        <v>2379</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63"/>
      <c r="Q43" s="1898" t="str">
        <f t="shared" si="11"/>
        <v>内部装修维护情况</v>
      </c>
      <c r="R43" s="753" t="s">
        <v>25</v>
      </c>
      <c r="S43" s="754">
        <f t="shared" si="12"/>
        <v>100</v>
      </c>
      <c r="T43" s="753" t="s">
        <v>25</v>
      </c>
      <c r="U43" s="754">
        <f t="shared" si="13"/>
        <v>100</v>
      </c>
      <c r="V43" s="753" t="s">
        <v>25</v>
      </c>
      <c r="W43" s="754">
        <f t="shared" si="14"/>
        <v>100</v>
      </c>
      <c r="X43" s="1899"/>
      <c r="Y43" s="3065"/>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3"/>
      <c r="Q44" s="1886">
        <f t="shared" si="11"/>
        <v>111</v>
      </c>
      <c r="R44" s="749" t="s">
        <v>25</v>
      </c>
      <c r="S44" s="750">
        <f t="shared" si="12"/>
        <v>100</v>
      </c>
      <c r="T44" s="749" t="s">
        <v>25</v>
      </c>
      <c r="U44" s="750">
        <f t="shared" si="13"/>
        <v>100</v>
      </c>
      <c r="V44" s="749" t="s">
        <v>25</v>
      </c>
      <c r="W44" s="750">
        <f t="shared" si="14"/>
        <v>100</v>
      </c>
      <c r="X44" s="751"/>
      <c r="Y44" s="3065"/>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3"/>
      <c r="Q45" s="1898">
        <f t="shared" si="11"/>
        <v>111</v>
      </c>
      <c r="R45" s="753" t="s">
        <v>25</v>
      </c>
      <c r="S45" s="754">
        <f t="shared" si="12"/>
        <v>100</v>
      </c>
      <c r="T45" s="753" t="s">
        <v>25</v>
      </c>
      <c r="U45" s="754">
        <f t="shared" si="13"/>
        <v>100</v>
      </c>
      <c r="V45" s="753" t="s">
        <v>25</v>
      </c>
      <c r="W45" s="754">
        <f t="shared" si="14"/>
        <v>100</v>
      </c>
      <c r="X45" s="1899"/>
      <c r="Y45" s="3065"/>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4"/>
      <c r="Q46" s="1898">
        <f t="shared" si="11"/>
        <v>111</v>
      </c>
      <c r="R46" s="753" t="s">
        <v>25</v>
      </c>
      <c r="S46" s="754">
        <f t="shared" si="12"/>
        <v>100</v>
      </c>
      <c r="T46" s="753" t="s">
        <v>25</v>
      </c>
      <c r="U46" s="754">
        <f t="shared" si="13"/>
        <v>100</v>
      </c>
      <c r="V46" s="753" t="s">
        <v>25</v>
      </c>
      <c r="W46" s="754">
        <f t="shared" si="14"/>
        <v>100</v>
      </c>
      <c r="X46" s="1899"/>
      <c r="Y46" s="3066"/>
      <c r="Z46" s="1901">
        <f t="shared" si="15"/>
        <v>111</v>
      </c>
      <c r="AA46" s="1902">
        <f t="shared" si="3"/>
        <v>1</v>
      </c>
      <c r="AB46" s="1902">
        <f t="shared" si="4"/>
        <v>1</v>
      </c>
      <c r="AC46" s="1902">
        <f t="shared" si="5"/>
        <v>1</v>
      </c>
    </row>
    <row r="47" spans="1:29" ht="15">
      <c r="A47" s="460" t="s">
        <v>2380</v>
      </c>
      <c r="B47" s="461"/>
      <c r="C47" s="1502" t="s">
        <v>1</v>
      </c>
      <c r="D47" s="1503"/>
      <c r="E47" s="1504"/>
      <c r="F47" s="1505"/>
      <c r="G47" s="1506"/>
      <c r="H47" s="1507"/>
      <c r="I47" s="1504"/>
      <c r="J47" s="1507"/>
      <c r="K47" s="762"/>
      <c r="L47" s="1256"/>
      <c r="M47" s="1257"/>
      <c r="N47" s="1244"/>
      <c r="O47" s="1257"/>
      <c r="P47" s="3071" t="str">
        <f>A47</f>
        <v>成交单价（元/平方米）</v>
      </c>
      <c r="Q47" s="3071"/>
      <c r="R47" s="3072">
        <f>E47</f>
        <v>0</v>
      </c>
      <c r="S47" s="3072"/>
      <c r="T47" s="3072">
        <f>G47</f>
        <v>0</v>
      </c>
      <c r="U47" s="3072"/>
      <c r="V47" s="3072">
        <f>I47</f>
        <v>0</v>
      </c>
      <c r="W47" s="3072"/>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71" t="str">
        <f>A48</f>
        <v>比较价值（元/平方米）</v>
      </c>
      <c r="Q48" s="3071"/>
      <c r="R48" s="3072" t="e">
        <f>IF(E1="售价",ROUND(PRODUCT(R47,AA7:AA46),0),ROUND(PRODUCT(R47,AA7:AA46),1))</f>
        <v>#DIV/0!</v>
      </c>
      <c r="S48" s="3072"/>
      <c r="T48" s="3072" t="e">
        <f>IF(E1="售价",ROUND(PRODUCT(T47,AB7:AB46),0),ROUND(PRODUCT(T47,AB7:AB46),1))</f>
        <v>#DIV/0!</v>
      </c>
      <c r="U48" s="3072"/>
      <c r="V48" s="3072" t="e">
        <f>IF(E1="售价",ROUND(PRODUCT(V47,AC7:AC46),0),ROUND(PRODUCT(V47,AC7:AC46),1))</f>
        <v>#DIV/0!</v>
      </c>
      <c r="W48" s="3072"/>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77" t="str">
        <f>A49</f>
        <v>估价对象XX用房的比较价值（楼面单价，元/平方米）</v>
      </c>
      <c r="Q49" s="3078"/>
      <c r="R49" s="3079" t="e">
        <f>IF(E1="售价",ROUND(AVERAGE(R48:V48),0),ROUND(AVERAGE(R48:V48),1))</f>
        <v>#DIV/0!</v>
      </c>
      <c r="S49" s="3079"/>
      <c r="T49" s="3079"/>
      <c r="U49" s="3079"/>
      <c r="V49" s="3079"/>
      <c r="W49" s="307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8" t="str">
        <f>YEAR(C7)&amp;"-"&amp;MONTH(C7)</f>
        <v>2018-12</v>
      </c>
      <c r="D58" s="1679">
        <f>EDATE(C58,-1)</f>
        <v>43405</v>
      </c>
      <c r="E58" s="1679">
        <f t="shared" ref="E58:O58" si="16">EDATE(D58,-1)</f>
        <v>43374</v>
      </c>
      <c r="F58" s="1679">
        <f t="shared" si="16"/>
        <v>43344</v>
      </c>
      <c r="G58" s="1679">
        <f t="shared" si="16"/>
        <v>43313</v>
      </c>
      <c r="H58" s="1679">
        <f t="shared" si="16"/>
        <v>43282</v>
      </c>
      <c r="I58" s="1679">
        <f t="shared" si="16"/>
        <v>43252</v>
      </c>
      <c r="J58" s="1679">
        <f t="shared" si="16"/>
        <v>43221</v>
      </c>
      <c r="K58" s="1679">
        <f t="shared" si="16"/>
        <v>43191</v>
      </c>
      <c r="L58" s="1679">
        <f t="shared" si="16"/>
        <v>43160</v>
      </c>
      <c r="M58" s="1679">
        <f t="shared" si="16"/>
        <v>43132</v>
      </c>
      <c r="N58" s="1679">
        <f t="shared" si="16"/>
        <v>43101</v>
      </c>
      <c r="O58" s="1679">
        <f t="shared" si="16"/>
        <v>43070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2475</v>
      </c>
      <c r="C1" s="1726"/>
      <c r="D1" s="1739"/>
      <c r="E1" s="2381"/>
      <c r="F1" s="1740" t="s">
        <v>2335</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2005</v>
      </c>
      <c r="B2" s="1725"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2006</v>
      </c>
      <c r="B3" s="593" t="e">
        <f ca="1">ROUND(IF(D2="——",C50,IF(C2="万元",B2*10000/D3,B2/D3)),0)</f>
        <v>#DIV/0!</v>
      </c>
      <c r="C3" s="379" t="s">
        <v>2336</v>
      </c>
      <c r="D3" s="378">
        <f>IF(C1="仅计算典型户型",'数据-取费表'!E5,'数据-取费表'!B5)</f>
        <v>99.8</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35" t="s">
        <v>2338</v>
      </c>
      <c r="D4" s="3036"/>
      <c r="E4" s="3037" t="s">
        <v>2339</v>
      </c>
      <c r="F4" s="3038"/>
      <c r="G4" s="3035" t="s">
        <v>2340</v>
      </c>
      <c r="H4" s="3036"/>
      <c r="I4" s="3035" t="s">
        <v>2341</v>
      </c>
      <c r="J4" s="3036"/>
      <c r="K4" s="594" t="s">
        <v>2342</v>
      </c>
      <c r="L4" s="1243"/>
      <c r="M4" s="1244"/>
      <c r="N4" s="1244"/>
      <c r="O4" s="1244"/>
      <c r="P4" s="3082" t="s">
        <v>2343</v>
      </c>
      <c r="Q4" s="3040"/>
      <c r="R4" s="3045" t="s">
        <v>2339</v>
      </c>
      <c r="S4" s="3046"/>
      <c r="T4" s="3045" t="s">
        <v>2340</v>
      </c>
      <c r="U4" s="3046"/>
      <c r="V4" s="3051" t="s">
        <v>2341</v>
      </c>
      <c r="W4" s="3051"/>
      <c r="X4" s="1899"/>
      <c r="Y4" s="3045" t="s">
        <v>2343</v>
      </c>
      <c r="Z4" s="3046"/>
      <c r="AA4" s="3032" t="s">
        <v>2339</v>
      </c>
      <c r="AB4" s="3032" t="s">
        <v>2340</v>
      </c>
      <c r="AC4" s="3032" t="s">
        <v>2341</v>
      </c>
    </row>
    <row r="5" spans="1:29" ht="15">
      <c r="A5" s="383"/>
      <c r="B5" s="384"/>
      <c r="C5" s="3080" t="s">
        <v>2344</v>
      </c>
      <c r="D5" s="3055"/>
      <c r="E5" s="3081" t="s">
        <v>2345</v>
      </c>
      <c r="F5" s="3053"/>
      <c r="G5" s="3080" t="s">
        <v>2346</v>
      </c>
      <c r="H5" s="3055"/>
      <c r="I5" s="3080" t="s">
        <v>2347</v>
      </c>
      <c r="J5" s="3055"/>
      <c r="K5" s="594"/>
      <c r="L5" s="1243"/>
      <c r="M5" s="1244"/>
      <c r="N5" s="1244"/>
      <c r="O5" s="1244"/>
      <c r="P5" s="3083"/>
      <c r="Q5" s="3042"/>
      <c r="R5" s="3047"/>
      <c r="S5" s="3048"/>
      <c r="T5" s="3047"/>
      <c r="U5" s="3048"/>
      <c r="V5" s="3051"/>
      <c r="W5" s="3051"/>
      <c r="X5" s="1899"/>
      <c r="Y5" s="3047"/>
      <c r="Z5" s="3048"/>
      <c r="AA5" s="3033"/>
      <c r="AB5" s="3033"/>
      <c r="AC5" s="3033"/>
    </row>
    <row r="6" spans="1:29" ht="15.75" thickBot="1">
      <c r="A6" s="385"/>
      <c r="B6" s="386"/>
      <c r="C6" s="3056" t="s">
        <v>2348</v>
      </c>
      <c r="D6" s="3057"/>
      <c r="E6" s="3058" t="s">
        <v>2348</v>
      </c>
      <c r="F6" s="3059"/>
      <c r="G6" s="3056" t="s">
        <v>2348</v>
      </c>
      <c r="H6" s="3057"/>
      <c r="I6" s="3056" t="s">
        <v>2348</v>
      </c>
      <c r="J6" s="3057"/>
      <c r="K6" s="594" t="s">
        <v>2349</v>
      </c>
      <c r="L6" s="1243"/>
      <c r="M6" s="1244"/>
      <c r="N6" s="1244"/>
      <c r="O6" s="1244"/>
      <c r="P6" s="3084"/>
      <c r="Q6" s="3044"/>
      <c r="R6" s="3047"/>
      <c r="S6" s="3048"/>
      <c r="T6" s="3049"/>
      <c r="U6" s="3050"/>
      <c r="V6" s="3051"/>
      <c r="W6" s="3051"/>
      <c r="X6" s="1899"/>
      <c r="Y6" s="3049"/>
      <c r="Z6" s="3050"/>
      <c r="AA6" s="3034"/>
      <c r="AB6" s="3034"/>
      <c r="AC6" s="3034"/>
    </row>
    <row r="7" spans="1:29" s="35" customFormat="1" ht="15.75" thickBot="1">
      <c r="A7" s="387" t="s">
        <v>2350</v>
      </c>
      <c r="B7" s="388"/>
      <c r="C7" s="389">
        <f>'数据-取费表'!B2</f>
        <v>43439</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69" t="s">
        <v>2351</v>
      </c>
      <c r="Q7" s="3069"/>
      <c r="R7" s="749" t="s">
        <v>25</v>
      </c>
      <c r="S7" s="750">
        <f t="shared" ref="S7:S15" si="0">F7</f>
        <v>0</v>
      </c>
      <c r="T7" s="749" t="s">
        <v>25</v>
      </c>
      <c r="U7" s="750">
        <f t="shared" ref="U7:U15" si="1">H7</f>
        <v>0</v>
      </c>
      <c r="V7" s="749" t="s">
        <v>25</v>
      </c>
      <c r="W7" s="750">
        <f t="shared" ref="W7:W15" si="2">J7</f>
        <v>0</v>
      </c>
      <c r="X7" s="751"/>
      <c r="Y7" s="3067" t="s">
        <v>2351</v>
      </c>
      <c r="Z7" s="3068"/>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9" t="s">
        <v>2354</v>
      </c>
      <c r="Q8" s="3068"/>
      <c r="R8" s="749" t="s">
        <v>25</v>
      </c>
      <c r="S8" s="750">
        <f t="shared" si="0"/>
        <v>0</v>
      </c>
      <c r="T8" s="749" t="s">
        <v>25</v>
      </c>
      <c r="U8" s="750">
        <f t="shared" si="1"/>
        <v>0</v>
      </c>
      <c r="V8" s="749" t="s">
        <v>25</v>
      </c>
      <c r="W8" s="750">
        <f t="shared" si="2"/>
        <v>0</v>
      </c>
      <c r="X8" s="751"/>
      <c r="Y8" s="3067" t="s">
        <v>2354</v>
      </c>
      <c r="Z8" s="3068"/>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8" t="s">
        <v>2357</v>
      </c>
      <c r="Q9" s="1886" t="str">
        <f t="shared" ref="Q9:Q15" si="6">B9</f>
        <v>用途</v>
      </c>
      <c r="R9" s="749" t="s">
        <v>25</v>
      </c>
      <c r="S9" s="750">
        <f t="shared" si="0"/>
        <v>100</v>
      </c>
      <c r="T9" s="749" t="s">
        <v>25</v>
      </c>
      <c r="U9" s="750">
        <f t="shared" si="1"/>
        <v>100</v>
      </c>
      <c r="V9" s="749" t="s">
        <v>25</v>
      </c>
      <c r="W9" s="750">
        <f t="shared" si="2"/>
        <v>100</v>
      </c>
      <c r="X9" s="751"/>
      <c r="Y9" s="288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8"/>
      <c r="Q10" s="1886"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8"/>
      <c r="Q11" s="1886"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8"/>
      <c r="Q12" s="1886">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8"/>
      <c r="Q13" s="1886">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8"/>
      <c r="Q14" s="1886">
        <f t="shared" si="6"/>
        <v>111</v>
      </c>
      <c r="R14" s="749" t="s">
        <v>25</v>
      </c>
      <c r="S14" s="750">
        <f t="shared" si="0"/>
        <v>100</v>
      </c>
      <c r="T14" s="749" t="s">
        <v>25</v>
      </c>
      <c r="U14" s="750">
        <f t="shared" si="1"/>
        <v>100</v>
      </c>
      <c r="V14" s="749" t="s">
        <v>25</v>
      </c>
      <c r="W14" s="750">
        <f t="shared" si="2"/>
        <v>100</v>
      </c>
      <c r="X14" s="751"/>
      <c r="Y14" s="2883"/>
      <c r="Z14" s="23">
        <f t="shared" si="7"/>
        <v>111</v>
      </c>
      <c r="AA14" s="752">
        <f t="shared" si="3"/>
        <v>1</v>
      </c>
      <c r="AB14" s="752">
        <f t="shared" si="4"/>
        <v>1</v>
      </c>
      <c r="AC14" s="752">
        <f t="shared" si="5"/>
        <v>1</v>
      </c>
    </row>
    <row r="15" spans="1:29" ht="71.25">
      <c r="A15" s="419" t="s">
        <v>2361</v>
      </c>
      <c r="B15" s="613" t="s">
        <v>2476</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0" t="s">
        <v>2362</v>
      </c>
      <c r="Q15" s="1898" t="str">
        <f t="shared" si="6"/>
        <v>办公集聚程度</v>
      </c>
      <c r="R15" s="753" t="s">
        <v>25</v>
      </c>
      <c r="S15" s="754">
        <f t="shared" si="0"/>
        <v>100</v>
      </c>
      <c r="T15" s="753" t="s">
        <v>25</v>
      </c>
      <c r="U15" s="754">
        <f t="shared" si="1"/>
        <v>100</v>
      </c>
      <c r="V15" s="753" t="s">
        <v>25</v>
      </c>
      <c r="W15" s="754">
        <f t="shared" si="2"/>
        <v>100</v>
      </c>
      <c r="X15" s="1899"/>
      <c r="Y15" s="3060" t="s">
        <v>2362</v>
      </c>
      <c r="Z15" s="1901" t="str">
        <f t="shared" si="7"/>
        <v>办公集聚程度</v>
      </c>
      <c r="AA15" s="1902">
        <f t="shared" si="3"/>
        <v>1</v>
      </c>
      <c r="AB15" s="1902">
        <f t="shared" si="4"/>
        <v>1</v>
      </c>
      <c r="AC15" s="1902">
        <f t="shared" si="5"/>
        <v>1</v>
      </c>
    </row>
    <row r="16" spans="1:29" ht="15">
      <c r="A16" s="408"/>
      <c r="B16" s="614"/>
      <c r="C16" s="1472"/>
      <c r="D16" s="427"/>
      <c r="E16" s="426"/>
      <c r="F16" s="427"/>
      <c r="G16" s="1472"/>
      <c r="H16" s="430"/>
      <c r="I16" s="426"/>
      <c r="J16" s="427"/>
      <c r="K16" s="599"/>
      <c r="L16" s="1253"/>
      <c r="M16" s="1244"/>
      <c r="N16" s="1244"/>
      <c r="O16" s="1244"/>
      <c r="P16" s="3042"/>
      <c r="Q16" s="1898"/>
      <c r="R16" s="753"/>
      <c r="S16" s="754"/>
      <c r="T16" s="753"/>
      <c r="U16" s="754"/>
      <c r="V16" s="753"/>
      <c r="W16" s="754"/>
      <c r="X16" s="1899"/>
      <c r="Y16" s="3061"/>
      <c r="Z16" s="1901"/>
      <c r="AA16" s="1902">
        <v>1</v>
      </c>
      <c r="AB16" s="1902">
        <v>1</v>
      </c>
      <c r="AC16" s="1902">
        <v>1</v>
      </c>
    </row>
    <row r="17" spans="1:29" ht="128.25">
      <c r="A17" s="408"/>
      <c r="B17" s="615" t="s">
        <v>1748</v>
      </c>
      <c r="C17" s="2465" t="str">
        <f>估价对象房地状况!C6</f>
        <v>临近城市高速路——京藏高速，周边有专43号、专89号、307号、345号、355号路等多条公交线路及地铁8号线（永泰站），交通状况较好。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2"/>
      <c r="Q17" s="1898" t="str">
        <f>B17</f>
        <v>交通便捷度</v>
      </c>
      <c r="R17" s="753" t="s">
        <v>25</v>
      </c>
      <c r="S17" s="754">
        <f>F17</f>
        <v>100</v>
      </c>
      <c r="T17" s="753" t="s">
        <v>25</v>
      </c>
      <c r="U17" s="754">
        <f>H17</f>
        <v>100</v>
      </c>
      <c r="V17" s="753" t="s">
        <v>25</v>
      </c>
      <c r="W17" s="754">
        <f>J17</f>
        <v>100</v>
      </c>
      <c r="X17" s="1899"/>
      <c r="Y17" s="3061"/>
      <c r="Z17" s="1901" t="str">
        <f>Q17</f>
        <v>交通便捷度</v>
      </c>
      <c r="AA17" s="1902">
        <f t="shared" si="3"/>
        <v>1</v>
      </c>
      <c r="AB17" s="1902">
        <f t="shared" si="4"/>
        <v>1</v>
      </c>
      <c r="AC17" s="1902">
        <f t="shared" si="5"/>
        <v>1</v>
      </c>
    </row>
    <row r="18" spans="1:29" ht="15">
      <c r="A18" s="408"/>
      <c r="B18" s="616"/>
      <c r="C18" s="2466"/>
      <c r="D18" s="430"/>
      <c r="E18" s="2405"/>
      <c r="F18" s="430"/>
      <c r="G18" s="1468"/>
      <c r="H18" s="427"/>
      <c r="I18" s="1468"/>
      <c r="J18" s="427"/>
      <c r="K18" s="599"/>
      <c r="L18" s="1253"/>
      <c r="M18" s="1244"/>
      <c r="N18" s="1244"/>
      <c r="O18" s="1244"/>
      <c r="P18" s="3042"/>
      <c r="Q18" s="1898"/>
      <c r="R18" s="753"/>
      <c r="S18" s="754"/>
      <c r="T18" s="753"/>
      <c r="U18" s="754"/>
      <c r="V18" s="753"/>
      <c r="W18" s="754"/>
      <c r="X18" s="1899"/>
      <c r="Y18" s="3061"/>
      <c r="Z18" s="1901"/>
      <c r="AA18" s="1902">
        <v>1</v>
      </c>
      <c r="AB18" s="1902">
        <v>1</v>
      </c>
      <c r="AC18" s="1902">
        <v>1</v>
      </c>
    </row>
    <row r="19" spans="1:29" ht="370.5">
      <c r="A19" s="408"/>
      <c r="B19" s="615" t="s">
        <v>2477</v>
      </c>
      <c r="C19" s="2465" t="str">
        <f>估价对象房地状况!C7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2"/>
      <c r="Q19" s="1898" t="str">
        <f>B19</f>
        <v>公共配套设施</v>
      </c>
      <c r="R19" s="753" t="s">
        <v>25</v>
      </c>
      <c r="S19" s="754">
        <f>F19</f>
        <v>100</v>
      </c>
      <c r="T19" s="753" t="s">
        <v>25</v>
      </c>
      <c r="U19" s="754">
        <f>H19</f>
        <v>100</v>
      </c>
      <c r="V19" s="753" t="s">
        <v>25</v>
      </c>
      <c r="W19" s="754">
        <f>J19</f>
        <v>100</v>
      </c>
      <c r="X19" s="1899"/>
      <c r="Y19" s="3061"/>
      <c r="Z19" s="1901" t="str">
        <f>Q19</f>
        <v>公共配套设施</v>
      </c>
      <c r="AA19" s="1902">
        <f t="shared" si="3"/>
        <v>1</v>
      </c>
      <c r="AB19" s="1902">
        <f t="shared" si="4"/>
        <v>1</v>
      </c>
      <c r="AC19" s="1902">
        <f t="shared" si="5"/>
        <v>1</v>
      </c>
    </row>
    <row r="20" spans="1:29" ht="15">
      <c r="A20" s="408"/>
      <c r="B20" s="616"/>
      <c r="C20" s="1472"/>
      <c r="D20" s="427"/>
      <c r="E20" s="2402"/>
      <c r="F20" s="427"/>
      <c r="G20" s="428"/>
      <c r="H20" s="427"/>
      <c r="I20" s="428"/>
      <c r="J20" s="427"/>
      <c r="K20" s="599"/>
      <c r="L20" s="1253"/>
      <c r="M20" s="1244"/>
      <c r="N20" s="1244"/>
      <c r="O20" s="1244"/>
      <c r="P20" s="3042"/>
      <c r="Q20" s="1898"/>
      <c r="R20" s="753"/>
      <c r="S20" s="754"/>
      <c r="T20" s="753"/>
      <c r="U20" s="754"/>
      <c r="V20" s="753"/>
      <c r="W20" s="754"/>
      <c r="X20" s="1899"/>
      <c r="Y20" s="3061"/>
      <c r="Z20" s="1901"/>
      <c r="AA20" s="1902">
        <v>1</v>
      </c>
      <c r="AB20" s="1902">
        <v>1</v>
      </c>
      <c r="AC20" s="1902">
        <v>1</v>
      </c>
    </row>
    <row r="21" spans="1:29" ht="15">
      <c r="A21" s="408"/>
      <c r="B21" s="617" t="s">
        <v>2478</v>
      </c>
      <c r="C21" s="2465"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2"/>
      <c r="Q21" s="1898" t="str">
        <f>B21</f>
        <v>基础设施水平</v>
      </c>
      <c r="R21" s="753" t="s">
        <v>25</v>
      </c>
      <c r="S21" s="754">
        <f>F21</f>
        <v>100</v>
      </c>
      <c r="T21" s="753" t="s">
        <v>25</v>
      </c>
      <c r="U21" s="754">
        <f>H21</f>
        <v>100</v>
      </c>
      <c r="V21" s="753" t="s">
        <v>25</v>
      </c>
      <c r="W21" s="754">
        <f>J21</f>
        <v>100</v>
      </c>
      <c r="X21" s="1899"/>
      <c r="Y21" s="3061"/>
      <c r="Z21" s="1901" t="str">
        <f>Q21</f>
        <v>基础设施水平</v>
      </c>
      <c r="AA21" s="1902">
        <f t="shared" ref="AA21" si="8">D21/F21</f>
        <v>1</v>
      </c>
      <c r="AB21" s="1902">
        <f t="shared" ref="AB21" si="9">D21/H21</f>
        <v>1</v>
      </c>
      <c r="AC21" s="1902">
        <f t="shared" ref="AC21" si="10">D21/J21</f>
        <v>1</v>
      </c>
    </row>
    <row r="22" spans="1:29" ht="15">
      <c r="A22" s="408"/>
      <c r="B22" s="617"/>
      <c r="C22" s="2466"/>
      <c r="D22" s="427"/>
      <c r="E22" s="426"/>
      <c r="F22" s="427"/>
      <c r="G22" s="1472"/>
      <c r="H22" s="427"/>
      <c r="I22" s="1472"/>
      <c r="J22" s="427"/>
      <c r="K22" s="1469"/>
      <c r="L22" s="1253"/>
      <c r="M22" s="1244"/>
      <c r="N22" s="1244"/>
      <c r="O22" s="1244"/>
      <c r="P22" s="3042"/>
      <c r="Q22" s="1898"/>
      <c r="R22" s="753"/>
      <c r="S22" s="754"/>
      <c r="T22" s="753"/>
      <c r="U22" s="754"/>
      <c r="V22" s="753"/>
      <c r="W22" s="754"/>
      <c r="X22" s="1899"/>
      <c r="Y22" s="3061"/>
      <c r="Z22" s="1901"/>
      <c r="AA22" s="1902">
        <v>1</v>
      </c>
      <c r="AB22" s="1902">
        <v>1</v>
      </c>
      <c r="AC22" s="1902">
        <v>1</v>
      </c>
    </row>
    <row r="23" spans="1:29" ht="128.25">
      <c r="A23" s="408"/>
      <c r="B23" s="615" t="s">
        <v>2479</v>
      </c>
      <c r="C23" s="2465" t="str">
        <f>估价对象房地状况!C9</f>
        <v>区域自然环境：清河、奥林匹克森林公园、西三旗公园；人文环境：北京信息科技大学（清河小营校区）；综合评价环境状况较好。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2"/>
      <c r="Q23" s="1898" t="str">
        <f>B23</f>
        <v>环境质量</v>
      </c>
      <c r="R23" s="753" t="s">
        <v>25</v>
      </c>
      <c r="S23" s="754">
        <f>F23</f>
        <v>100</v>
      </c>
      <c r="T23" s="753" t="s">
        <v>25</v>
      </c>
      <c r="U23" s="754">
        <f>H23</f>
        <v>100</v>
      </c>
      <c r="V23" s="753" t="s">
        <v>25</v>
      </c>
      <c r="W23" s="754">
        <f>J23</f>
        <v>100</v>
      </c>
      <c r="X23" s="1899"/>
      <c r="Y23" s="3061"/>
      <c r="Z23" s="1901" t="str">
        <f>Q23</f>
        <v>环境质量</v>
      </c>
      <c r="AA23" s="1902">
        <f t="shared" si="3"/>
        <v>1</v>
      </c>
      <c r="AB23" s="1902">
        <f t="shared" si="4"/>
        <v>1</v>
      </c>
      <c r="AC23" s="1902">
        <f t="shared" si="5"/>
        <v>1</v>
      </c>
    </row>
    <row r="24" spans="1:29" ht="15">
      <c r="A24" s="408"/>
      <c r="B24" s="617"/>
      <c r="C24" s="1472"/>
      <c r="D24" s="427"/>
      <c r="E24" s="2402"/>
      <c r="F24" s="427"/>
      <c r="G24" s="428"/>
      <c r="H24" s="427"/>
      <c r="I24" s="428"/>
      <c r="J24" s="427"/>
      <c r="K24" s="599"/>
      <c r="L24" s="1253"/>
      <c r="M24" s="1244"/>
      <c r="N24" s="1244"/>
      <c r="O24" s="1244"/>
      <c r="P24" s="3042"/>
      <c r="Q24" s="1898"/>
      <c r="R24" s="753"/>
      <c r="S24" s="754"/>
      <c r="T24" s="753"/>
      <c r="U24" s="754"/>
      <c r="V24" s="753"/>
      <c r="W24" s="754"/>
      <c r="X24" s="1899"/>
      <c r="Y24" s="3061"/>
      <c r="Z24" s="1901"/>
      <c r="AA24" s="1902">
        <v>1</v>
      </c>
      <c r="AB24" s="1902">
        <v>1</v>
      </c>
      <c r="AC24" s="1902">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42"/>
      <c r="Q25" s="1898" t="str">
        <f>B25</f>
        <v>毗邻道路的类型与等级</v>
      </c>
      <c r="R25" s="753" t="s">
        <v>25</v>
      </c>
      <c r="S25" s="754">
        <f>F25</f>
        <v>100</v>
      </c>
      <c r="T25" s="753" t="s">
        <v>25</v>
      </c>
      <c r="U25" s="754">
        <f>H25</f>
        <v>100</v>
      </c>
      <c r="V25" s="753" t="s">
        <v>25</v>
      </c>
      <c r="W25" s="754">
        <f>J25</f>
        <v>100</v>
      </c>
      <c r="X25" s="1899"/>
      <c r="Y25" s="3061"/>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3042"/>
      <c r="Q26" s="1898"/>
      <c r="R26" s="753"/>
      <c r="S26" s="754"/>
      <c r="T26" s="753"/>
      <c r="U26" s="754"/>
      <c r="V26" s="753"/>
      <c r="W26" s="754"/>
      <c r="X26" s="1899"/>
      <c r="Y26" s="3061"/>
      <c r="Z26" s="1901"/>
      <c r="AA26" s="1902">
        <v>1</v>
      </c>
      <c r="AB26" s="1902">
        <v>1</v>
      </c>
      <c r="AC26" s="1902">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2"/>
      <c r="Q27" s="1898" t="str">
        <f t="shared" ref="Q27:Q47" si="11">B27</f>
        <v>楼层</v>
      </c>
      <c r="R27" s="753" t="s">
        <v>25</v>
      </c>
      <c r="S27" s="754">
        <f>F27</f>
        <v>100</v>
      </c>
      <c r="T27" s="753" t="s">
        <v>25</v>
      </c>
      <c r="U27" s="754">
        <f>H27</f>
        <v>100</v>
      </c>
      <c r="V27" s="753" t="s">
        <v>25</v>
      </c>
      <c r="W27" s="754">
        <f>J27</f>
        <v>100</v>
      </c>
      <c r="X27" s="1899"/>
      <c r="Y27" s="3061"/>
      <c r="Z27" s="1901" t="str">
        <f>Q27</f>
        <v>楼层</v>
      </c>
      <c r="AA27" s="1902">
        <f t="shared" si="3"/>
        <v>1</v>
      </c>
      <c r="AB27" s="1902">
        <f t="shared" si="4"/>
        <v>1</v>
      </c>
      <c r="AC27" s="1902">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42"/>
      <c r="Q28" s="1886" t="str">
        <f t="shared" si="11"/>
        <v>朝向</v>
      </c>
      <c r="R28" s="749" t="s">
        <v>25</v>
      </c>
      <c r="S28" s="750">
        <f>F28</f>
        <v>100</v>
      </c>
      <c r="T28" s="749" t="s">
        <v>25</v>
      </c>
      <c r="U28" s="750">
        <f>H28</f>
        <v>100</v>
      </c>
      <c r="V28" s="749" t="s">
        <v>25</v>
      </c>
      <c r="W28" s="750">
        <f>J28</f>
        <v>100</v>
      </c>
      <c r="X28" s="751"/>
      <c r="Y28" s="3061"/>
      <c r="Z28" s="23" t="str">
        <f>Q28</f>
        <v>朝向</v>
      </c>
      <c r="AA28" s="1902">
        <f>D28/F28</f>
        <v>1</v>
      </c>
      <c r="AB28" s="1902">
        <f>D28/H28</f>
        <v>1</v>
      </c>
      <c r="AC28" s="1902">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2"/>
      <c r="Q29" s="1898">
        <f t="shared" si="11"/>
        <v>111</v>
      </c>
      <c r="R29" s="753" t="s">
        <v>25</v>
      </c>
      <c r="S29" s="754">
        <f t="shared" ref="S29:S47" si="12">F29</f>
        <v>100</v>
      </c>
      <c r="T29" s="753" t="s">
        <v>25</v>
      </c>
      <c r="U29" s="754">
        <f t="shared" ref="U29:U47" si="13">H29</f>
        <v>100</v>
      </c>
      <c r="V29" s="753" t="s">
        <v>25</v>
      </c>
      <c r="W29" s="754">
        <f t="shared" ref="W29:W47" si="14">J29</f>
        <v>100</v>
      </c>
      <c r="X29" s="1899"/>
      <c r="Y29" s="3061"/>
      <c r="Z29" s="1901">
        <f t="shared" ref="Z29:Z47" si="15">Q29</f>
        <v>111</v>
      </c>
      <c r="AA29" s="1902">
        <f t="shared" si="3"/>
        <v>1</v>
      </c>
      <c r="AB29" s="1902">
        <f t="shared" si="4"/>
        <v>1</v>
      </c>
      <c r="AC29" s="1902">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2"/>
      <c r="Q30" s="1898">
        <f t="shared" si="11"/>
        <v>111</v>
      </c>
      <c r="R30" s="753" t="s">
        <v>25</v>
      </c>
      <c r="S30" s="754">
        <f t="shared" si="12"/>
        <v>100</v>
      </c>
      <c r="T30" s="753" t="s">
        <v>25</v>
      </c>
      <c r="U30" s="754">
        <f t="shared" si="13"/>
        <v>100</v>
      </c>
      <c r="V30" s="753" t="s">
        <v>25</v>
      </c>
      <c r="W30" s="754">
        <f t="shared" si="14"/>
        <v>100</v>
      </c>
      <c r="X30" s="1899"/>
      <c r="Y30" s="3061"/>
      <c r="Z30" s="1901">
        <f t="shared" si="15"/>
        <v>111</v>
      </c>
      <c r="AA30" s="1902">
        <f t="shared" si="3"/>
        <v>1</v>
      </c>
      <c r="AB30" s="1902">
        <f t="shared" si="4"/>
        <v>1</v>
      </c>
      <c r="AC30" s="1902">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2"/>
      <c r="Q31" s="1898">
        <f t="shared" si="11"/>
        <v>111</v>
      </c>
      <c r="R31" s="753" t="s">
        <v>25</v>
      </c>
      <c r="S31" s="754">
        <f t="shared" si="12"/>
        <v>100</v>
      </c>
      <c r="T31" s="753" t="s">
        <v>25</v>
      </c>
      <c r="U31" s="754">
        <f t="shared" si="13"/>
        <v>100</v>
      </c>
      <c r="V31" s="753" t="s">
        <v>25</v>
      </c>
      <c r="W31" s="754">
        <f t="shared" si="14"/>
        <v>100</v>
      </c>
      <c r="X31" s="1899"/>
      <c r="Y31" s="3061"/>
      <c r="Z31" s="1901">
        <f t="shared" si="15"/>
        <v>111</v>
      </c>
      <c r="AA31" s="1902">
        <f t="shared" si="3"/>
        <v>1</v>
      </c>
      <c r="AB31" s="1902">
        <f t="shared" si="4"/>
        <v>1</v>
      </c>
      <c r="AC31" s="1902">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2"/>
      <c r="Q32" s="1898">
        <f t="shared" si="11"/>
        <v>111</v>
      </c>
      <c r="R32" s="753" t="s">
        <v>25</v>
      </c>
      <c r="S32" s="754">
        <f t="shared" si="12"/>
        <v>100</v>
      </c>
      <c r="T32" s="753" t="s">
        <v>25</v>
      </c>
      <c r="U32" s="754">
        <f t="shared" si="13"/>
        <v>100</v>
      </c>
      <c r="V32" s="753" t="s">
        <v>25</v>
      </c>
      <c r="W32" s="754">
        <f t="shared" si="14"/>
        <v>100</v>
      </c>
      <c r="X32" s="1899"/>
      <c r="Y32" s="3061"/>
      <c r="Z32" s="1901">
        <f t="shared" si="15"/>
        <v>111</v>
      </c>
      <c r="AA32" s="1902">
        <f t="shared" si="3"/>
        <v>1</v>
      </c>
      <c r="AB32" s="1902">
        <f t="shared" si="4"/>
        <v>1</v>
      </c>
      <c r="AC32" s="1902">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85" t="s">
        <v>2368</v>
      </c>
      <c r="Q33" s="1898" t="str">
        <f t="shared" si="11"/>
        <v>建筑类型</v>
      </c>
      <c r="R33" s="753" t="s">
        <v>25</v>
      </c>
      <c r="S33" s="754">
        <f t="shared" si="12"/>
        <v>100</v>
      </c>
      <c r="T33" s="753" t="s">
        <v>25</v>
      </c>
      <c r="U33" s="754">
        <f t="shared" si="13"/>
        <v>100</v>
      </c>
      <c r="V33" s="753" t="s">
        <v>25</v>
      </c>
      <c r="W33" s="754">
        <f t="shared" si="14"/>
        <v>100</v>
      </c>
      <c r="X33" s="1899"/>
      <c r="Y33" s="3065" t="s">
        <v>2368</v>
      </c>
      <c r="Z33" s="1901" t="str">
        <f t="shared" si="15"/>
        <v>建筑类型</v>
      </c>
      <c r="AA33" s="1902">
        <f t="shared" si="3"/>
        <v>1</v>
      </c>
      <c r="AB33" s="1902">
        <f t="shared" si="4"/>
        <v>1</v>
      </c>
      <c r="AC33" s="1902">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6"/>
      <c r="Q34" s="755" t="str">
        <f t="shared" si="11"/>
        <v>项目建筑规模</v>
      </c>
      <c r="R34" s="756" t="s">
        <v>25</v>
      </c>
      <c r="S34" s="757" t="e">
        <f t="shared" si="12"/>
        <v>#N/A</v>
      </c>
      <c r="T34" s="756" t="s">
        <v>25</v>
      </c>
      <c r="U34" s="757" t="e">
        <f t="shared" si="13"/>
        <v>#N/A</v>
      </c>
      <c r="V34" s="756" t="s">
        <v>25</v>
      </c>
      <c r="W34" s="757" t="e">
        <f t="shared" si="14"/>
        <v>#N/A</v>
      </c>
      <c r="X34" s="758"/>
      <c r="Y34" s="3065"/>
      <c r="Z34" s="759" t="str">
        <f t="shared" si="15"/>
        <v>项目建筑规模</v>
      </c>
      <c r="AA34" s="1902" t="e">
        <f t="shared" si="3"/>
        <v>#N/A</v>
      </c>
      <c r="AB34" s="1902" t="e">
        <f t="shared" si="4"/>
        <v>#N/A</v>
      </c>
      <c r="AC34" s="1902"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6"/>
      <c r="Q35" s="1898" t="str">
        <f t="shared" si="11"/>
        <v>建筑结构</v>
      </c>
      <c r="R35" s="753" t="s">
        <v>25</v>
      </c>
      <c r="S35" s="754">
        <f t="shared" si="12"/>
        <v>100</v>
      </c>
      <c r="T35" s="753" t="s">
        <v>25</v>
      </c>
      <c r="U35" s="754">
        <f t="shared" si="13"/>
        <v>100</v>
      </c>
      <c r="V35" s="753" t="s">
        <v>25</v>
      </c>
      <c r="W35" s="754">
        <f t="shared" si="14"/>
        <v>100</v>
      </c>
      <c r="X35" s="1899"/>
      <c r="Y35" s="3065"/>
      <c r="Z35" s="1901" t="str">
        <f t="shared" si="15"/>
        <v>建筑结构</v>
      </c>
      <c r="AA35" s="1902">
        <f t="shared" si="3"/>
        <v>1</v>
      </c>
      <c r="AB35" s="1902">
        <f t="shared" si="4"/>
        <v>1</v>
      </c>
      <c r="AC35" s="1902">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6"/>
      <c r="Q36" s="1898" t="str">
        <f t="shared" si="11"/>
        <v>公共部分装修</v>
      </c>
      <c r="R36" s="753" t="s">
        <v>25</v>
      </c>
      <c r="S36" s="754">
        <f t="shared" si="12"/>
        <v>100</v>
      </c>
      <c r="T36" s="753" t="s">
        <v>25</v>
      </c>
      <c r="U36" s="754">
        <f t="shared" si="13"/>
        <v>100</v>
      </c>
      <c r="V36" s="753" t="s">
        <v>25</v>
      </c>
      <c r="W36" s="754">
        <f t="shared" si="14"/>
        <v>100</v>
      </c>
      <c r="X36" s="1899"/>
      <c r="Y36" s="3065"/>
      <c r="Z36" s="1901" t="str">
        <f t="shared" si="15"/>
        <v>公共部分装修</v>
      </c>
      <c r="AA36" s="1902">
        <f t="shared" si="3"/>
        <v>1</v>
      </c>
      <c r="AB36" s="1902">
        <f t="shared" si="4"/>
        <v>1</v>
      </c>
      <c r="AC36" s="1902">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6"/>
      <c r="Q37" s="1898" t="str">
        <f t="shared" si="11"/>
        <v>成新度</v>
      </c>
      <c r="R37" s="753" t="s">
        <v>25</v>
      </c>
      <c r="S37" s="754" t="e">
        <f t="shared" si="12"/>
        <v>#N/A</v>
      </c>
      <c r="T37" s="753" t="s">
        <v>25</v>
      </c>
      <c r="U37" s="754" t="e">
        <f t="shared" si="13"/>
        <v>#N/A</v>
      </c>
      <c r="V37" s="753" t="s">
        <v>25</v>
      </c>
      <c r="W37" s="754" t="e">
        <f t="shared" si="14"/>
        <v>#N/A</v>
      </c>
      <c r="X37" s="1899"/>
      <c r="Y37" s="3065"/>
      <c r="Z37" s="1901" t="str">
        <f t="shared" si="15"/>
        <v>成新度</v>
      </c>
      <c r="AA37" s="1902" t="e">
        <f t="shared" si="3"/>
        <v>#N/A</v>
      </c>
      <c r="AB37" s="1902" t="e">
        <f t="shared" si="4"/>
        <v>#N/A</v>
      </c>
      <c r="AC37" s="1902"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6"/>
      <c r="Q38" s="1886" t="str">
        <f t="shared" si="11"/>
        <v>写字楼等级</v>
      </c>
      <c r="R38" s="749" t="s">
        <v>25</v>
      </c>
      <c r="S38" s="750">
        <f t="shared" si="12"/>
        <v>100</v>
      </c>
      <c r="T38" s="749" t="s">
        <v>25</v>
      </c>
      <c r="U38" s="750">
        <f t="shared" si="13"/>
        <v>100</v>
      </c>
      <c r="V38" s="749" t="s">
        <v>25</v>
      </c>
      <c r="W38" s="750">
        <f t="shared" si="14"/>
        <v>100</v>
      </c>
      <c r="X38" s="751"/>
      <c r="Y38" s="3065"/>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6" t="s">
        <v>2368</v>
      </c>
      <c r="Q39" s="1898" t="str">
        <f t="shared" si="11"/>
        <v>物业管理</v>
      </c>
      <c r="R39" s="753" t="s">
        <v>25</v>
      </c>
      <c r="S39" s="754">
        <f t="shared" si="12"/>
        <v>100</v>
      </c>
      <c r="T39" s="753" t="s">
        <v>25</v>
      </c>
      <c r="U39" s="754">
        <f t="shared" si="13"/>
        <v>100</v>
      </c>
      <c r="V39" s="753" t="s">
        <v>25</v>
      </c>
      <c r="W39" s="754">
        <f t="shared" si="14"/>
        <v>100</v>
      </c>
      <c r="X39" s="1899"/>
      <c r="Y39" s="3065" t="s">
        <v>2368</v>
      </c>
      <c r="Z39" s="1901" t="str">
        <f t="shared" si="15"/>
        <v>物业管理</v>
      </c>
      <c r="AA39" s="1902">
        <f t="shared" si="3"/>
        <v>1</v>
      </c>
      <c r="AB39" s="1902">
        <f t="shared" si="4"/>
        <v>1</v>
      </c>
      <c r="AC39" s="1902">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6"/>
      <c r="Q40" s="1898" t="str">
        <f t="shared" si="11"/>
        <v>市政基础设施</v>
      </c>
      <c r="R40" s="753" t="s">
        <v>25</v>
      </c>
      <c r="S40" s="754">
        <f t="shared" si="12"/>
        <v>100</v>
      </c>
      <c r="T40" s="753" t="s">
        <v>25</v>
      </c>
      <c r="U40" s="754">
        <f t="shared" si="13"/>
        <v>100</v>
      </c>
      <c r="V40" s="753" t="s">
        <v>25</v>
      </c>
      <c r="W40" s="754">
        <f t="shared" si="14"/>
        <v>100</v>
      </c>
      <c r="X40" s="1899"/>
      <c r="Y40" s="3065"/>
      <c r="Z40" s="1901" t="str">
        <f t="shared" si="15"/>
        <v>市政基础设施</v>
      </c>
      <c r="AA40" s="1902">
        <f t="shared" si="3"/>
        <v>1</v>
      </c>
      <c r="AB40" s="1902">
        <f t="shared" si="4"/>
        <v>1</v>
      </c>
      <c r="AC40" s="1902">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6"/>
      <c r="Q41" s="1898" t="str">
        <f t="shared" si="11"/>
        <v>层高</v>
      </c>
      <c r="R41" s="753" t="s">
        <v>25</v>
      </c>
      <c r="S41" s="754">
        <f t="shared" si="12"/>
        <v>100</v>
      </c>
      <c r="T41" s="753" t="s">
        <v>25</v>
      </c>
      <c r="U41" s="754">
        <f t="shared" si="13"/>
        <v>100</v>
      </c>
      <c r="V41" s="753" t="s">
        <v>25</v>
      </c>
      <c r="W41" s="754">
        <f t="shared" si="14"/>
        <v>100</v>
      </c>
      <c r="X41" s="1899"/>
      <c r="Y41" s="3065"/>
      <c r="Z41" s="1901" t="str">
        <f t="shared" si="15"/>
        <v>层高</v>
      </c>
      <c r="AA41" s="1902">
        <f t="shared" si="3"/>
        <v>1</v>
      </c>
      <c r="AB41" s="1902">
        <f t="shared" si="4"/>
        <v>1</v>
      </c>
      <c r="AC41" s="1902">
        <f t="shared" si="5"/>
        <v>1</v>
      </c>
    </row>
    <row r="42" spans="1:29" s="452" customFormat="1" ht="15">
      <c r="A42" s="449"/>
      <c r="B42" s="1903"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6"/>
      <c r="Q42" s="755" t="str">
        <f t="shared" si="11"/>
        <v>单套建筑面积</v>
      </c>
      <c r="R42" s="756" t="s">
        <v>25</v>
      </c>
      <c r="S42" s="757">
        <f t="shared" si="12"/>
        <v>100</v>
      </c>
      <c r="T42" s="756" t="s">
        <v>25</v>
      </c>
      <c r="U42" s="757">
        <f t="shared" si="13"/>
        <v>100</v>
      </c>
      <c r="V42" s="756" t="s">
        <v>25</v>
      </c>
      <c r="W42" s="757">
        <f t="shared" si="14"/>
        <v>100</v>
      </c>
      <c r="X42" s="758"/>
      <c r="Y42" s="3065"/>
      <c r="Z42" s="759" t="str">
        <f t="shared" si="15"/>
        <v>单套建筑面积</v>
      </c>
      <c r="AA42" s="1902">
        <f t="shared" si="3"/>
        <v>1</v>
      </c>
      <c r="AB42" s="1902">
        <f t="shared" si="4"/>
        <v>1</v>
      </c>
      <c r="AC42" s="1902">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6"/>
      <c r="Q43" s="1898" t="str">
        <f t="shared" si="11"/>
        <v>内部装修</v>
      </c>
      <c r="R43" s="753" t="s">
        <v>25</v>
      </c>
      <c r="S43" s="754">
        <f t="shared" si="12"/>
        <v>100</v>
      </c>
      <c r="T43" s="753" t="s">
        <v>25</v>
      </c>
      <c r="U43" s="754">
        <f t="shared" si="13"/>
        <v>100</v>
      </c>
      <c r="V43" s="753" t="s">
        <v>25</v>
      </c>
      <c r="W43" s="754">
        <f t="shared" si="14"/>
        <v>100</v>
      </c>
      <c r="X43" s="1899"/>
      <c r="Y43" s="3065"/>
      <c r="Z43" s="1901" t="str">
        <f t="shared" si="15"/>
        <v>内部装修</v>
      </c>
      <c r="AA43" s="1902">
        <f t="shared" si="3"/>
        <v>1</v>
      </c>
      <c r="AB43" s="1902">
        <f t="shared" si="4"/>
        <v>1</v>
      </c>
      <c r="AC43" s="1902">
        <f t="shared" si="5"/>
        <v>1</v>
      </c>
    </row>
    <row r="44" spans="1:29" ht="15">
      <c r="A44" s="453"/>
      <c r="B44" s="402" t="s">
        <v>2379</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86"/>
      <c r="Q44" s="1898" t="str">
        <f t="shared" si="11"/>
        <v>内部装修维护情况</v>
      </c>
      <c r="R44" s="753" t="s">
        <v>25</v>
      </c>
      <c r="S44" s="754">
        <f t="shared" si="12"/>
        <v>100</v>
      </c>
      <c r="T44" s="753" t="s">
        <v>25</v>
      </c>
      <c r="U44" s="754">
        <f t="shared" si="13"/>
        <v>100</v>
      </c>
      <c r="V44" s="753" t="s">
        <v>25</v>
      </c>
      <c r="W44" s="754">
        <f t="shared" si="14"/>
        <v>100</v>
      </c>
      <c r="X44" s="1899"/>
      <c r="Y44" s="3065"/>
      <c r="Z44" s="1901" t="str">
        <f t="shared" si="15"/>
        <v>内部装修维护情况</v>
      </c>
      <c r="AA44" s="1902">
        <f t="shared" si="3"/>
        <v>1</v>
      </c>
      <c r="AB44" s="1902">
        <f t="shared" si="4"/>
        <v>1</v>
      </c>
      <c r="AC44" s="190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6"/>
      <c r="Q45" s="1886">
        <f t="shared" si="11"/>
        <v>111</v>
      </c>
      <c r="R45" s="749" t="s">
        <v>25</v>
      </c>
      <c r="S45" s="750">
        <f t="shared" si="12"/>
        <v>100</v>
      </c>
      <c r="T45" s="749" t="s">
        <v>25</v>
      </c>
      <c r="U45" s="750">
        <f t="shared" si="13"/>
        <v>100</v>
      </c>
      <c r="V45" s="749" t="s">
        <v>25</v>
      </c>
      <c r="W45" s="750">
        <f t="shared" si="14"/>
        <v>100</v>
      </c>
      <c r="X45" s="751"/>
      <c r="Y45" s="3065"/>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6"/>
      <c r="Q46" s="1898">
        <f t="shared" si="11"/>
        <v>111</v>
      </c>
      <c r="R46" s="753" t="s">
        <v>25</v>
      </c>
      <c r="S46" s="754">
        <f t="shared" si="12"/>
        <v>100</v>
      </c>
      <c r="T46" s="753" t="s">
        <v>25</v>
      </c>
      <c r="U46" s="754">
        <f t="shared" si="13"/>
        <v>100</v>
      </c>
      <c r="V46" s="753" t="s">
        <v>25</v>
      </c>
      <c r="W46" s="754">
        <f t="shared" si="14"/>
        <v>100</v>
      </c>
      <c r="X46" s="1899"/>
      <c r="Y46" s="3065"/>
      <c r="Z46" s="1901">
        <f t="shared" si="15"/>
        <v>111</v>
      </c>
      <c r="AA46" s="1902">
        <f t="shared" si="3"/>
        <v>1</v>
      </c>
      <c r="AB46" s="1902">
        <f t="shared" si="4"/>
        <v>1</v>
      </c>
      <c r="AC46" s="190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7"/>
      <c r="Q47" s="1898">
        <f t="shared" si="11"/>
        <v>111</v>
      </c>
      <c r="R47" s="753" t="s">
        <v>25</v>
      </c>
      <c r="S47" s="754">
        <f t="shared" si="12"/>
        <v>100</v>
      </c>
      <c r="T47" s="753" t="s">
        <v>25</v>
      </c>
      <c r="U47" s="754">
        <f t="shared" si="13"/>
        <v>100</v>
      </c>
      <c r="V47" s="753" t="s">
        <v>25</v>
      </c>
      <c r="W47" s="754">
        <f t="shared" si="14"/>
        <v>100</v>
      </c>
      <c r="X47" s="1899"/>
      <c r="Y47" s="3066"/>
      <c r="Z47" s="1901">
        <f t="shared" si="15"/>
        <v>111</v>
      </c>
      <c r="AA47" s="1902">
        <f t="shared" si="3"/>
        <v>1</v>
      </c>
      <c r="AB47" s="1902">
        <f t="shared" si="4"/>
        <v>1</v>
      </c>
      <c r="AC47" s="1902">
        <f t="shared" si="5"/>
        <v>1</v>
      </c>
    </row>
    <row r="48" spans="1:29" ht="15">
      <c r="A48" s="460" t="s">
        <v>2380</v>
      </c>
      <c r="B48" s="461"/>
      <c r="C48" s="1502" t="s">
        <v>1</v>
      </c>
      <c r="D48" s="1503"/>
      <c r="E48" s="1504"/>
      <c r="F48" s="1505"/>
      <c r="G48" s="1506"/>
      <c r="H48" s="1507"/>
      <c r="I48" s="1504"/>
      <c r="J48" s="1507"/>
      <c r="K48" s="762"/>
      <c r="L48" s="1256"/>
      <c r="M48" s="1244"/>
      <c r="N48" s="1244"/>
      <c r="O48" s="1244"/>
      <c r="P48" s="3078" t="str">
        <f>A48</f>
        <v>成交单价（元/平方米）</v>
      </c>
      <c r="Q48" s="3071"/>
      <c r="R48" s="3072">
        <f>E48</f>
        <v>0</v>
      </c>
      <c r="S48" s="3072"/>
      <c r="T48" s="3072">
        <f>G48</f>
        <v>0</v>
      </c>
      <c r="U48" s="3072"/>
      <c r="V48" s="3072">
        <f>I48</f>
        <v>0</v>
      </c>
      <c r="W48" s="3072"/>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78" t="str">
        <f>A49</f>
        <v>比较价值（元/平方米）</v>
      </c>
      <c r="Q49" s="3071"/>
      <c r="R49" s="3072" t="e">
        <f>IF(E1="售价",ROUND(PRODUCT(R48,AA7:AA47),0),ROUND(PRODUCT(R48,AA7:AA47),1))</f>
        <v>#DIV/0!</v>
      </c>
      <c r="S49" s="3072"/>
      <c r="T49" s="3072" t="e">
        <f>IF(E1="售价",ROUND(PRODUCT(T48,AB7:AB47),0),ROUND(PRODUCT(T48,AB7:AB47),1))</f>
        <v>#DIV/0!</v>
      </c>
      <c r="U49" s="3072"/>
      <c r="V49" s="3072" t="e">
        <f>IF(E1="售价",ROUND(PRODUCT(V48,AC7:AC47),0),ROUND(PRODUCT(V48,AC7:AC47),1))</f>
        <v>#DIV/0!</v>
      </c>
      <c r="W49" s="3072"/>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88" t="str">
        <f>A50</f>
        <v>估价对象XX用房的比较价值（楼面单价，元/平方米）</v>
      </c>
      <c r="Q50" s="3078"/>
      <c r="R50" s="3079" t="e">
        <f>IF(E1="售价",ROUND(AVERAGE(R49:V49),0),ROUND(AVERAGE(R49:V49),1))</f>
        <v>#DIV/0!</v>
      </c>
      <c r="S50" s="3079"/>
      <c r="T50" s="3079"/>
      <c r="U50" s="3079"/>
      <c r="V50" s="3079"/>
      <c r="W50" s="307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8" t="str">
        <f>YEAR(C7)&amp;"-"&amp;MONTH(C7)</f>
        <v>2018-12</v>
      </c>
      <c r="D59" s="1679">
        <f>EDATE(C59,-1)</f>
        <v>43405</v>
      </c>
      <c r="E59" s="1679">
        <f t="shared" ref="E59:O59" si="16">EDATE(D59,-1)</f>
        <v>43374</v>
      </c>
      <c r="F59" s="1679">
        <f t="shared" si="16"/>
        <v>43344</v>
      </c>
      <c r="G59" s="1679">
        <f t="shared" si="16"/>
        <v>43313</v>
      </c>
      <c r="H59" s="1679">
        <f t="shared" si="16"/>
        <v>43282</v>
      </c>
      <c r="I59" s="1679">
        <f t="shared" si="16"/>
        <v>43252</v>
      </c>
      <c r="J59" s="1679">
        <f t="shared" si="16"/>
        <v>43221</v>
      </c>
      <c r="K59" s="1679">
        <f t="shared" si="16"/>
        <v>43191</v>
      </c>
      <c r="L59" s="1679">
        <f t="shared" si="16"/>
        <v>43160</v>
      </c>
      <c r="M59" s="1679">
        <f t="shared" si="16"/>
        <v>43132</v>
      </c>
      <c r="N59" s="1679">
        <f t="shared" si="16"/>
        <v>43101</v>
      </c>
      <c r="O59" s="1679">
        <f t="shared" si="16"/>
        <v>43070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2492</v>
      </c>
      <c r="C1" s="1726"/>
      <c r="D1" s="1739"/>
      <c r="E1" s="2381"/>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IF(D2="——",IF(C2="元",ROUND(C43*D3,0),ROUND(C43*D3/10000,0)),IF(C2="元",ROUND(C43*D3,0),ROUND(C43*D3/10000,0))-E2)</f>
        <v>#DIV/0!</v>
      </c>
      <c r="C2" s="163" t="str">
        <f>'数据-取费表'!B3</f>
        <v>元</v>
      </c>
      <c r="D2" s="2383"/>
      <c r="E2" s="2474"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99.8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35" t="s">
        <v>2338</v>
      </c>
      <c r="D4" s="3036"/>
      <c r="E4" s="3037" t="s">
        <v>2339</v>
      </c>
      <c r="F4" s="3038"/>
      <c r="G4" s="3035" t="s">
        <v>2340</v>
      </c>
      <c r="H4" s="3036"/>
      <c r="I4" s="3035" t="s">
        <v>2341</v>
      </c>
      <c r="J4" s="3036"/>
      <c r="K4" s="594" t="s">
        <v>2342</v>
      </c>
      <c r="L4" s="1243"/>
      <c r="M4" s="1244"/>
      <c r="N4" s="1244"/>
      <c r="O4" s="1244"/>
      <c r="P4" s="3039" t="s">
        <v>2343</v>
      </c>
      <c r="Q4" s="3040"/>
      <c r="R4" s="3045" t="s">
        <v>2339</v>
      </c>
      <c r="S4" s="3046"/>
      <c r="T4" s="3045" t="s">
        <v>2340</v>
      </c>
      <c r="U4" s="3046"/>
      <c r="V4" s="3051" t="s">
        <v>2341</v>
      </c>
      <c r="W4" s="3051"/>
      <c r="X4" s="1899"/>
      <c r="Y4" s="3045" t="s">
        <v>2343</v>
      </c>
      <c r="Z4" s="3046"/>
      <c r="AA4" s="3032" t="s">
        <v>2339</v>
      </c>
      <c r="AB4" s="3033" t="s">
        <v>2340</v>
      </c>
      <c r="AC4" s="3032" t="s">
        <v>2341</v>
      </c>
    </row>
    <row r="5" spans="1:29" ht="15">
      <c r="A5" s="383"/>
      <c r="B5" s="384"/>
      <c r="C5" s="3080" t="s">
        <v>2344</v>
      </c>
      <c r="D5" s="3055"/>
      <c r="E5" s="3081" t="s">
        <v>2345</v>
      </c>
      <c r="F5" s="3053"/>
      <c r="G5" s="3080" t="s">
        <v>2346</v>
      </c>
      <c r="H5" s="3055"/>
      <c r="I5" s="3080" t="s">
        <v>2347</v>
      </c>
      <c r="J5" s="3055"/>
      <c r="K5" s="594"/>
      <c r="L5" s="1243"/>
      <c r="M5" s="1244"/>
      <c r="N5" s="1244"/>
      <c r="O5" s="1244"/>
      <c r="P5" s="3041"/>
      <c r="Q5" s="3042"/>
      <c r="R5" s="3047"/>
      <c r="S5" s="3048"/>
      <c r="T5" s="3047"/>
      <c r="U5" s="3048"/>
      <c r="V5" s="3051"/>
      <c r="W5" s="3051"/>
      <c r="X5" s="1899"/>
      <c r="Y5" s="3047"/>
      <c r="Z5" s="3048"/>
      <c r="AA5" s="3033"/>
      <c r="AB5" s="3033"/>
      <c r="AC5" s="3033"/>
    </row>
    <row r="6" spans="1:29" ht="15.75" thickBot="1">
      <c r="A6" s="385"/>
      <c r="B6" s="386"/>
      <c r="C6" s="3056" t="s">
        <v>2348</v>
      </c>
      <c r="D6" s="3057"/>
      <c r="E6" s="3058" t="s">
        <v>2348</v>
      </c>
      <c r="F6" s="3059"/>
      <c r="G6" s="3056" t="s">
        <v>2348</v>
      </c>
      <c r="H6" s="3057"/>
      <c r="I6" s="3056" t="s">
        <v>2348</v>
      </c>
      <c r="J6" s="3057"/>
      <c r="K6" s="594" t="s">
        <v>2349</v>
      </c>
      <c r="L6" s="1243"/>
      <c r="M6" s="1244"/>
      <c r="N6" s="1244"/>
      <c r="O6" s="1244"/>
      <c r="P6" s="3043"/>
      <c r="Q6" s="3044"/>
      <c r="R6" s="3047"/>
      <c r="S6" s="3048"/>
      <c r="T6" s="3049"/>
      <c r="U6" s="3050"/>
      <c r="V6" s="3051"/>
      <c r="W6" s="3051"/>
      <c r="X6" s="1899"/>
      <c r="Y6" s="3049"/>
      <c r="Z6" s="3050"/>
      <c r="AA6" s="3034"/>
      <c r="AB6" s="3034"/>
      <c r="AC6" s="3034"/>
    </row>
    <row r="7" spans="1:29" s="35" customFormat="1" ht="15.75" thickBot="1">
      <c r="A7" s="387" t="s">
        <v>2350</v>
      </c>
      <c r="B7" s="388"/>
      <c r="C7" s="389">
        <f>'数据-取费表'!B2</f>
        <v>43439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7" t="s">
        <v>2351</v>
      </c>
      <c r="Q7" s="3069"/>
      <c r="R7" s="749" t="s">
        <v>25</v>
      </c>
      <c r="S7" s="750">
        <f t="shared" ref="S7:S15" si="0">F7</f>
        <v>0</v>
      </c>
      <c r="T7" s="749" t="s">
        <v>25</v>
      </c>
      <c r="U7" s="750">
        <f t="shared" ref="U7:U15" si="1">H7</f>
        <v>0</v>
      </c>
      <c r="V7" s="749" t="s">
        <v>25</v>
      </c>
      <c r="W7" s="750">
        <f t="shared" ref="W7:W15" si="2">J7</f>
        <v>0</v>
      </c>
      <c r="X7" s="751"/>
      <c r="Y7" s="3067" t="s">
        <v>2351</v>
      </c>
      <c r="Z7" s="3068"/>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7" t="s">
        <v>2354</v>
      </c>
      <c r="Q8" s="3068"/>
      <c r="R8" s="749" t="s">
        <v>25</v>
      </c>
      <c r="S8" s="750">
        <f t="shared" si="0"/>
        <v>100</v>
      </c>
      <c r="T8" s="749" t="s">
        <v>25</v>
      </c>
      <c r="U8" s="750">
        <f t="shared" si="1"/>
        <v>100</v>
      </c>
      <c r="V8" s="749" t="s">
        <v>25</v>
      </c>
      <c r="W8" s="750">
        <f t="shared" si="2"/>
        <v>100</v>
      </c>
      <c r="X8" s="751"/>
      <c r="Y8" s="3067" t="s">
        <v>2354</v>
      </c>
      <c r="Z8" s="3068"/>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1" t="s">
        <v>2357</v>
      </c>
      <c r="Q9" s="1886" t="str">
        <f t="shared" ref="Q9:Q15" si="6">B9</f>
        <v>用途</v>
      </c>
      <c r="R9" s="749" t="s">
        <v>25</v>
      </c>
      <c r="S9" s="750">
        <f t="shared" si="0"/>
        <v>100</v>
      </c>
      <c r="T9" s="749" t="s">
        <v>25</v>
      </c>
      <c r="U9" s="750">
        <f t="shared" si="1"/>
        <v>100</v>
      </c>
      <c r="V9" s="749" t="s">
        <v>25</v>
      </c>
      <c r="W9" s="750">
        <f t="shared" si="2"/>
        <v>100</v>
      </c>
      <c r="X9" s="751"/>
      <c r="Y9" s="288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1"/>
      <c r="Q10" s="1886"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1"/>
      <c r="Q11" s="1886"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71"/>
      <c r="Q12" s="1886">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71"/>
      <c r="Q13" s="1886">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5"/>
      <c r="H14" s="417">
        <f>SUMIF(68:68,G14,69:69)-SUMIF(68:68,C14,69:69)+100</f>
        <v>100</v>
      </c>
      <c r="I14" s="450"/>
      <c r="J14" s="417">
        <f>SUMIF(68:68,I14,69:69)-SUMIF(68:68,C14,69:69)+100</f>
        <v>100</v>
      </c>
      <c r="K14" s="597"/>
      <c r="L14" s="1253"/>
      <c r="M14" s="1244"/>
      <c r="N14" s="1244"/>
      <c r="O14" s="1252"/>
      <c r="P14" s="3071"/>
      <c r="Q14" s="1886">
        <f t="shared" si="6"/>
        <v>111</v>
      </c>
      <c r="R14" s="749" t="s">
        <v>25</v>
      </c>
      <c r="S14" s="750">
        <f t="shared" si="0"/>
        <v>100</v>
      </c>
      <c r="T14" s="749" t="s">
        <v>25</v>
      </c>
      <c r="U14" s="750">
        <f t="shared" si="1"/>
        <v>100</v>
      </c>
      <c r="V14" s="749" t="s">
        <v>25</v>
      </c>
      <c r="W14" s="750">
        <f t="shared" si="2"/>
        <v>100</v>
      </c>
      <c r="X14" s="751"/>
      <c r="Y14" s="2883"/>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0" t="s">
        <v>2362</v>
      </c>
      <c r="Q15" s="1898" t="str">
        <f t="shared" si="6"/>
        <v>产业集聚程度</v>
      </c>
      <c r="R15" s="753" t="s">
        <v>25</v>
      </c>
      <c r="S15" s="754">
        <f t="shared" si="0"/>
        <v>100</v>
      </c>
      <c r="T15" s="753" t="s">
        <v>25</v>
      </c>
      <c r="U15" s="754">
        <f t="shared" si="1"/>
        <v>100</v>
      </c>
      <c r="V15" s="753" t="s">
        <v>25</v>
      </c>
      <c r="W15" s="754">
        <f t="shared" si="2"/>
        <v>100</v>
      </c>
      <c r="X15" s="1899"/>
      <c r="Y15" s="3060" t="s">
        <v>2362</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61"/>
      <c r="Q16" s="1898"/>
      <c r="R16" s="753"/>
      <c r="S16" s="754"/>
      <c r="T16" s="753"/>
      <c r="U16" s="754"/>
      <c r="V16" s="753"/>
      <c r="W16" s="754"/>
      <c r="X16" s="1899"/>
      <c r="Y16" s="3061"/>
      <c r="Z16" s="1901"/>
      <c r="AA16" s="1902">
        <v>1</v>
      </c>
      <c r="AB16" s="1902">
        <v>1</v>
      </c>
      <c r="AC16" s="1902">
        <v>1</v>
      </c>
    </row>
    <row r="17" spans="1:29" ht="85.5">
      <c r="A17" s="408"/>
      <c r="B17" s="431" t="s">
        <v>1748</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1"/>
      <c r="Q17" s="1898" t="str">
        <f>B17</f>
        <v>交通便捷度</v>
      </c>
      <c r="R17" s="753" t="s">
        <v>25</v>
      </c>
      <c r="S17" s="754">
        <f>F17</f>
        <v>100</v>
      </c>
      <c r="T17" s="753" t="s">
        <v>25</v>
      </c>
      <c r="U17" s="754">
        <f>H17</f>
        <v>100</v>
      </c>
      <c r="V17" s="753" t="s">
        <v>25</v>
      </c>
      <c r="W17" s="754">
        <f>J17</f>
        <v>100</v>
      </c>
      <c r="X17" s="1899"/>
      <c r="Y17" s="3061"/>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52"/>
      <c r="P18" s="3061"/>
      <c r="Q18" s="1898"/>
      <c r="R18" s="753"/>
      <c r="S18" s="754"/>
      <c r="T18" s="753"/>
      <c r="U18" s="754"/>
      <c r="V18" s="753"/>
      <c r="W18" s="754"/>
      <c r="X18" s="1899"/>
      <c r="Y18" s="3061"/>
      <c r="Z18" s="1901"/>
      <c r="AA18" s="1902">
        <v>1</v>
      </c>
      <c r="AB18" s="1902">
        <v>1</v>
      </c>
      <c r="AC18" s="1902">
        <v>1</v>
      </c>
    </row>
    <row r="19" spans="1:29" ht="42.75">
      <c r="A19" s="408"/>
      <c r="B19" s="615" t="s">
        <v>2477</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1"/>
      <c r="Q19" s="1898" t="str">
        <f>B19</f>
        <v>公共配套设施</v>
      </c>
      <c r="R19" s="753" t="s">
        <v>25</v>
      </c>
      <c r="S19" s="754">
        <f>F19</f>
        <v>100</v>
      </c>
      <c r="T19" s="753" t="s">
        <v>25</v>
      </c>
      <c r="U19" s="754">
        <f>H19</f>
        <v>100</v>
      </c>
      <c r="V19" s="753" t="s">
        <v>25</v>
      </c>
      <c r="W19" s="754">
        <f>J19</f>
        <v>100</v>
      </c>
      <c r="X19" s="1899"/>
      <c r="Y19" s="3061"/>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3"/>
      <c r="M20" s="1244"/>
      <c r="N20" s="1244"/>
      <c r="O20" s="1252"/>
      <c r="P20" s="3061"/>
      <c r="Q20" s="1898"/>
      <c r="R20" s="753"/>
      <c r="S20" s="754"/>
      <c r="T20" s="753"/>
      <c r="U20" s="754"/>
      <c r="V20" s="753"/>
      <c r="W20" s="754"/>
      <c r="X20" s="1899"/>
      <c r="Y20" s="3061"/>
      <c r="Z20" s="1901"/>
      <c r="AA20" s="1902">
        <v>1</v>
      </c>
      <c r="AB20" s="1902">
        <v>1</v>
      </c>
      <c r="AC20" s="1902">
        <v>1</v>
      </c>
    </row>
    <row r="21" spans="1:29" ht="28.5">
      <c r="A21" s="408"/>
      <c r="B21" s="617" t="s">
        <v>2478</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1"/>
      <c r="Q21" s="1898" t="str">
        <f>B21</f>
        <v>基础设施水平</v>
      </c>
      <c r="R21" s="753" t="s">
        <v>25</v>
      </c>
      <c r="S21" s="754">
        <f>F21</f>
        <v>100</v>
      </c>
      <c r="T21" s="753" t="s">
        <v>25</v>
      </c>
      <c r="U21" s="754">
        <f>H21</f>
        <v>100</v>
      </c>
      <c r="V21" s="753" t="s">
        <v>25</v>
      </c>
      <c r="W21" s="754">
        <f>J21</f>
        <v>100</v>
      </c>
      <c r="X21" s="1899"/>
      <c r="Y21" s="3061"/>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52"/>
      <c r="P22" s="3061"/>
      <c r="Q22" s="1898"/>
      <c r="R22" s="753"/>
      <c r="S22" s="754"/>
      <c r="T22" s="753"/>
      <c r="U22" s="754"/>
      <c r="V22" s="753"/>
      <c r="W22" s="754"/>
      <c r="X22" s="1899"/>
      <c r="Y22" s="3061"/>
      <c r="Z22" s="1901"/>
      <c r="AA22" s="1902">
        <v>1</v>
      </c>
      <c r="AB22" s="1902">
        <v>1</v>
      </c>
      <c r="AC22" s="1902">
        <v>1</v>
      </c>
    </row>
    <row r="23" spans="1:29" ht="71.25">
      <c r="A23" s="408"/>
      <c r="B23" s="431" t="s">
        <v>2479</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1"/>
      <c r="Q23" s="1898" t="str">
        <f>B23</f>
        <v>环境质量</v>
      </c>
      <c r="R23" s="753" t="s">
        <v>25</v>
      </c>
      <c r="S23" s="754">
        <f>F23</f>
        <v>100</v>
      </c>
      <c r="T23" s="753" t="s">
        <v>25</v>
      </c>
      <c r="U23" s="754">
        <f>H23</f>
        <v>100</v>
      </c>
      <c r="V23" s="753" t="s">
        <v>25</v>
      </c>
      <c r="W23" s="754">
        <f>J23</f>
        <v>100</v>
      </c>
      <c r="X23" s="1899"/>
      <c r="Y23" s="3061"/>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3"/>
      <c r="M24" s="1244"/>
      <c r="N24" s="1244"/>
      <c r="O24" s="1252"/>
      <c r="P24" s="3061"/>
      <c r="Q24" s="1898"/>
      <c r="R24" s="753"/>
      <c r="S24" s="754"/>
      <c r="T24" s="753"/>
      <c r="U24" s="754"/>
      <c r="V24" s="753"/>
      <c r="W24" s="754"/>
      <c r="X24" s="1899"/>
      <c r="Y24" s="3061"/>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1"/>
      <c r="Q25" s="1898">
        <f>B25</f>
        <v>111</v>
      </c>
      <c r="R25" s="753" t="s">
        <v>25</v>
      </c>
      <c r="S25" s="754">
        <f>F25</f>
        <v>100</v>
      </c>
      <c r="T25" s="753" t="s">
        <v>25</v>
      </c>
      <c r="U25" s="754">
        <f>H25</f>
        <v>100</v>
      </c>
      <c r="V25" s="753" t="s">
        <v>25</v>
      </c>
      <c r="W25" s="754">
        <f>J25</f>
        <v>100</v>
      </c>
      <c r="X25" s="1899"/>
      <c r="Y25" s="3061"/>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1"/>
      <c r="Q26" s="1898">
        <f t="shared" ref="Q26:Q40" si="11">B26</f>
        <v>111</v>
      </c>
      <c r="R26" s="753" t="s">
        <v>25</v>
      </c>
      <c r="S26" s="754">
        <f>F26</f>
        <v>100</v>
      </c>
      <c r="T26" s="753" t="s">
        <v>25</v>
      </c>
      <c r="U26" s="754">
        <f>H26</f>
        <v>100</v>
      </c>
      <c r="V26" s="753" t="s">
        <v>25</v>
      </c>
      <c r="W26" s="754">
        <f>J26</f>
        <v>100</v>
      </c>
      <c r="X26" s="1899"/>
      <c r="Y26" s="3061"/>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1"/>
      <c r="Q27" s="1886">
        <f t="shared" si="11"/>
        <v>111</v>
      </c>
      <c r="R27" s="749" t="s">
        <v>25</v>
      </c>
      <c r="S27" s="750">
        <f>F27</f>
        <v>100</v>
      </c>
      <c r="T27" s="749" t="s">
        <v>25</v>
      </c>
      <c r="U27" s="750">
        <f>H27</f>
        <v>100</v>
      </c>
      <c r="V27" s="749" t="s">
        <v>25</v>
      </c>
      <c r="W27" s="750">
        <f>J27</f>
        <v>100</v>
      </c>
      <c r="X27" s="751"/>
      <c r="Y27" s="3061"/>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1"/>
      <c r="Q28" s="1898">
        <f t="shared" si="11"/>
        <v>111</v>
      </c>
      <c r="R28" s="753" t="s">
        <v>25</v>
      </c>
      <c r="S28" s="754">
        <f t="shared" ref="S28:S40" si="12">F28</f>
        <v>100</v>
      </c>
      <c r="T28" s="753" t="s">
        <v>25</v>
      </c>
      <c r="U28" s="754">
        <f t="shared" ref="U28:U40" si="13">H28</f>
        <v>100</v>
      </c>
      <c r="V28" s="753" t="s">
        <v>25</v>
      </c>
      <c r="W28" s="754">
        <f t="shared" ref="W28:W40" si="14">J28</f>
        <v>100</v>
      </c>
      <c r="X28" s="1899"/>
      <c r="Y28" s="3061"/>
      <c r="Z28" s="1901">
        <f t="shared" ref="Z28:Z40" si="15">Q28</f>
        <v>111</v>
      </c>
      <c r="AA28" s="1902">
        <f t="shared" si="3"/>
        <v>1</v>
      </c>
      <c r="AB28" s="1902">
        <f t="shared" si="4"/>
        <v>1</v>
      </c>
      <c r="AC28" s="1902">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89" t="s">
        <v>2368</v>
      </c>
      <c r="Q29" s="1898" t="str">
        <f t="shared" si="11"/>
        <v>建筑类型</v>
      </c>
      <c r="R29" s="753" t="s">
        <v>25</v>
      </c>
      <c r="S29" s="754">
        <f t="shared" si="12"/>
        <v>100</v>
      </c>
      <c r="T29" s="753" t="s">
        <v>25</v>
      </c>
      <c r="U29" s="754">
        <f t="shared" si="13"/>
        <v>100</v>
      </c>
      <c r="V29" s="753" t="s">
        <v>25</v>
      </c>
      <c r="W29" s="754">
        <f t="shared" si="14"/>
        <v>100</v>
      </c>
      <c r="X29" s="1899"/>
      <c r="Y29" s="3065" t="s">
        <v>2368</v>
      </c>
      <c r="Z29" s="1901" t="str">
        <f t="shared" si="15"/>
        <v>建筑类型</v>
      </c>
      <c r="AA29" s="1902">
        <f t="shared" si="3"/>
        <v>1</v>
      </c>
      <c r="AB29" s="1902">
        <f t="shared" si="4"/>
        <v>1</v>
      </c>
      <c r="AC29" s="1902">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5"/>
      <c r="Q30" s="755" t="str">
        <f t="shared" si="11"/>
        <v>项目建筑规模</v>
      </c>
      <c r="R30" s="756" t="s">
        <v>25</v>
      </c>
      <c r="S30" s="757" t="e">
        <f t="shared" si="12"/>
        <v>#N/A</v>
      </c>
      <c r="T30" s="756" t="s">
        <v>25</v>
      </c>
      <c r="U30" s="757" t="e">
        <f t="shared" si="13"/>
        <v>#N/A</v>
      </c>
      <c r="V30" s="756" t="s">
        <v>25</v>
      </c>
      <c r="W30" s="757" t="e">
        <f t="shared" si="14"/>
        <v>#N/A</v>
      </c>
      <c r="X30" s="758"/>
      <c r="Y30" s="3065"/>
      <c r="Z30" s="759" t="str">
        <f t="shared" si="15"/>
        <v>项目建筑规模</v>
      </c>
      <c r="AA30" s="1902" t="e">
        <f t="shared" si="3"/>
        <v>#N/A</v>
      </c>
      <c r="AB30" s="1902" t="e">
        <f t="shared" si="4"/>
        <v>#N/A</v>
      </c>
      <c r="AC30" s="1902"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5"/>
      <c r="Q31" s="1898" t="str">
        <f t="shared" si="11"/>
        <v>建筑结构</v>
      </c>
      <c r="R31" s="753" t="s">
        <v>25</v>
      </c>
      <c r="S31" s="754">
        <f t="shared" si="12"/>
        <v>100</v>
      </c>
      <c r="T31" s="753" t="s">
        <v>25</v>
      </c>
      <c r="U31" s="754">
        <f t="shared" si="13"/>
        <v>100</v>
      </c>
      <c r="V31" s="753" t="s">
        <v>25</v>
      </c>
      <c r="W31" s="754">
        <f t="shared" si="14"/>
        <v>100</v>
      </c>
      <c r="X31" s="1899"/>
      <c r="Y31" s="3065"/>
      <c r="Z31" s="1901" t="str">
        <f t="shared" si="15"/>
        <v>建筑结构</v>
      </c>
      <c r="AA31" s="1902">
        <f t="shared" si="3"/>
        <v>1</v>
      </c>
      <c r="AB31" s="1902">
        <f t="shared" si="4"/>
        <v>1</v>
      </c>
      <c r="AC31" s="1902">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5"/>
      <c r="Q32" s="1898" t="str">
        <f t="shared" si="11"/>
        <v>公共部分装修</v>
      </c>
      <c r="R32" s="753" t="s">
        <v>25</v>
      </c>
      <c r="S32" s="754">
        <f t="shared" si="12"/>
        <v>100</v>
      </c>
      <c r="T32" s="753" t="s">
        <v>25</v>
      </c>
      <c r="U32" s="754">
        <f t="shared" si="13"/>
        <v>100</v>
      </c>
      <c r="V32" s="753" t="s">
        <v>25</v>
      </c>
      <c r="W32" s="754">
        <f t="shared" si="14"/>
        <v>100</v>
      </c>
      <c r="X32" s="1899"/>
      <c r="Y32" s="3065"/>
      <c r="Z32" s="1901" t="str">
        <f t="shared" si="15"/>
        <v>公共部分装修</v>
      </c>
      <c r="AA32" s="1902">
        <f t="shared" si="3"/>
        <v>1</v>
      </c>
      <c r="AB32" s="1902">
        <f t="shared" si="4"/>
        <v>1</v>
      </c>
      <c r="AC32" s="1902">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5"/>
      <c r="Q33" s="1898" t="str">
        <f t="shared" si="11"/>
        <v>成新度</v>
      </c>
      <c r="R33" s="753" t="s">
        <v>25</v>
      </c>
      <c r="S33" s="754" t="e">
        <f t="shared" si="12"/>
        <v>#N/A</v>
      </c>
      <c r="T33" s="753" t="s">
        <v>25</v>
      </c>
      <c r="U33" s="754" t="e">
        <f t="shared" si="13"/>
        <v>#N/A</v>
      </c>
      <c r="V33" s="753" t="s">
        <v>25</v>
      </c>
      <c r="W33" s="754" t="e">
        <f t="shared" si="14"/>
        <v>#N/A</v>
      </c>
      <c r="X33" s="1899"/>
      <c r="Y33" s="3065"/>
      <c r="Z33" s="1901" t="str">
        <f t="shared" si="15"/>
        <v>成新度</v>
      </c>
      <c r="AA33" s="1902" t="e">
        <f t="shared" si="3"/>
        <v>#N/A</v>
      </c>
      <c r="AB33" s="1902" t="e">
        <f t="shared" si="4"/>
        <v>#N/A</v>
      </c>
      <c r="AC33" s="1902"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5"/>
      <c r="Q34" s="1886" t="str">
        <f t="shared" si="11"/>
        <v>物业管理</v>
      </c>
      <c r="R34" s="749" t="s">
        <v>25</v>
      </c>
      <c r="S34" s="750">
        <f t="shared" si="12"/>
        <v>100</v>
      </c>
      <c r="T34" s="749" t="s">
        <v>25</v>
      </c>
      <c r="U34" s="750">
        <f t="shared" si="13"/>
        <v>100</v>
      </c>
      <c r="V34" s="749" t="s">
        <v>25</v>
      </c>
      <c r="W34" s="750">
        <f t="shared" si="14"/>
        <v>100</v>
      </c>
      <c r="X34" s="751"/>
      <c r="Y34" s="3065"/>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5" t="s">
        <v>2368</v>
      </c>
      <c r="Q35" s="1898" t="str">
        <f t="shared" si="11"/>
        <v>市政基础设施</v>
      </c>
      <c r="R35" s="753" t="s">
        <v>25</v>
      </c>
      <c r="S35" s="754">
        <f t="shared" si="12"/>
        <v>100</v>
      </c>
      <c r="T35" s="753" t="s">
        <v>25</v>
      </c>
      <c r="U35" s="754">
        <f t="shared" si="13"/>
        <v>100</v>
      </c>
      <c r="V35" s="753" t="s">
        <v>25</v>
      </c>
      <c r="W35" s="754">
        <f t="shared" si="14"/>
        <v>100</v>
      </c>
      <c r="X35" s="1899"/>
      <c r="Y35" s="3065" t="s">
        <v>2368</v>
      </c>
      <c r="Z35" s="1901" t="str">
        <f t="shared" si="15"/>
        <v>市政基础设施</v>
      </c>
      <c r="AA35" s="1902">
        <f t="shared" si="3"/>
        <v>1</v>
      </c>
      <c r="AB35" s="1902">
        <f t="shared" si="4"/>
        <v>1</v>
      </c>
      <c r="AC35" s="1902">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5"/>
      <c r="Q36" s="1898" t="str">
        <f t="shared" si="11"/>
        <v>内部装修</v>
      </c>
      <c r="R36" s="753" t="s">
        <v>25</v>
      </c>
      <c r="S36" s="754">
        <f t="shared" si="12"/>
        <v>100</v>
      </c>
      <c r="T36" s="753" t="s">
        <v>25</v>
      </c>
      <c r="U36" s="754">
        <f t="shared" si="13"/>
        <v>100</v>
      </c>
      <c r="V36" s="753" t="s">
        <v>25</v>
      </c>
      <c r="W36" s="754">
        <f t="shared" si="14"/>
        <v>100</v>
      </c>
      <c r="X36" s="1899"/>
      <c r="Y36" s="3065"/>
      <c r="Z36" s="1901" t="str">
        <f t="shared" si="15"/>
        <v>内部装修</v>
      </c>
      <c r="AA36" s="1902">
        <f t="shared" si="3"/>
        <v>1</v>
      </c>
      <c r="AB36" s="1902">
        <f t="shared" si="4"/>
        <v>1</v>
      </c>
      <c r="AC36" s="1902">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5"/>
      <c r="Q37" s="1898" t="str">
        <f t="shared" si="11"/>
        <v>内部装修状况</v>
      </c>
      <c r="R37" s="753" t="s">
        <v>25</v>
      </c>
      <c r="S37" s="754">
        <f t="shared" si="12"/>
        <v>0</v>
      </c>
      <c r="T37" s="753" t="s">
        <v>25</v>
      </c>
      <c r="U37" s="754">
        <f t="shared" si="13"/>
        <v>0</v>
      </c>
      <c r="V37" s="753" t="s">
        <v>25</v>
      </c>
      <c r="W37" s="754">
        <f t="shared" si="14"/>
        <v>0</v>
      </c>
      <c r="X37" s="1899"/>
      <c r="Y37" s="3065"/>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5"/>
      <c r="Q38" s="755">
        <f t="shared" si="11"/>
        <v>111</v>
      </c>
      <c r="R38" s="756" t="s">
        <v>25</v>
      </c>
      <c r="S38" s="757">
        <f t="shared" si="12"/>
        <v>100</v>
      </c>
      <c r="T38" s="756" t="s">
        <v>25</v>
      </c>
      <c r="U38" s="757">
        <f t="shared" si="13"/>
        <v>100</v>
      </c>
      <c r="V38" s="756" t="s">
        <v>25</v>
      </c>
      <c r="W38" s="757">
        <f t="shared" si="14"/>
        <v>100</v>
      </c>
      <c r="X38" s="758"/>
      <c r="Y38" s="3065"/>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5"/>
      <c r="Q39" s="1898">
        <f t="shared" si="11"/>
        <v>111</v>
      </c>
      <c r="R39" s="753" t="s">
        <v>25</v>
      </c>
      <c r="S39" s="754">
        <f t="shared" si="12"/>
        <v>100</v>
      </c>
      <c r="T39" s="753" t="s">
        <v>25</v>
      </c>
      <c r="U39" s="754">
        <f t="shared" si="13"/>
        <v>100</v>
      </c>
      <c r="V39" s="753" t="s">
        <v>25</v>
      </c>
      <c r="W39" s="754">
        <f t="shared" si="14"/>
        <v>100</v>
      </c>
      <c r="X39" s="1899"/>
      <c r="Y39" s="3065"/>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6"/>
      <c r="Q40" s="1898">
        <f t="shared" si="11"/>
        <v>111</v>
      </c>
      <c r="R40" s="753" t="s">
        <v>25</v>
      </c>
      <c r="S40" s="754">
        <f t="shared" si="12"/>
        <v>100</v>
      </c>
      <c r="T40" s="753" t="s">
        <v>25</v>
      </c>
      <c r="U40" s="754">
        <f t="shared" si="13"/>
        <v>100</v>
      </c>
      <c r="V40" s="753" t="s">
        <v>25</v>
      </c>
      <c r="W40" s="754">
        <f t="shared" si="14"/>
        <v>100</v>
      </c>
      <c r="X40" s="1899"/>
      <c r="Y40" s="3066"/>
      <c r="Z40" s="1901">
        <f t="shared" si="15"/>
        <v>111</v>
      </c>
      <c r="AA40" s="1902">
        <f t="shared" si="3"/>
        <v>1</v>
      </c>
      <c r="AB40" s="1902">
        <f t="shared" si="4"/>
        <v>1</v>
      </c>
      <c r="AC40" s="1902">
        <f t="shared" si="5"/>
        <v>1</v>
      </c>
    </row>
    <row r="41" spans="1:29" ht="15">
      <c r="A41" s="460" t="s">
        <v>2380</v>
      </c>
      <c r="B41" s="461"/>
      <c r="C41" s="1502" t="s">
        <v>1</v>
      </c>
      <c r="D41" s="1503"/>
      <c r="E41" s="1504"/>
      <c r="F41" s="1505"/>
      <c r="G41" s="1506"/>
      <c r="H41" s="1507"/>
      <c r="I41" s="1504"/>
      <c r="J41" s="1507"/>
      <c r="K41" s="762"/>
      <c r="L41" s="1256"/>
      <c r="M41" s="1257"/>
      <c r="N41" s="1244"/>
      <c r="O41" s="1257"/>
      <c r="P41" s="3071" t="str">
        <f>A41</f>
        <v>成交单价（元/平方米）</v>
      </c>
      <c r="Q41" s="3071"/>
      <c r="R41" s="3072">
        <f>E41</f>
        <v>0</v>
      </c>
      <c r="S41" s="3072"/>
      <c r="T41" s="3072">
        <f>G41</f>
        <v>0</v>
      </c>
      <c r="U41" s="3072"/>
      <c r="V41" s="3072">
        <f>I41</f>
        <v>0</v>
      </c>
      <c r="W41" s="3072"/>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71" t="str">
        <f>A42</f>
        <v>比较价值（元/平方米）</v>
      </c>
      <c r="Q42" s="3071"/>
      <c r="R42" s="3072" t="e">
        <f>IF(E1="售价",ROUND(PRODUCT(R41,AA7:AA40),0),ROUND(PRODUCT(R41,AA7:AA40),1))</f>
        <v>#DIV/0!</v>
      </c>
      <c r="S42" s="3072"/>
      <c r="T42" s="3072" t="e">
        <f>IF(E1="售价",ROUND(PRODUCT(T41,AB7:AB40),0),ROUND(PRODUCT(T41,AB7:AB40),1))</f>
        <v>#DIV/0!</v>
      </c>
      <c r="U42" s="3072"/>
      <c r="V42" s="3072" t="e">
        <f>IF(E1="售价",ROUND(PRODUCT(V41,AC7:AC40),0),ROUND(PRODUCT(V41,AC7:AC40),1))</f>
        <v>#DIV/0!</v>
      </c>
      <c r="W42" s="3072"/>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77" t="str">
        <f>A43</f>
        <v>估价对象XX用房的比较价值（楼面单价，元/平方米）</v>
      </c>
      <c r="Q43" s="3078"/>
      <c r="R43" s="3079" t="e">
        <f>IF(E1="售价",ROUND(AVERAGE(R42:V42),0),ROUND(AVERAGE(R42:V42),1))</f>
        <v>#DIV/0!</v>
      </c>
      <c r="S43" s="3079"/>
      <c r="T43" s="3079"/>
      <c r="U43" s="3079"/>
      <c r="V43" s="3079"/>
      <c r="W43" s="307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8" t="str">
        <f>YEAR(C7)&amp;"-"&amp;MONTH(C7)</f>
        <v>2018-12</v>
      </c>
      <c r="D52" s="1679">
        <f>EDATE(C52,-1)</f>
        <v>43405</v>
      </c>
      <c r="E52" s="1680">
        <f t="shared" ref="E52:O52" si="16">EDATE(D52,-1)</f>
        <v>43374</v>
      </c>
      <c r="F52" s="1680">
        <f t="shared" si="16"/>
        <v>43344</v>
      </c>
      <c r="G52" s="1680">
        <f t="shared" si="16"/>
        <v>43313</v>
      </c>
      <c r="H52" s="1680">
        <f t="shared" si="16"/>
        <v>43282</v>
      </c>
      <c r="I52" s="1680">
        <f t="shared" si="16"/>
        <v>43252</v>
      </c>
      <c r="J52" s="1680">
        <f t="shared" si="16"/>
        <v>43221</v>
      </c>
      <c r="K52" s="1680">
        <f t="shared" si="16"/>
        <v>43191</v>
      </c>
      <c r="L52" s="1680">
        <f t="shared" si="16"/>
        <v>43160</v>
      </c>
      <c r="M52" s="1680">
        <f t="shared" si="16"/>
        <v>43132</v>
      </c>
      <c r="N52" s="1680">
        <f t="shared" si="16"/>
        <v>43101</v>
      </c>
      <c r="O52" s="1680">
        <f t="shared" si="16"/>
        <v>43070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0"/>
      <c r="E1" s="2381"/>
      <c r="F1" s="1731" t="s">
        <v>2335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99.8</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35" t="s">
        <v>2338</v>
      </c>
      <c r="D4" s="3036"/>
      <c r="E4" s="3037" t="s">
        <v>2339</v>
      </c>
      <c r="F4" s="3038"/>
      <c r="G4" s="3035" t="s">
        <v>2340</v>
      </c>
      <c r="H4" s="3036"/>
      <c r="I4" s="3035" t="s">
        <v>2341</v>
      </c>
      <c r="J4" s="3036"/>
      <c r="K4" s="594" t="s">
        <v>2342</v>
      </c>
      <c r="L4" s="1514"/>
      <c r="M4" s="425"/>
      <c r="N4" s="425"/>
      <c r="O4" s="425"/>
      <c r="P4" s="3039" t="s">
        <v>2343</v>
      </c>
      <c r="Q4" s="3040"/>
      <c r="R4" s="3045" t="s">
        <v>2339</v>
      </c>
      <c r="S4" s="3046"/>
      <c r="T4" s="3045" t="s">
        <v>2340</v>
      </c>
      <c r="U4" s="3046"/>
      <c r="V4" s="3051" t="s">
        <v>2341</v>
      </c>
      <c r="W4" s="3051"/>
      <c r="X4" s="1899"/>
      <c r="Y4" s="3045" t="s">
        <v>2343</v>
      </c>
      <c r="Z4" s="3046"/>
      <c r="AA4" s="3032" t="s">
        <v>2339</v>
      </c>
      <c r="AB4" s="3033" t="s">
        <v>2340</v>
      </c>
      <c r="AC4" s="3032" t="s">
        <v>2341</v>
      </c>
    </row>
    <row r="5" spans="1:29" ht="15">
      <c r="A5" s="383"/>
      <c r="B5" s="384"/>
      <c r="C5" s="3080" t="s">
        <v>2344</v>
      </c>
      <c r="D5" s="3055"/>
      <c r="E5" s="3081" t="s">
        <v>2345</v>
      </c>
      <c r="F5" s="3053"/>
      <c r="G5" s="3080" t="s">
        <v>2346</v>
      </c>
      <c r="H5" s="3055"/>
      <c r="I5" s="3080" t="s">
        <v>2347</v>
      </c>
      <c r="J5" s="3055"/>
      <c r="K5" s="594"/>
      <c r="L5" s="1514"/>
      <c r="M5" s="425"/>
      <c r="N5" s="425"/>
      <c r="O5" s="425"/>
      <c r="P5" s="3041"/>
      <c r="Q5" s="3042"/>
      <c r="R5" s="3047"/>
      <c r="S5" s="3048"/>
      <c r="T5" s="3047"/>
      <c r="U5" s="3048"/>
      <c r="V5" s="3051"/>
      <c r="W5" s="3051"/>
      <c r="X5" s="1899"/>
      <c r="Y5" s="3047"/>
      <c r="Z5" s="3048"/>
      <c r="AA5" s="3033"/>
      <c r="AB5" s="3033"/>
      <c r="AC5" s="3033"/>
    </row>
    <row r="6" spans="1:29" ht="15.75" thickBot="1">
      <c r="A6" s="385"/>
      <c r="B6" s="386"/>
      <c r="C6" s="3056" t="s">
        <v>2348</v>
      </c>
      <c r="D6" s="3057"/>
      <c r="E6" s="3058" t="s">
        <v>2348</v>
      </c>
      <c r="F6" s="3059"/>
      <c r="G6" s="3056" t="s">
        <v>2348</v>
      </c>
      <c r="H6" s="3057"/>
      <c r="I6" s="3056" t="s">
        <v>2348</v>
      </c>
      <c r="J6" s="3057"/>
      <c r="K6" s="594" t="s">
        <v>2349</v>
      </c>
      <c r="L6" s="1514"/>
      <c r="M6" s="425"/>
      <c r="N6" s="425"/>
      <c r="O6" s="425"/>
      <c r="P6" s="3043"/>
      <c r="Q6" s="3044"/>
      <c r="R6" s="3047"/>
      <c r="S6" s="3048"/>
      <c r="T6" s="3049"/>
      <c r="U6" s="3050"/>
      <c r="V6" s="3051"/>
      <c r="W6" s="3051"/>
      <c r="X6" s="1899"/>
      <c r="Y6" s="3049"/>
      <c r="Z6" s="3050"/>
      <c r="AA6" s="3034"/>
      <c r="AB6" s="3034"/>
      <c r="AC6" s="3034"/>
    </row>
    <row r="7" spans="1:29" s="35" customFormat="1" ht="15.75" thickBot="1">
      <c r="A7" s="387" t="s">
        <v>2350</v>
      </c>
      <c r="B7" s="388"/>
      <c r="C7" s="389">
        <f>'数据-取费表'!B2</f>
        <v>43439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7" t="s">
        <v>2351</v>
      </c>
      <c r="Q7" s="3069"/>
      <c r="R7" s="749" t="s">
        <v>25</v>
      </c>
      <c r="S7" s="750">
        <f t="shared" ref="S7:S14" si="0">F7</f>
        <v>0</v>
      </c>
      <c r="T7" s="749" t="s">
        <v>25</v>
      </c>
      <c r="U7" s="750">
        <f t="shared" ref="U7:U14" si="1">H7</f>
        <v>0</v>
      </c>
      <c r="V7" s="749" t="s">
        <v>25</v>
      </c>
      <c r="W7" s="750">
        <f t="shared" ref="W7:W14" si="2">J7</f>
        <v>0</v>
      </c>
      <c r="X7" s="751"/>
      <c r="Y7" s="3067" t="s">
        <v>2351</v>
      </c>
      <c r="Z7" s="3068"/>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7" t="s">
        <v>2354</v>
      </c>
      <c r="Q8" s="3068"/>
      <c r="R8" s="749" t="s">
        <v>25</v>
      </c>
      <c r="S8" s="750">
        <f t="shared" si="0"/>
        <v>0</v>
      </c>
      <c r="T8" s="749" t="s">
        <v>25</v>
      </c>
      <c r="U8" s="750">
        <f t="shared" si="1"/>
        <v>0</v>
      </c>
      <c r="V8" s="749" t="s">
        <v>25</v>
      </c>
      <c r="W8" s="750">
        <f t="shared" si="2"/>
        <v>0</v>
      </c>
      <c r="X8" s="751"/>
      <c r="Y8" s="3067" t="s">
        <v>2354</v>
      </c>
      <c r="Z8" s="3068"/>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71" t="s">
        <v>2357</v>
      </c>
      <c r="Q9" s="1886" t="str">
        <f t="shared" ref="Q9:Q14" si="6">B9</f>
        <v>用途</v>
      </c>
      <c r="R9" s="749" t="s">
        <v>25</v>
      </c>
      <c r="S9" s="750">
        <f t="shared" si="0"/>
        <v>100</v>
      </c>
      <c r="T9" s="749" t="s">
        <v>25</v>
      </c>
      <c r="U9" s="750">
        <f t="shared" si="1"/>
        <v>100</v>
      </c>
      <c r="V9" s="749" t="s">
        <v>25</v>
      </c>
      <c r="W9" s="750">
        <f t="shared" si="2"/>
        <v>100</v>
      </c>
      <c r="X9" s="751"/>
      <c r="Y9" s="2883"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71"/>
      <c r="Q10" s="1886"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0"/>
      <c r="P11" s="3071"/>
      <c r="Q11" s="1886">
        <f t="shared" si="6"/>
        <v>111</v>
      </c>
      <c r="R11" s="749" t="s">
        <v>25</v>
      </c>
      <c r="S11" s="750">
        <f t="shared" si="0"/>
        <v>100</v>
      </c>
      <c r="T11" s="749" t="s">
        <v>25</v>
      </c>
      <c r="U11" s="750">
        <f t="shared" si="1"/>
        <v>100</v>
      </c>
      <c r="V11" s="749" t="s">
        <v>25</v>
      </c>
      <c r="W11" s="750">
        <f t="shared" si="2"/>
        <v>100</v>
      </c>
      <c r="X11" s="751"/>
      <c r="Y11" s="288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1"/>
      <c r="Q12" s="1886">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0"/>
      <c r="P13" s="3071"/>
      <c r="Q13" s="1886">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28.25">
      <c r="A14" s="380" t="s">
        <v>2361</v>
      </c>
      <c r="B14" s="613" t="s">
        <v>2505</v>
      </c>
      <c r="C14" s="1480" t="str">
        <f>IF(B1="工业",估价对象房地状况!G4,估价对象房地状况!C6)</f>
        <v>临近城市高速路——京藏高速，周边有专43号、专89号、307号、345号、355号路等多条公交线路及地铁8号线（永泰站），交通状况较好。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0"/>
      <c r="P14" s="3060" t="s">
        <v>2362</v>
      </c>
      <c r="Q14" s="1898" t="str">
        <f t="shared" si="6"/>
        <v>交通便捷度</v>
      </c>
      <c r="R14" s="753" t="s">
        <v>25</v>
      </c>
      <c r="S14" s="754">
        <f t="shared" si="0"/>
        <v>100</v>
      </c>
      <c r="T14" s="753" t="s">
        <v>25</v>
      </c>
      <c r="U14" s="754">
        <f t="shared" si="1"/>
        <v>100</v>
      </c>
      <c r="V14" s="753" t="s">
        <v>25</v>
      </c>
      <c r="W14" s="754">
        <f t="shared" si="2"/>
        <v>100</v>
      </c>
      <c r="X14" s="1899"/>
      <c r="Y14" s="3060" t="s">
        <v>2362</v>
      </c>
      <c r="Z14" s="1901" t="str">
        <f t="shared" si="7"/>
        <v>交通便捷度</v>
      </c>
      <c r="AA14" s="1902">
        <f t="shared" si="3"/>
        <v>1</v>
      </c>
      <c r="AB14" s="1902">
        <f t="shared" si="4"/>
        <v>1</v>
      </c>
      <c r="AC14" s="1902">
        <f t="shared" si="5"/>
        <v>1</v>
      </c>
    </row>
    <row r="15" spans="1:29" ht="15">
      <c r="A15" s="383"/>
      <c r="B15" s="631"/>
      <c r="C15" s="1481"/>
      <c r="D15" s="1475"/>
      <c r="E15" s="426"/>
      <c r="F15" s="427"/>
      <c r="G15" s="1472"/>
      <c r="H15" s="430"/>
      <c r="I15" s="426"/>
      <c r="J15" s="427"/>
      <c r="K15" s="599"/>
      <c r="L15" s="1522"/>
      <c r="M15" s="425"/>
      <c r="N15" s="425"/>
      <c r="O15" s="1900"/>
      <c r="P15" s="3061"/>
      <c r="Q15" s="1898"/>
      <c r="R15" s="753"/>
      <c r="S15" s="754"/>
      <c r="T15" s="753"/>
      <c r="U15" s="754"/>
      <c r="V15" s="753"/>
      <c r="W15" s="754"/>
      <c r="X15" s="1899"/>
      <c r="Y15" s="3061"/>
      <c r="Z15" s="1901"/>
      <c r="AA15" s="1902">
        <v>1</v>
      </c>
      <c r="AB15" s="1902">
        <v>1</v>
      </c>
      <c r="AC15" s="1902">
        <v>1</v>
      </c>
    </row>
    <row r="16" spans="1:29" ht="370.5">
      <c r="A16" s="383"/>
      <c r="B16" s="615" t="s">
        <v>2477</v>
      </c>
      <c r="C16" s="1482" t="str">
        <f>IF(B1="工业",估价对象房地状况!G5,估价对象房地状况!C7)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0"/>
      <c r="P16" s="3061"/>
      <c r="Q16" s="1898" t="str">
        <f>B16</f>
        <v>公共配套设施</v>
      </c>
      <c r="R16" s="753" t="s">
        <v>25</v>
      </c>
      <c r="S16" s="754">
        <f>F16</f>
        <v>100</v>
      </c>
      <c r="T16" s="753" t="s">
        <v>25</v>
      </c>
      <c r="U16" s="754">
        <f>H16</f>
        <v>100</v>
      </c>
      <c r="V16" s="753" t="s">
        <v>25</v>
      </c>
      <c r="W16" s="754">
        <f>J16</f>
        <v>100</v>
      </c>
      <c r="X16" s="1899"/>
      <c r="Y16" s="3061"/>
      <c r="Z16" s="1901" t="str">
        <f>Q16</f>
        <v>公共配套设施</v>
      </c>
      <c r="AA16" s="1902">
        <f t="shared" si="3"/>
        <v>1</v>
      </c>
      <c r="AB16" s="1902">
        <f t="shared" si="4"/>
        <v>1</v>
      </c>
      <c r="AC16" s="1902">
        <f t="shared" si="5"/>
        <v>1</v>
      </c>
    </row>
    <row r="17" spans="1:29" ht="15">
      <c r="A17" s="383"/>
      <c r="B17" s="616"/>
      <c r="C17" s="1470"/>
      <c r="D17" s="1476"/>
      <c r="E17" s="428"/>
      <c r="F17" s="430"/>
      <c r="G17" s="428"/>
      <c r="H17" s="427"/>
      <c r="I17" s="428"/>
      <c r="J17" s="427"/>
      <c r="K17" s="599"/>
      <c r="L17" s="1522"/>
      <c r="M17" s="425"/>
      <c r="N17" s="425"/>
      <c r="O17" s="1900"/>
      <c r="P17" s="3061"/>
      <c r="Q17" s="1898"/>
      <c r="R17" s="753"/>
      <c r="S17" s="754"/>
      <c r="T17" s="753"/>
      <c r="U17" s="754"/>
      <c r="V17" s="753"/>
      <c r="W17" s="754"/>
      <c r="X17" s="1899"/>
      <c r="Y17" s="3061"/>
      <c r="Z17" s="1901"/>
      <c r="AA17" s="1902">
        <v>1</v>
      </c>
      <c r="AB17" s="1902">
        <v>1</v>
      </c>
      <c r="AC17" s="1902">
        <v>1</v>
      </c>
    </row>
    <row r="18" spans="1:29" ht="15">
      <c r="A18" s="383"/>
      <c r="B18" s="617" t="s">
        <v>2478</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0"/>
      <c r="P18" s="3061"/>
      <c r="Q18" s="1898" t="str">
        <f>B18</f>
        <v>基础设施水平</v>
      </c>
      <c r="R18" s="753" t="s">
        <v>25</v>
      </c>
      <c r="S18" s="754">
        <f>F18</f>
        <v>100</v>
      </c>
      <c r="T18" s="753" t="s">
        <v>25</v>
      </c>
      <c r="U18" s="754">
        <f>H18</f>
        <v>100</v>
      </c>
      <c r="V18" s="753" t="s">
        <v>25</v>
      </c>
      <c r="W18" s="754">
        <f>J18</f>
        <v>100</v>
      </c>
      <c r="X18" s="1899"/>
      <c r="Y18" s="3061"/>
      <c r="Z18" s="1901" t="str">
        <f>Q18</f>
        <v>基础设施水平</v>
      </c>
      <c r="AA18" s="1902">
        <f t="shared" ref="AA18" si="8">D18/F18</f>
        <v>1</v>
      </c>
      <c r="AB18" s="1902">
        <f t="shared" ref="AB18" si="9">D18/H18</f>
        <v>1</v>
      </c>
      <c r="AC18" s="1902">
        <f t="shared" ref="AC18" si="10">D18/J18</f>
        <v>1</v>
      </c>
    </row>
    <row r="19" spans="1:29" ht="15">
      <c r="A19" s="383"/>
      <c r="B19" s="617"/>
      <c r="C19" s="1471"/>
      <c r="D19" s="1476"/>
      <c r="E19" s="1468"/>
      <c r="F19" s="430"/>
      <c r="G19" s="1468"/>
      <c r="H19" s="427"/>
      <c r="I19" s="428"/>
      <c r="J19" s="427"/>
      <c r="K19" s="1469"/>
      <c r="L19" s="1522"/>
      <c r="M19" s="425"/>
      <c r="N19" s="425"/>
      <c r="O19" s="1900"/>
      <c r="P19" s="3061"/>
      <c r="Q19" s="1898"/>
      <c r="R19" s="753"/>
      <c r="S19" s="754"/>
      <c r="T19" s="753"/>
      <c r="U19" s="754"/>
      <c r="V19" s="753"/>
      <c r="W19" s="754"/>
      <c r="X19" s="1899"/>
      <c r="Y19" s="3061"/>
      <c r="Z19" s="1901"/>
      <c r="AA19" s="1902">
        <v>1</v>
      </c>
      <c r="AB19" s="1902">
        <v>1</v>
      </c>
      <c r="AC19" s="1902">
        <v>1</v>
      </c>
    </row>
    <row r="20" spans="1:29" ht="128.25">
      <c r="A20" s="383"/>
      <c r="B20" s="615" t="s">
        <v>2506</v>
      </c>
      <c r="C20" s="1482" t="str">
        <f>IF(B1="工业",估价对象房地状况!G7,估价对象房地状况!C9)</f>
        <v>区域自然环境：清河、奥林匹克森林公园、西三旗公园；人文环境：北京信息科技大学（清河小营校区）；综合评价环境状况较好。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0"/>
      <c r="P20" s="3061"/>
      <c r="Q20" s="1898" t="str">
        <f>B20</f>
        <v>自然及人文环境</v>
      </c>
      <c r="R20" s="753" t="s">
        <v>25</v>
      </c>
      <c r="S20" s="754">
        <f>F20</f>
        <v>100</v>
      </c>
      <c r="T20" s="753" t="s">
        <v>25</v>
      </c>
      <c r="U20" s="754">
        <f>H20</f>
        <v>100</v>
      </c>
      <c r="V20" s="753" t="s">
        <v>25</v>
      </c>
      <c r="W20" s="754">
        <f>J20</f>
        <v>100</v>
      </c>
      <c r="X20" s="1899"/>
      <c r="Y20" s="3061"/>
      <c r="Z20" s="1901" t="str">
        <f>Q20</f>
        <v>自然及人文环境</v>
      </c>
      <c r="AA20" s="1902">
        <f t="shared" si="3"/>
        <v>1</v>
      </c>
      <c r="AB20" s="1902">
        <f t="shared" si="4"/>
        <v>1</v>
      </c>
      <c r="AC20" s="1902">
        <f t="shared" si="5"/>
        <v>1</v>
      </c>
    </row>
    <row r="21" spans="1:29" ht="15">
      <c r="A21" s="383"/>
      <c r="B21" s="616"/>
      <c r="C21" s="1481"/>
      <c r="D21" s="1475"/>
      <c r="E21" s="426"/>
      <c r="F21" s="427"/>
      <c r="G21" s="1472"/>
      <c r="H21" s="427"/>
      <c r="I21" s="426"/>
      <c r="J21" s="427"/>
      <c r="K21" s="599"/>
      <c r="L21" s="1522"/>
      <c r="M21" s="425"/>
      <c r="N21" s="425"/>
      <c r="O21" s="1900"/>
      <c r="P21" s="3061"/>
      <c r="Q21" s="1898"/>
      <c r="R21" s="753"/>
      <c r="S21" s="754"/>
      <c r="T21" s="753"/>
      <c r="U21" s="754"/>
      <c r="V21" s="753"/>
      <c r="W21" s="754"/>
      <c r="X21" s="1899"/>
      <c r="Y21" s="3061"/>
      <c r="Z21" s="1901"/>
      <c r="AA21" s="1902">
        <v>1</v>
      </c>
      <c r="AB21" s="1902">
        <v>1</v>
      </c>
      <c r="AC21" s="1902">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0"/>
      <c r="P22" s="3061"/>
      <c r="Q22" s="1898" t="str">
        <f>B22</f>
        <v>楼层</v>
      </c>
      <c r="R22" s="753" t="s">
        <v>25</v>
      </c>
      <c r="S22" s="754">
        <f>F22</f>
        <v>100</v>
      </c>
      <c r="T22" s="753" t="s">
        <v>25</v>
      </c>
      <c r="U22" s="754">
        <f>H22</f>
        <v>100</v>
      </c>
      <c r="V22" s="753" t="s">
        <v>25</v>
      </c>
      <c r="W22" s="754">
        <f>J22</f>
        <v>100</v>
      </c>
      <c r="X22" s="1899"/>
      <c r="Y22" s="3061"/>
      <c r="Z22" s="1901" t="str">
        <f>Q22</f>
        <v>楼层</v>
      </c>
      <c r="AA22" s="1902">
        <f t="shared" si="3"/>
        <v>1</v>
      </c>
      <c r="AB22" s="1902">
        <f t="shared" si="4"/>
        <v>1</v>
      </c>
      <c r="AC22" s="1902">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0"/>
      <c r="P23" s="3061"/>
      <c r="Q23" s="1898">
        <f>B23</f>
        <v>111</v>
      </c>
      <c r="R23" s="753" t="s">
        <v>25</v>
      </c>
      <c r="S23" s="754">
        <f>F23</f>
        <v>100</v>
      </c>
      <c r="T23" s="753" t="s">
        <v>25</v>
      </c>
      <c r="U23" s="754">
        <f>H23</f>
        <v>100</v>
      </c>
      <c r="V23" s="753" t="s">
        <v>25</v>
      </c>
      <c r="W23" s="754">
        <f>J23</f>
        <v>100</v>
      </c>
      <c r="X23" s="1899"/>
      <c r="Y23" s="3061"/>
      <c r="Z23" s="1901">
        <f>Q23</f>
        <v>111</v>
      </c>
      <c r="AA23" s="1902">
        <f t="shared" si="3"/>
        <v>1</v>
      </c>
      <c r="AB23" s="1902">
        <f t="shared" si="4"/>
        <v>1</v>
      </c>
      <c r="AC23" s="1902">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0"/>
      <c r="P24" s="3061"/>
      <c r="Q24" s="1898">
        <f t="shared" ref="Q24:Q36" si="11">B24</f>
        <v>111</v>
      </c>
      <c r="R24" s="753" t="s">
        <v>25</v>
      </c>
      <c r="S24" s="754">
        <f>F24</f>
        <v>100</v>
      </c>
      <c r="T24" s="753" t="s">
        <v>25</v>
      </c>
      <c r="U24" s="754">
        <f>H24</f>
        <v>100</v>
      </c>
      <c r="V24" s="753" t="s">
        <v>25</v>
      </c>
      <c r="W24" s="754">
        <f>J24</f>
        <v>100</v>
      </c>
      <c r="X24" s="1899"/>
      <c r="Y24" s="3061"/>
      <c r="Z24" s="1901">
        <f>Q24</f>
        <v>111</v>
      </c>
      <c r="AA24" s="1902">
        <f t="shared" si="3"/>
        <v>1</v>
      </c>
      <c r="AB24" s="1902">
        <f t="shared" si="4"/>
        <v>1</v>
      </c>
      <c r="AC24" s="1902">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1"/>
      <c r="Q25" s="1886">
        <f t="shared" si="11"/>
        <v>111</v>
      </c>
      <c r="R25" s="749" t="s">
        <v>25</v>
      </c>
      <c r="S25" s="750">
        <f>F25</f>
        <v>100</v>
      </c>
      <c r="T25" s="749" t="s">
        <v>25</v>
      </c>
      <c r="U25" s="750">
        <f>H25</f>
        <v>100</v>
      </c>
      <c r="V25" s="749" t="s">
        <v>25</v>
      </c>
      <c r="W25" s="750">
        <f>J25</f>
        <v>100</v>
      </c>
      <c r="X25" s="751"/>
      <c r="Y25" s="3061"/>
      <c r="Z25" s="23">
        <f>Q25</f>
        <v>111</v>
      </c>
      <c r="AA25" s="1902">
        <f>D25/F25</f>
        <v>1</v>
      </c>
      <c r="AB25" s="1902">
        <f>D25/H25</f>
        <v>1</v>
      </c>
      <c r="AC25" s="1902">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0"/>
      <c r="P26" s="3089" t="s">
        <v>2368</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65" t="s">
        <v>2368</v>
      </c>
      <c r="Z26" s="1901" t="str">
        <f t="shared" ref="Z26:Z36" si="15">Q26</f>
        <v>配套类型</v>
      </c>
      <c r="AA26" s="1902">
        <f t="shared" si="3"/>
        <v>1</v>
      </c>
      <c r="AB26" s="1902">
        <f t="shared" si="4"/>
        <v>1</v>
      </c>
      <c r="AC26" s="1902">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5"/>
      <c r="Q27" s="755" t="str">
        <f t="shared" si="11"/>
        <v>项目停车位配比</v>
      </c>
      <c r="R27" s="756" t="s">
        <v>25</v>
      </c>
      <c r="S27" s="757">
        <f t="shared" si="12"/>
        <v>100</v>
      </c>
      <c r="T27" s="756" t="s">
        <v>25</v>
      </c>
      <c r="U27" s="757">
        <f t="shared" si="13"/>
        <v>100</v>
      </c>
      <c r="V27" s="756" t="s">
        <v>25</v>
      </c>
      <c r="W27" s="757">
        <f t="shared" si="14"/>
        <v>100</v>
      </c>
      <c r="X27" s="758"/>
      <c r="Y27" s="3065"/>
      <c r="Z27" s="759" t="str">
        <f t="shared" si="15"/>
        <v>项目停车位配比</v>
      </c>
      <c r="AA27" s="1902">
        <f t="shared" si="3"/>
        <v>1</v>
      </c>
      <c r="AB27" s="1902">
        <f t="shared" si="4"/>
        <v>1</v>
      </c>
      <c r="AC27" s="1902">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0"/>
      <c r="P28" s="3065"/>
      <c r="Q28" s="1898" t="str">
        <f t="shared" si="11"/>
        <v>公共部分装修</v>
      </c>
      <c r="R28" s="753" t="s">
        <v>25</v>
      </c>
      <c r="S28" s="754">
        <f t="shared" si="12"/>
        <v>100</v>
      </c>
      <c r="T28" s="753" t="s">
        <v>25</v>
      </c>
      <c r="U28" s="754">
        <f t="shared" si="13"/>
        <v>100</v>
      </c>
      <c r="V28" s="753" t="s">
        <v>25</v>
      </c>
      <c r="W28" s="754">
        <f t="shared" si="14"/>
        <v>100</v>
      </c>
      <c r="X28" s="1899"/>
      <c r="Y28" s="3065"/>
      <c r="Z28" s="1901" t="str">
        <f t="shared" si="15"/>
        <v>公共部分装修</v>
      </c>
      <c r="AA28" s="1902">
        <f t="shared" si="3"/>
        <v>1</v>
      </c>
      <c r="AB28" s="1902">
        <f t="shared" si="4"/>
        <v>1</v>
      </c>
      <c r="AC28" s="1902">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0"/>
      <c r="P29" s="3065"/>
      <c r="Q29" s="1898" t="str">
        <f t="shared" si="11"/>
        <v>成新率</v>
      </c>
      <c r="R29" s="753" t="s">
        <v>25</v>
      </c>
      <c r="S29" s="754" t="e">
        <f t="shared" si="12"/>
        <v>#N/A</v>
      </c>
      <c r="T29" s="753" t="s">
        <v>25</v>
      </c>
      <c r="U29" s="754" t="e">
        <f t="shared" si="13"/>
        <v>#N/A</v>
      </c>
      <c r="V29" s="753" t="s">
        <v>25</v>
      </c>
      <c r="W29" s="754" t="e">
        <f t="shared" si="14"/>
        <v>#N/A</v>
      </c>
      <c r="X29" s="1899"/>
      <c r="Y29" s="3065"/>
      <c r="Z29" s="1901" t="str">
        <f t="shared" si="15"/>
        <v>成新率</v>
      </c>
      <c r="AA29" s="1902" t="e">
        <f t="shared" si="3"/>
        <v>#N/A</v>
      </c>
      <c r="AB29" s="1902" t="e">
        <f t="shared" si="4"/>
        <v>#N/A</v>
      </c>
      <c r="AC29" s="1902"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0"/>
      <c r="P30" s="3065"/>
      <c r="Q30" s="1898" t="str">
        <f t="shared" si="11"/>
        <v>物业等级</v>
      </c>
      <c r="R30" s="753" t="s">
        <v>25</v>
      </c>
      <c r="S30" s="754">
        <f t="shared" si="12"/>
        <v>100</v>
      </c>
      <c r="T30" s="753" t="s">
        <v>25</v>
      </c>
      <c r="U30" s="754">
        <f t="shared" si="13"/>
        <v>100</v>
      </c>
      <c r="V30" s="753" t="s">
        <v>25</v>
      </c>
      <c r="W30" s="754">
        <f t="shared" si="14"/>
        <v>100</v>
      </c>
      <c r="X30" s="1899"/>
      <c r="Y30" s="3065"/>
      <c r="Z30" s="1901" t="str">
        <f t="shared" si="15"/>
        <v>物业等级</v>
      </c>
      <c r="AA30" s="1902">
        <f t="shared" si="3"/>
        <v>1</v>
      </c>
      <c r="AB30" s="1902">
        <f t="shared" si="4"/>
        <v>1</v>
      </c>
      <c r="AC30" s="1902">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5"/>
      <c r="Q31" s="1886" t="str">
        <f t="shared" si="11"/>
        <v>停车位面积</v>
      </c>
      <c r="R31" s="749" t="s">
        <v>25</v>
      </c>
      <c r="S31" s="750" t="e">
        <f t="shared" si="12"/>
        <v>#N/A</v>
      </c>
      <c r="T31" s="749" t="s">
        <v>25</v>
      </c>
      <c r="U31" s="750" t="e">
        <f t="shared" si="13"/>
        <v>#N/A</v>
      </c>
      <c r="V31" s="749" t="s">
        <v>25</v>
      </c>
      <c r="W31" s="750" t="e">
        <f t="shared" si="14"/>
        <v>#N/A</v>
      </c>
      <c r="X31" s="751"/>
      <c r="Y31" s="3065"/>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0"/>
      <c r="P32" s="3065" t="s">
        <v>2368</v>
      </c>
      <c r="Q32" s="1898" t="str">
        <f t="shared" si="11"/>
        <v>车位类型</v>
      </c>
      <c r="R32" s="753" t="s">
        <v>25</v>
      </c>
      <c r="S32" s="754">
        <f t="shared" si="12"/>
        <v>100</v>
      </c>
      <c r="T32" s="753" t="s">
        <v>25</v>
      </c>
      <c r="U32" s="754">
        <f t="shared" si="13"/>
        <v>100</v>
      </c>
      <c r="V32" s="753" t="s">
        <v>25</v>
      </c>
      <c r="W32" s="754">
        <f t="shared" si="14"/>
        <v>100</v>
      </c>
      <c r="X32" s="1899"/>
      <c r="Y32" s="3065" t="s">
        <v>2368</v>
      </c>
      <c r="Z32" s="1901" t="str">
        <f t="shared" si="15"/>
        <v>车位类型</v>
      </c>
      <c r="AA32" s="1902">
        <f t="shared" si="3"/>
        <v>1</v>
      </c>
      <c r="AB32" s="1902">
        <f t="shared" si="4"/>
        <v>1</v>
      </c>
      <c r="AC32" s="1902">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0"/>
      <c r="P33" s="3065"/>
      <c r="Q33" s="1898" t="str">
        <f t="shared" si="11"/>
        <v>是否直接入户</v>
      </c>
      <c r="R33" s="753" t="s">
        <v>25</v>
      </c>
      <c r="S33" s="754">
        <f t="shared" si="12"/>
        <v>100</v>
      </c>
      <c r="T33" s="753" t="s">
        <v>25</v>
      </c>
      <c r="U33" s="754">
        <f t="shared" si="13"/>
        <v>100</v>
      </c>
      <c r="V33" s="753" t="s">
        <v>25</v>
      </c>
      <c r="W33" s="754">
        <f t="shared" si="14"/>
        <v>100</v>
      </c>
      <c r="X33" s="1899"/>
      <c r="Y33" s="306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0"/>
      <c r="P34" s="3065"/>
      <c r="Q34" s="1898">
        <f t="shared" si="11"/>
        <v>111</v>
      </c>
      <c r="R34" s="753" t="s">
        <v>25</v>
      </c>
      <c r="S34" s="754">
        <f t="shared" si="12"/>
        <v>100</v>
      </c>
      <c r="T34" s="753" t="s">
        <v>25</v>
      </c>
      <c r="U34" s="754">
        <f t="shared" si="13"/>
        <v>100</v>
      </c>
      <c r="V34" s="753" t="s">
        <v>25</v>
      </c>
      <c r="W34" s="754">
        <f t="shared" si="14"/>
        <v>100</v>
      </c>
      <c r="X34" s="1899"/>
      <c r="Y34" s="306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5"/>
      <c r="Q35" s="755">
        <f t="shared" si="11"/>
        <v>111</v>
      </c>
      <c r="R35" s="756" t="s">
        <v>25</v>
      </c>
      <c r="S35" s="757">
        <f t="shared" si="12"/>
        <v>100</v>
      </c>
      <c r="T35" s="756" t="s">
        <v>25</v>
      </c>
      <c r="U35" s="757">
        <f t="shared" si="13"/>
        <v>100</v>
      </c>
      <c r="V35" s="756" t="s">
        <v>25</v>
      </c>
      <c r="W35" s="757">
        <f t="shared" si="14"/>
        <v>100</v>
      </c>
      <c r="X35" s="758"/>
      <c r="Y35" s="3065"/>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0"/>
      <c r="P36" s="3065"/>
      <c r="Q36" s="1898">
        <f t="shared" si="11"/>
        <v>111</v>
      </c>
      <c r="R36" s="753" t="s">
        <v>25</v>
      </c>
      <c r="S36" s="754">
        <f t="shared" si="12"/>
        <v>100</v>
      </c>
      <c r="T36" s="753" t="s">
        <v>25</v>
      </c>
      <c r="U36" s="754">
        <f t="shared" si="13"/>
        <v>100</v>
      </c>
      <c r="V36" s="753" t="s">
        <v>25</v>
      </c>
      <c r="W36" s="754">
        <f t="shared" si="14"/>
        <v>100</v>
      </c>
      <c r="X36" s="1899"/>
      <c r="Y36" s="3065"/>
      <c r="Z36" s="1901">
        <f t="shared" si="15"/>
        <v>111</v>
      </c>
      <c r="AA36" s="1902">
        <f t="shared" si="3"/>
        <v>1</v>
      </c>
      <c r="AB36" s="1902">
        <f t="shared" si="4"/>
        <v>1</v>
      </c>
      <c r="AC36" s="1902">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71" t="str">
        <f>A37</f>
        <v>成交单价</v>
      </c>
      <c r="Q37" s="3071"/>
      <c r="R37" s="3072">
        <f>E37</f>
        <v>0</v>
      </c>
      <c r="S37" s="3072"/>
      <c r="T37" s="3072">
        <f>G37</f>
        <v>0</v>
      </c>
      <c r="U37" s="3072"/>
      <c r="V37" s="3072">
        <f>I37</f>
        <v>0</v>
      </c>
      <c r="W37" s="3072"/>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71" t="str">
        <f>A38</f>
        <v>比较价值</v>
      </c>
      <c r="Q38" s="3071"/>
      <c r="R38" s="3072" t="e">
        <f>IF(E1="售价",ROUND(PRODUCT(R37,AA7:AA36),0),ROUND(PRODUCT(R37,AA7:AA36),1))</f>
        <v>#DIV/0!</v>
      </c>
      <c r="S38" s="3072"/>
      <c r="T38" s="3072" t="e">
        <f>IF(E1="售价",ROUND(PRODUCT(T37,AB7:AB36),0),ROUND(PRODUCT(T37,AB7:AB36),1))</f>
        <v>#DIV/0!</v>
      </c>
      <c r="U38" s="3072"/>
      <c r="V38" s="3072" t="e">
        <f>IF(E1="售价",ROUND(PRODUCT(V37,AC7:AC36),0),ROUND(PRODUCT(V37,AC7:AC36),1))</f>
        <v>#DIV/0!</v>
      </c>
      <c r="W38" s="3072"/>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77" t="str">
        <f>A39</f>
        <v>估价对象XX用房的比较价值（楼面单价，元/平方米）</v>
      </c>
      <c r="Q39" s="3078"/>
      <c r="R39" s="3079" t="e">
        <f>IF(E1="售价",ROUND(AVERAGE(R38:V38),0),ROUND(AVERAGE(R38:V38),1))</f>
        <v>#DIV/0!</v>
      </c>
      <c r="S39" s="3079"/>
      <c r="T39" s="3079"/>
      <c r="U39" s="3079"/>
      <c r="V39" s="3079"/>
      <c r="W39" s="307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8" t="str">
        <f>YEAR(C7)&amp;"-"&amp;MONTH(C7)</f>
        <v>2018-12</v>
      </c>
      <c r="D48" s="1679">
        <f>EDATE(C48,-1)</f>
        <v>43405</v>
      </c>
      <c r="E48" s="1679">
        <f t="shared" ref="E48:O48" si="16">EDATE(D48,-1)</f>
        <v>43374</v>
      </c>
      <c r="F48" s="1679">
        <f t="shared" si="16"/>
        <v>43344</v>
      </c>
      <c r="G48" s="1679">
        <f t="shared" si="16"/>
        <v>43313</v>
      </c>
      <c r="H48" s="1679">
        <f t="shared" si="16"/>
        <v>43282</v>
      </c>
      <c r="I48" s="1679">
        <f t="shared" si="16"/>
        <v>43252</v>
      </c>
      <c r="J48" s="1679">
        <f t="shared" si="16"/>
        <v>43221</v>
      </c>
      <c r="K48" s="1679">
        <f t="shared" si="16"/>
        <v>43191</v>
      </c>
      <c r="L48" s="1679">
        <f t="shared" si="16"/>
        <v>43160</v>
      </c>
      <c r="M48" s="1679">
        <f t="shared" si="16"/>
        <v>43132</v>
      </c>
      <c r="N48" s="1679">
        <f t="shared" si="16"/>
        <v>43101</v>
      </c>
      <c r="O48" s="1679">
        <f t="shared" si="16"/>
        <v>43070</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9"/>
      <c r="E1" s="2381"/>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99.8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35" t="s">
        <v>2338</v>
      </c>
      <c r="D4" s="3036"/>
      <c r="E4" s="3037" t="s">
        <v>2339</v>
      </c>
      <c r="F4" s="3038"/>
      <c r="G4" s="3035" t="s">
        <v>2340</v>
      </c>
      <c r="H4" s="3036"/>
      <c r="I4" s="3035" t="s">
        <v>2341</v>
      </c>
      <c r="J4" s="3036"/>
      <c r="K4" s="594" t="s">
        <v>2342</v>
      </c>
      <c r="L4" s="1243"/>
      <c r="M4" s="1244"/>
      <c r="N4" s="1244"/>
      <c r="O4" s="1244"/>
      <c r="P4" s="3039" t="s">
        <v>2343</v>
      </c>
      <c r="Q4" s="3040"/>
      <c r="R4" s="3045" t="s">
        <v>2339</v>
      </c>
      <c r="S4" s="3046"/>
      <c r="T4" s="3045" t="s">
        <v>2340</v>
      </c>
      <c r="U4" s="3046"/>
      <c r="V4" s="3051" t="s">
        <v>2341</v>
      </c>
      <c r="W4" s="3051"/>
      <c r="X4" s="1899"/>
      <c r="Y4" s="3045" t="s">
        <v>2343</v>
      </c>
      <c r="Z4" s="3046"/>
      <c r="AA4" s="3032" t="s">
        <v>2339</v>
      </c>
      <c r="AB4" s="3033" t="s">
        <v>2340</v>
      </c>
      <c r="AC4" s="3032" t="s">
        <v>2341</v>
      </c>
    </row>
    <row r="5" spans="1:29" ht="15">
      <c r="A5" s="383"/>
      <c r="B5" s="384"/>
      <c r="C5" s="3080" t="s">
        <v>2344</v>
      </c>
      <c r="D5" s="3055"/>
      <c r="E5" s="3081" t="s">
        <v>2345</v>
      </c>
      <c r="F5" s="3053"/>
      <c r="G5" s="3080" t="s">
        <v>2346</v>
      </c>
      <c r="H5" s="3055"/>
      <c r="I5" s="3080" t="s">
        <v>2347</v>
      </c>
      <c r="J5" s="3055"/>
      <c r="K5" s="594"/>
      <c r="L5" s="1243"/>
      <c r="M5" s="1244"/>
      <c r="N5" s="1244"/>
      <c r="O5" s="1244"/>
      <c r="P5" s="3041"/>
      <c r="Q5" s="3042"/>
      <c r="R5" s="3047"/>
      <c r="S5" s="3048"/>
      <c r="T5" s="3047"/>
      <c r="U5" s="3048"/>
      <c r="V5" s="3051"/>
      <c r="W5" s="3051"/>
      <c r="X5" s="1899"/>
      <c r="Y5" s="3047"/>
      <c r="Z5" s="3048"/>
      <c r="AA5" s="3033"/>
      <c r="AB5" s="3033"/>
      <c r="AC5" s="3033"/>
    </row>
    <row r="6" spans="1:29" ht="15.75" thickBot="1">
      <c r="A6" s="385"/>
      <c r="B6" s="386"/>
      <c r="C6" s="3056" t="s">
        <v>2348</v>
      </c>
      <c r="D6" s="3057"/>
      <c r="E6" s="3058" t="s">
        <v>2348</v>
      </c>
      <c r="F6" s="3059"/>
      <c r="G6" s="3056" t="s">
        <v>2348</v>
      </c>
      <c r="H6" s="3057"/>
      <c r="I6" s="3056" t="s">
        <v>2348</v>
      </c>
      <c r="J6" s="3057"/>
      <c r="K6" s="594" t="s">
        <v>2349</v>
      </c>
      <c r="L6" s="1243"/>
      <c r="M6" s="1244"/>
      <c r="N6" s="1244"/>
      <c r="O6" s="1244"/>
      <c r="P6" s="3043"/>
      <c r="Q6" s="3044"/>
      <c r="R6" s="3047"/>
      <c r="S6" s="3048"/>
      <c r="T6" s="3049"/>
      <c r="U6" s="3050"/>
      <c r="V6" s="3051"/>
      <c r="W6" s="3051"/>
      <c r="X6" s="1899"/>
      <c r="Y6" s="3049"/>
      <c r="Z6" s="3050"/>
      <c r="AA6" s="3034"/>
      <c r="AB6" s="3034"/>
      <c r="AC6" s="3034"/>
    </row>
    <row r="7" spans="1:29" s="35" customFormat="1" ht="15.75" thickBot="1">
      <c r="A7" s="387" t="s">
        <v>2350</v>
      </c>
      <c r="B7" s="388"/>
      <c r="C7" s="389">
        <f>'数据-取费表'!B2</f>
        <v>43439</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67" t="s">
        <v>2351</v>
      </c>
      <c r="Q7" s="3069"/>
      <c r="R7" s="749" t="s">
        <v>25</v>
      </c>
      <c r="S7" s="750">
        <f t="shared" ref="S7:S14" si="0">F7</f>
        <v>0</v>
      </c>
      <c r="T7" s="749" t="s">
        <v>25</v>
      </c>
      <c r="U7" s="750">
        <f t="shared" ref="U7:U14" si="1">H7</f>
        <v>0</v>
      </c>
      <c r="V7" s="749" t="s">
        <v>25</v>
      </c>
      <c r="W7" s="750">
        <f t="shared" ref="W7:W14" si="2">J7</f>
        <v>0</v>
      </c>
      <c r="X7" s="751"/>
      <c r="Y7" s="3067" t="s">
        <v>2351</v>
      </c>
      <c r="Z7" s="3068"/>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7" t="s">
        <v>2354</v>
      </c>
      <c r="Q8" s="3068"/>
      <c r="R8" s="749" t="s">
        <v>25</v>
      </c>
      <c r="S8" s="750">
        <f t="shared" si="0"/>
        <v>0</v>
      </c>
      <c r="T8" s="749" t="s">
        <v>25</v>
      </c>
      <c r="U8" s="750">
        <f t="shared" si="1"/>
        <v>0</v>
      </c>
      <c r="V8" s="749" t="s">
        <v>25</v>
      </c>
      <c r="W8" s="750">
        <f t="shared" si="2"/>
        <v>0</v>
      </c>
      <c r="X8" s="751"/>
      <c r="Y8" s="3067" t="s">
        <v>2354</v>
      </c>
      <c r="Z8" s="3068"/>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1" t="s">
        <v>2357</v>
      </c>
      <c r="Q9" s="1886" t="str">
        <f t="shared" ref="Q9:Q14" si="6">B9</f>
        <v>用途</v>
      </c>
      <c r="R9" s="749" t="s">
        <v>25</v>
      </c>
      <c r="S9" s="750">
        <f t="shared" si="0"/>
        <v>100</v>
      </c>
      <c r="T9" s="749" t="s">
        <v>25</v>
      </c>
      <c r="U9" s="750">
        <f t="shared" si="1"/>
        <v>100</v>
      </c>
      <c r="V9" s="749" t="s">
        <v>25</v>
      </c>
      <c r="W9" s="750">
        <f t="shared" si="2"/>
        <v>100</v>
      </c>
      <c r="X9" s="751"/>
      <c r="Y9" s="2883"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1"/>
      <c r="Q10" s="1886"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1"/>
      <c r="Q11" s="1886">
        <f t="shared" si="6"/>
        <v>111</v>
      </c>
      <c r="R11" s="749" t="s">
        <v>25</v>
      </c>
      <c r="S11" s="750">
        <f t="shared" si="0"/>
        <v>100</v>
      </c>
      <c r="T11" s="749" t="s">
        <v>25</v>
      </c>
      <c r="U11" s="750">
        <f t="shared" si="1"/>
        <v>100</v>
      </c>
      <c r="V11" s="749" t="s">
        <v>25</v>
      </c>
      <c r="W11" s="750">
        <f t="shared" si="2"/>
        <v>100</v>
      </c>
      <c r="X11" s="751"/>
      <c r="Y11" s="2883"/>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1"/>
      <c r="Q12" s="1886">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1"/>
      <c r="Q13" s="1886">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28.25">
      <c r="A14" s="419" t="s">
        <v>2361</v>
      </c>
      <c r="B14" s="26" t="s">
        <v>2505</v>
      </c>
      <c r="C14" s="2476" t="str">
        <f>IF(B1="工业",估价对象房地状况!G4,估价对象房地状况!C6)</f>
        <v>临近城市高速路——京藏高速，周边有专43号、专89号、307号、345号、355号路等多条公交线路及地铁8号线（永泰站），交通状况较好。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0" t="s">
        <v>2362</v>
      </c>
      <c r="Q14" s="1898" t="str">
        <f t="shared" si="6"/>
        <v>交通便捷度</v>
      </c>
      <c r="R14" s="753" t="s">
        <v>25</v>
      </c>
      <c r="S14" s="754">
        <f t="shared" si="0"/>
        <v>100</v>
      </c>
      <c r="T14" s="753" t="s">
        <v>25</v>
      </c>
      <c r="U14" s="754">
        <f t="shared" si="1"/>
        <v>100</v>
      </c>
      <c r="V14" s="753" t="s">
        <v>25</v>
      </c>
      <c r="W14" s="754">
        <f t="shared" si="2"/>
        <v>100</v>
      </c>
      <c r="X14" s="1899"/>
      <c r="Y14" s="3060" t="s">
        <v>2362</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61"/>
      <c r="Q15" s="1898"/>
      <c r="R15" s="753"/>
      <c r="S15" s="754"/>
      <c r="T15" s="753"/>
      <c r="U15" s="754"/>
      <c r="V15" s="753"/>
      <c r="W15" s="754"/>
      <c r="X15" s="1899"/>
      <c r="Y15" s="3061"/>
      <c r="Z15" s="1901"/>
      <c r="AA15" s="1902">
        <v>1</v>
      </c>
      <c r="AB15" s="1902">
        <v>1</v>
      </c>
      <c r="AC15" s="1902">
        <v>1</v>
      </c>
    </row>
    <row r="16" spans="1:29" ht="370.5">
      <c r="A16" s="408"/>
      <c r="B16" s="615" t="s">
        <v>2477</v>
      </c>
      <c r="C16" s="2404" t="str">
        <f>IF(B1="工业",估价对象房地状况!G5,估价对象房地状况!C7)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1"/>
      <c r="Q16" s="1898" t="str">
        <f>B16</f>
        <v>公共配套设施</v>
      </c>
      <c r="R16" s="753" t="s">
        <v>25</v>
      </c>
      <c r="S16" s="754">
        <f>F16</f>
        <v>100</v>
      </c>
      <c r="T16" s="753" t="s">
        <v>25</v>
      </c>
      <c r="U16" s="754">
        <f>H16</f>
        <v>100</v>
      </c>
      <c r="V16" s="753" t="s">
        <v>25</v>
      </c>
      <c r="W16" s="754">
        <f>J16</f>
        <v>100</v>
      </c>
      <c r="X16" s="1899"/>
      <c r="Y16" s="306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61"/>
      <c r="Q17" s="1898"/>
      <c r="R17" s="753"/>
      <c r="S17" s="754"/>
      <c r="T17" s="753"/>
      <c r="U17" s="754"/>
      <c r="V17" s="753"/>
      <c r="W17" s="754"/>
      <c r="X17" s="1899"/>
      <c r="Y17" s="3061"/>
      <c r="Z17" s="1901"/>
      <c r="AA17" s="1902">
        <v>1</v>
      </c>
      <c r="AB17" s="1902">
        <v>1</v>
      </c>
      <c r="AC17" s="1902">
        <v>1</v>
      </c>
    </row>
    <row r="18" spans="1:29" ht="15">
      <c r="A18" s="408"/>
      <c r="B18" s="617" t="s">
        <v>2478</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1"/>
      <c r="Q18" s="1898" t="str">
        <f>B18</f>
        <v>基础设施水平</v>
      </c>
      <c r="R18" s="753" t="s">
        <v>25</v>
      </c>
      <c r="S18" s="754">
        <f>F18</f>
        <v>100</v>
      </c>
      <c r="T18" s="753" t="s">
        <v>25</v>
      </c>
      <c r="U18" s="754">
        <f>H18</f>
        <v>100</v>
      </c>
      <c r="V18" s="753" t="s">
        <v>25</v>
      </c>
      <c r="W18" s="754">
        <f>J18</f>
        <v>100</v>
      </c>
      <c r="X18" s="1899"/>
      <c r="Y18" s="306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9"/>
      <c r="L19" s="1253"/>
      <c r="M19" s="1244"/>
      <c r="N19" s="1244"/>
      <c r="O19" s="1252"/>
      <c r="P19" s="3061"/>
      <c r="Q19" s="1898"/>
      <c r="R19" s="753"/>
      <c r="S19" s="754"/>
      <c r="T19" s="753"/>
      <c r="U19" s="754"/>
      <c r="V19" s="753"/>
      <c r="W19" s="754"/>
      <c r="X19" s="1899"/>
      <c r="Y19" s="3061"/>
      <c r="Z19" s="1901"/>
      <c r="AA19" s="1902">
        <v>1</v>
      </c>
      <c r="AB19" s="1902">
        <v>1</v>
      </c>
      <c r="AC19" s="1902">
        <v>1</v>
      </c>
    </row>
    <row r="20" spans="1:29" ht="128.25">
      <c r="A20" s="408"/>
      <c r="B20" s="431" t="s">
        <v>2506</v>
      </c>
      <c r="C20" s="2404" t="str">
        <f>IF(B1="工业",估价对象房地状况!G7,估价对象房地状况!C9)</f>
        <v>区域自然环境：清河、奥林匹克森林公园、西三旗公园；人文环境：北京信息科技大学（清河小营校区）；综合评价环境状况较好。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1"/>
      <c r="Q20" s="1898" t="str">
        <f>B20</f>
        <v>自然及人文环境</v>
      </c>
      <c r="R20" s="753" t="s">
        <v>25</v>
      </c>
      <c r="S20" s="754">
        <f>F20</f>
        <v>100</v>
      </c>
      <c r="T20" s="753" t="s">
        <v>25</v>
      </c>
      <c r="U20" s="754">
        <f>H20</f>
        <v>100</v>
      </c>
      <c r="V20" s="753" t="s">
        <v>25</v>
      </c>
      <c r="W20" s="754">
        <f>J20</f>
        <v>100</v>
      </c>
      <c r="X20" s="1899"/>
      <c r="Y20" s="306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61"/>
      <c r="Q21" s="1898"/>
      <c r="R21" s="753"/>
      <c r="S21" s="754"/>
      <c r="T21" s="753"/>
      <c r="U21" s="754"/>
      <c r="V21" s="753"/>
      <c r="W21" s="754"/>
      <c r="X21" s="1899"/>
      <c r="Y21" s="3061"/>
      <c r="Z21" s="1901"/>
      <c r="AA21" s="1902">
        <v>1</v>
      </c>
      <c r="AB21" s="1902">
        <v>1</v>
      </c>
      <c r="AC21" s="1902">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1"/>
      <c r="Q22" s="1898" t="str">
        <f>B22</f>
        <v>楼层</v>
      </c>
      <c r="R22" s="753" t="s">
        <v>25</v>
      </c>
      <c r="S22" s="754">
        <f>F22</f>
        <v>100</v>
      </c>
      <c r="T22" s="753" t="s">
        <v>25</v>
      </c>
      <c r="U22" s="754">
        <f>H22</f>
        <v>100</v>
      </c>
      <c r="V22" s="753" t="s">
        <v>25</v>
      </c>
      <c r="W22" s="754">
        <f>J22</f>
        <v>100</v>
      </c>
      <c r="X22" s="1899"/>
      <c r="Y22" s="3061"/>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1"/>
      <c r="Q23" s="1898">
        <f>B23</f>
        <v>111</v>
      </c>
      <c r="R23" s="753" t="s">
        <v>25</v>
      </c>
      <c r="S23" s="754">
        <f>F23</f>
        <v>100</v>
      </c>
      <c r="T23" s="753" t="s">
        <v>25</v>
      </c>
      <c r="U23" s="754">
        <f>H23</f>
        <v>100</v>
      </c>
      <c r="V23" s="753" t="s">
        <v>25</v>
      </c>
      <c r="W23" s="754">
        <f>J23</f>
        <v>100</v>
      </c>
      <c r="X23" s="1899"/>
      <c r="Y23" s="3061"/>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1"/>
      <c r="Q24" s="1898">
        <f t="shared" ref="Q24:Q34" si="11">B24</f>
        <v>111</v>
      </c>
      <c r="R24" s="753" t="s">
        <v>25</v>
      </c>
      <c r="S24" s="754">
        <f>F24</f>
        <v>100</v>
      </c>
      <c r="T24" s="753" t="s">
        <v>25</v>
      </c>
      <c r="U24" s="754">
        <f>H24</f>
        <v>100</v>
      </c>
      <c r="V24" s="753" t="s">
        <v>25</v>
      </c>
      <c r="W24" s="754">
        <f>J24</f>
        <v>100</v>
      </c>
      <c r="X24" s="1899"/>
      <c r="Y24" s="3061"/>
      <c r="Z24" s="1901">
        <f>Q24</f>
        <v>111</v>
      </c>
      <c r="AA24" s="1902">
        <f t="shared" si="3"/>
        <v>1</v>
      </c>
      <c r="AB24" s="1902">
        <f t="shared" si="4"/>
        <v>1</v>
      </c>
      <c r="AC24" s="1902">
        <f t="shared" si="5"/>
        <v>1</v>
      </c>
    </row>
    <row r="25" spans="1:29" s="35" customFormat="1" ht="15.75" thickBot="1">
      <c r="A25" s="411"/>
      <c r="B25" s="2397">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61"/>
      <c r="Q25" s="1886">
        <f t="shared" si="11"/>
        <v>111</v>
      </c>
      <c r="R25" s="749" t="s">
        <v>25</v>
      </c>
      <c r="S25" s="750">
        <f>F25</f>
        <v>100</v>
      </c>
      <c r="T25" s="749" t="s">
        <v>25</v>
      </c>
      <c r="U25" s="750">
        <f>H25</f>
        <v>100</v>
      </c>
      <c r="V25" s="749" t="s">
        <v>25</v>
      </c>
      <c r="W25" s="750">
        <f>J25</f>
        <v>100</v>
      </c>
      <c r="X25" s="751"/>
      <c r="Y25" s="3061"/>
      <c r="Z25" s="23">
        <f>Q25</f>
        <v>111</v>
      </c>
      <c r="AA25" s="1902">
        <f>D25/F25</f>
        <v>1</v>
      </c>
      <c r="AB25" s="1902">
        <f>D25/H25</f>
        <v>1</v>
      </c>
      <c r="AC25" s="1902">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89" t="s">
        <v>2368</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65" t="s">
        <v>2368</v>
      </c>
      <c r="Z26" s="1901" t="str">
        <f t="shared" ref="Z26:Z34" si="15">Q26</f>
        <v>公共部分装修</v>
      </c>
      <c r="AA26" s="1902">
        <f t="shared" si="3"/>
        <v>1</v>
      </c>
      <c r="AB26" s="1902">
        <f t="shared" si="4"/>
        <v>1</v>
      </c>
      <c r="AC26" s="1902">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5"/>
      <c r="Q27" s="755" t="str">
        <f t="shared" si="11"/>
        <v>成新率</v>
      </c>
      <c r="R27" s="756" t="s">
        <v>25</v>
      </c>
      <c r="S27" s="757" t="e">
        <f t="shared" si="12"/>
        <v>#N/A</v>
      </c>
      <c r="T27" s="756" t="s">
        <v>25</v>
      </c>
      <c r="U27" s="757" t="e">
        <f t="shared" si="13"/>
        <v>#N/A</v>
      </c>
      <c r="V27" s="756" t="s">
        <v>25</v>
      </c>
      <c r="W27" s="757" t="e">
        <f t="shared" si="14"/>
        <v>#N/A</v>
      </c>
      <c r="X27" s="758"/>
      <c r="Y27" s="3065"/>
      <c r="Z27" s="759" t="str">
        <f t="shared" si="15"/>
        <v>成新率</v>
      </c>
      <c r="AA27" s="1902" t="e">
        <f t="shared" si="3"/>
        <v>#N/A</v>
      </c>
      <c r="AB27" s="1902" t="e">
        <f t="shared" si="4"/>
        <v>#N/A</v>
      </c>
      <c r="AC27" s="1902"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5"/>
      <c r="Q28" s="1898" t="str">
        <f t="shared" si="11"/>
        <v>物业等级</v>
      </c>
      <c r="R28" s="753" t="s">
        <v>25</v>
      </c>
      <c r="S28" s="754">
        <f t="shared" si="12"/>
        <v>100</v>
      </c>
      <c r="T28" s="753" t="s">
        <v>25</v>
      </c>
      <c r="U28" s="754">
        <f t="shared" si="13"/>
        <v>100</v>
      </c>
      <c r="V28" s="753" t="s">
        <v>25</v>
      </c>
      <c r="W28" s="754">
        <f t="shared" si="14"/>
        <v>100</v>
      </c>
      <c r="X28" s="1899"/>
      <c r="Y28" s="3065"/>
      <c r="Z28" s="1901" t="str">
        <f t="shared" si="15"/>
        <v>物业等级</v>
      </c>
      <c r="AA28" s="1902">
        <f t="shared" si="3"/>
        <v>1</v>
      </c>
      <c r="AB28" s="1902">
        <f t="shared" si="4"/>
        <v>1</v>
      </c>
      <c r="AC28" s="1902">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5"/>
      <c r="Q29" s="1898" t="str">
        <f t="shared" si="11"/>
        <v>有无电梯</v>
      </c>
      <c r="R29" s="753" t="s">
        <v>25</v>
      </c>
      <c r="S29" s="754">
        <f t="shared" si="12"/>
        <v>100</v>
      </c>
      <c r="T29" s="753" t="s">
        <v>25</v>
      </c>
      <c r="U29" s="754">
        <f t="shared" si="13"/>
        <v>100</v>
      </c>
      <c r="V29" s="753" t="s">
        <v>25</v>
      </c>
      <c r="W29" s="754">
        <f t="shared" si="14"/>
        <v>100</v>
      </c>
      <c r="X29" s="1899"/>
      <c r="Y29" s="3065"/>
      <c r="Z29" s="1901" t="str">
        <f t="shared" si="15"/>
        <v>有无电梯</v>
      </c>
      <c r="AA29" s="1902">
        <f t="shared" si="3"/>
        <v>1</v>
      </c>
      <c r="AB29" s="1902">
        <f t="shared" si="4"/>
        <v>1</v>
      </c>
      <c r="AC29" s="1902">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5"/>
      <c r="Q30" s="1898" t="str">
        <f t="shared" si="11"/>
        <v>建筑面积</v>
      </c>
      <c r="R30" s="753" t="s">
        <v>25</v>
      </c>
      <c r="S30" s="754" t="e">
        <f t="shared" si="12"/>
        <v>#N/A</v>
      </c>
      <c r="T30" s="753" t="s">
        <v>25</v>
      </c>
      <c r="U30" s="754" t="e">
        <f t="shared" si="13"/>
        <v>#N/A</v>
      </c>
      <c r="V30" s="753" t="s">
        <v>25</v>
      </c>
      <c r="W30" s="754" t="e">
        <f t="shared" si="14"/>
        <v>#N/A</v>
      </c>
      <c r="X30" s="1899"/>
      <c r="Y30" s="3065"/>
      <c r="Z30" s="1901" t="str">
        <f t="shared" si="15"/>
        <v>建筑面积</v>
      </c>
      <c r="AA30" s="1902" t="e">
        <f t="shared" si="3"/>
        <v>#N/A</v>
      </c>
      <c r="AB30" s="1902" t="e">
        <f t="shared" si="4"/>
        <v>#N/A</v>
      </c>
      <c r="AC30" s="1902"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5"/>
      <c r="Q31" s="1886" t="str">
        <f t="shared" si="11"/>
        <v>是否封闭</v>
      </c>
      <c r="R31" s="749" t="s">
        <v>25</v>
      </c>
      <c r="S31" s="750">
        <f t="shared" si="12"/>
        <v>100</v>
      </c>
      <c r="T31" s="749" t="s">
        <v>25</v>
      </c>
      <c r="U31" s="750">
        <f t="shared" si="13"/>
        <v>100</v>
      </c>
      <c r="V31" s="749" t="s">
        <v>25</v>
      </c>
      <c r="W31" s="750">
        <f t="shared" si="14"/>
        <v>100</v>
      </c>
      <c r="X31" s="751"/>
      <c r="Y31" s="3065"/>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5" t="s">
        <v>2368</v>
      </c>
      <c r="Q32" s="1898">
        <f t="shared" si="11"/>
        <v>111</v>
      </c>
      <c r="R32" s="753" t="s">
        <v>25</v>
      </c>
      <c r="S32" s="754">
        <f t="shared" si="12"/>
        <v>100</v>
      </c>
      <c r="T32" s="753" t="s">
        <v>25</v>
      </c>
      <c r="U32" s="754">
        <f t="shared" si="13"/>
        <v>100</v>
      </c>
      <c r="V32" s="753" t="s">
        <v>25</v>
      </c>
      <c r="W32" s="754">
        <f t="shared" si="14"/>
        <v>100</v>
      </c>
      <c r="X32" s="1899"/>
      <c r="Y32" s="3065" t="s">
        <v>2368</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5"/>
      <c r="Q33" s="1898">
        <f t="shared" si="11"/>
        <v>111</v>
      </c>
      <c r="R33" s="753" t="s">
        <v>25</v>
      </c>
      <c r="S33" s="754">
        <f t="shared" si="12"/>
        <v>100</v>
      </c>
      <c r="T33" s="753" t="s">
        <v>25</v>
      </c>
      <c r="U33" s="754">
        <f t="shared" si="13"/>
        <v>100</v>
      </c>
      <c r="V33" s="753" t="s">
        <v>25</v>
      </c>
      <c r="W33" s="754">
        <f t="shared" si="14"/>
        <v>100</v>
      </c>
      <c r="X33" s="1899"/>
      <c r="Y33" s="3065"/>
      <c r="Z33" s="1901">
        <f t="shared" si="15"/>
        <v>111</v>
      </c>
      <c r="AA33" s="1902">
        <f t="shared" si="3"/>
        <v>1</v>
      </c>
      <c r="AB33" s="1902">
        <f t="shared" si="4"/>
        <v>1</v>
      </c>
      <c r="AC33" s="1902">
        <f t="shared" si="5"/>
        <v>1</v>
      </c>
    </row>
    <row r="34" spans="1:29" ht="15.75" thickBot="1">
      <c r="A34" s="459"/>
      <c r="B34" s="2399">
        <v>111</v>
      </c>
      <c r="C34" s="2400"/>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65"/>
      <c r="Q34" s="1898">
        <f t="shared" si="11"/>
        <v>111</v>
      </c>
      <c r="R34" s="753" t="s">
        <v>25</v>
      </c>
      <c r="S34" s="754">
        <f t="shared" si="12"/>
        <v>100</v>
      </c>
      <c r="T34" s="753" t="s">
        <v>25</v>
      </c>
      <c r="U34" s="754">
        <f t="shared" si="13"/>
        <v>100</v>
      </c>
      <c r="V34" s="753" t="s">
        <v>25</v>
      </c>
      <c r="W34" s="754">
        <f t="shared" si="14"/>
        <v>100</v>
      </c>
      <c r="X34" s="1899"/>
      <c r="Y34" s="3065"/>
      <c r="Z34" s="1901">
        <f t="shared" si="15"/>
        <v>111</v>
      </c>
      <c r="AA34" s="1902">
        <f t="shared" si="3"/>
        <v>1</v>
      </c>
      <c r="AB34" s="1902">
        <f t="shared" si="4"/>
        <v>1</v>
      </c>
      <c r="AC34" s="1902">
        <f t="shared" si="5"/>
        <v>1</v>
      </c>
    </row>
    <row r="35" spans="1:29" ht="15">
      <c r="A35" s="460" t="s">
        <v>2380</v>
      </c>
      <c r="B35" s="461"/>
      <c r="C35" s="1502" t="s">
        <v>1</v>
      </c>
      <c r="D35" s="1503"/>
      <c r="E35" s="1504"/>
      <c r="F35" s="1505"/>
      <c r="G35" s="1506"/>
      <c r="H35" s="1507"/>
      <c r="I35" s="1504"/>
      <c r="J35" s="1507"/>
      <c r="K35" s="762"/>
      <c r="L35" s="1256"/>
      <c r="M35" s="1257"/>
      <c r="N35" s="1244"/>
      <c r="O35" s="1257"/>
      <c r="P35" s="3071" t="str">
        <f>A35</f>
        <v>成交单价（元/平方米）</v>
      </c>
      <c r="Q35" s="3071"/>
      <c r="R35" s="3072">
        <f>E35</f>
        <v>0</v>
      </c>
      <c r="S35" s="3072"/>
      <c r="T35" s="3072">
        <f>G35</f>
        <v>0</v>
      </c>
      <c r="U35" s="3072"/>
      <c r="V35" s="3072">
        <f>I35</f>
        <v>0</v>
      </c>
      <c r="W35" s="3072"/>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71" t="str">
        <f>A36</f>
        <v>比较价值（元/平方米）</v>
      </c>
      <c r="Q36" s="3071"/>
      <c r="R36" s="3072" t="e">
        <f>IF(E1="售价",ROUND(PRODUCT(R35,AA7:AA34),0),ROUND(PRODUCT(R35,AA7:AA34),1))</f>
        <v>#DIV/0!</v>
      </c>
      <c r="S36" s="3072"/>
      <c r="T36" s="3072" t="e">
        <f>IF(E1="售价",ROUND(PRODUCT(T35,AB7:AB34),0),ROUND(PRODUCT(T35,AB7:AB34),1))</f>
        <v>#DIV/0!</v>
      </c>
      <c r="U36" s="3072"/>
      <c r="V36" s="3072" t="e">
        <f>IF(E1="售价",ROUND(PRODUCT(V35,AC7:AC34),0),ROUND(PRODUCT(V35,AC7:AC34),1))</f>
        <v>#DIV/0!</v>
      </c>
      <c r="W36" s="3072"/>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77" t="str">
        <f>A37</f>
        <v>估价对象XX用房的比较价值（楼面单价，元/平方米）</v>
      </c>
      <c r="Q37" s="3078"/>
      <c r="R37" s="3079" t="e">
        <f>IF(E1="售价",ROUND(AVERAGE(R36:V36),0),ROUND(AVERAGE(R36:V36),1))</f>
        <v>#DIV/0!</v>
      </c>
      <c r="S37" s="3079"/>
      <c r="T37" s="3079"/>
      <c r="U37" s="3079"/>
      <c r="V37" s="3079"/>
      <c r="W37" s="307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8" t="str">
        <f>YEAR(C7)&amp;"-"&amp;MONTH(C7)</f>
        <v>2018-12</v>
      </c>
      <c r="D46" s="1679">
        <f>EDATE(C46,-1)</f>
        <v>43405</v>
      </c>
      <c r="E46" s="1679">
        <f t="shared" ref="E46:O46" si="16">EDATE(D46,-1)</f>
        <v>43374</v>
      </c>
      <c r="F46" s="1679">
        <f t="shared" si="16"/>
        <v>43344</v>
      </c>
      <c r="G46" s="1679">
        <f t="shared" si="16"/>
        <v>43313</v>
      </c>
      <c r="H46" s="1679">
        <f t="shared" si="16"/>
        <v>43282</v>
      </c>
      <c r="I46" s="1679">
        <f t="shared" si="16"/>
        <v>43252</v>
      </c>
      <c r="J46" s="1679">
        <f t="shared" si="16"/>
        <v>43221</v>
      </c>
      <c r="K46" s="1679">
        <f t="shared" si="16"/>
        <v>43191</v>
      </c>
      <c r="L46" s="1679">
        <f t="shared" si="16"/>
        <v>43160</v>
      </c>
      <c r="M46" s="1679">
        <f t="shared" si="16"/>
        <v>43132</v>
      </c>
      <c r="N46" s="1679">
        <f t="shared" si="16"/>
        <v>43101</v>
      </c>
      <c r="O46" s="1679">
        <f t="shared" si="16"/>
        <v>43070</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35" t="s">
        <v>2338</v>
      </c>
      <c r="D4" s="3036"/>
      <c r="E4" s="3037" t="s">
        <v>2339</v>
      </c>
      <c r="F4" s="3038"/>
      <c r="G4" s="3035" t="s">
        <v>2340</v>
      </c>
      <c r="H4" s="3036"/>
      <c r="I4" s="3035" t="s">
        <v>2341</v>
      </c>
      <c r="J4" s="3036"/>
      <c r="K4" s="594" t="s">
        <v>2342</v>
      </c>
      <c r="L4" s="1243"/>
      <c r="M4" s="1244"/>
      <c r="N4" s="1244"/>
      <c r="O4" s="1244"/>
      <c r="P4" s="3039" t="s">
        <v>2343</v>
      </c>
      <c r="Q4" s="3040"/>
      <c r="R4" s="3045" t="s">
        <v>2339</v>
      </c>
      <c r="S4" s="3046"/>
      <c r="T4" s="3045" t="s">
        <v>2340</v>
      </c>
      <c r="U4" s="3046"/>
      <c r="V4" s="3051" t="s">
        <v>2341</v>
      </c>
      <c r="W4" s="3051"/>
      <c r="X4" s="1899"/>
      <c r="Y4" s="3045" t="s">
        <v>2343</v>
      </c>
      <c r="Z4" s="3046"/>
      <c r="AA4" s="3032" t="s">
        <v>2339</v>
      </c>
      <c r="AB4" s="3033" t="s">
        <v>2340</v>
      </c>
      <c r="AC4" s="3032" t="s">
        <v>2341</v>
      </c>
    </row>
    <row r="5" spans="1:30" ht="15">
      <c r="A5" s="383"/>
      <c r="B5" s="384"/>
      <c r="C5" s="3080" t="s">
        <v>2344</v>
      </c>
      <c r="D5" s="3055"/>
      <c r="E5" s="3081" t="s">
        <v>2345</v>
      </c>
      <c r="F5" s="3053"/>
      <c r="G5" s="3080" t="s">
        <v>2346</v>
      </c>
      <c r="H5" s="3055"/>
      <c r="I5" s="3080" t="s">
        <v>2347</v>
      </c>
      <c r="J5" s="3055"/>
      <c r="K5" s="594"/>
      <c r="L5" s="1243"/>
      <c r="M5" s="1244"/>
      <c r="N5" s="1244"/>
      <c r="O5" s="1244"/>
      <c r="P5" s="3041"/>
      <c r="Q5" s="3042"/>
      <c r="R5" s="3047"/>
      <c r="S5" s="3048"/>
      <c r="T5" s="3047"/>
      <c r="U5" s="3048"/>
      <c r="V5" s="3051"/>
      <c r="W5" s="3051"/>
      <c r="X5" s="1899"/>
      <c r="Y5" s="3047"/>
      <c r="Z5" s="3048"/>
      <c r="AA5" s="3033"/>
      <c r="AB5" s="3033"/>
      <c r="AC5" s="3033"/>
    </row>
    <row r="6" spans="1:30" ht="15.75" thickBot="1">
      <c r="A6" s="385"/>
      <c r="B6" s="386"/>
      <c r="C6" s="3056" t="s">
        <v>2348</v>
      </c>
      <c r="D6" s="3057"/>
      <c r="E6" s="3058" t="s">
        <v>2348</v>
      </c>
      <c r="F6" s="3059"/>
      <c r="G6" s="3056" t="s">
        <v>2348</v>
      </c>
      <c r="H6" s="3057"/>
      <c r="I6" s="3056" t="s">
        <v>2348</v>
      </c>
      <c r="J6" s="3057"/>
      <c r="K6" s="594" t="s">
        <v>2349</v>
      </c>
      <c r="L6" s="1243"/>
      <c r="M6" s="1244"/>
      <c r="N6" s="1244"/>
      <c r="O6" s="1244"/>
      <c r="P6" s="3043"/>
      <c r="Q6" s="3044"/>
      <c r="R6" s="3047"/>
      <c r="S6" s="3048"/>
      <c r="T6" s="3049"/>
      <c r="U6" s="3050"/>
      <c r="V6" s="3051"/>
      <c r="W6" s="3051"/>
      <c r="X6" s="1899"/>
      <c r="Y6" s="3049"/>
      <c r="Z6" s="3050"/>
      <c r="AA6" s="3034"/>
      <c r="AB6" s="3034"/>
      <c r="AC6" s="3034"/>
    </row>
    <row r="7" spans="1:30" s="35" customFormat="1" ht="15.75" thickBot="1">
      <c r="A7" s="387" t="s">
        <v>2350</v>
      </c>
      <c r="B7" s="388"/>
      <c r="C7" s="389">
        <f>'数据-取费表'!B2</f>
        <v>43439</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67" t="s">
        <v>2351</v>
      </c>
      <c r="Q7" s="3069"/>
      <c r="R7" s="749" t="s">
        <v>25</v>
      </c>
      <c r="S7" s="750">
        <f t="shared" ref="S7:S15" si="0">F7</f>
        <v>0</v>
      </c>
      <c r="T7" s="749" t="s">
        <v>25</v>
      </c>
      <c r="U7" s="750">
        <f t="shared" ref="U7:U15" si="1">H7</f>
        <v>0</v>
      </c>
      <c r="V7" s="749" t="s">
        <v>25</v>
      </c>
      <c r="W7" s="750">
        <f t="shared" ref="W7:W15" si="2">J7</f>
        <v>0</v>
      </c>
      <c r="X7" s="751"/>
      <c r="Y7" s="3067" t="s">
        <v>2351</v>
      </c>
      <c r="Z7" s="3068"/>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7" t="s">
        <v>2354</v>
      </c>
      <c r="Q8" s="3068"/>
      <c r="R8" s="749" t="s">
        <v>25</v>
      </c>
      <c r="S8" s="750">
        <f t="shared" si="0"/>
        <v>0</v>
      </c>
      <c r="T8" s="749" t="s">
        <v>25</v>
      </c>
      <c r="U8" s="750">
        <f t="shared" si="1"/>
        <v>0</v>
      </c>
      <c r="V8" s="749" t="s">
        <v>25</v>
      </c>
      <c r="W8" s="750">
        <f t="shared" si="2"/>
        <v>0</v>
      </c>
      <c r="X8" s="751"/>
      <c r="Y8" s="3067" t="s">
        <v>2354</v>
      </c>
      <c r="Z8" s="3068"/>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71" t="s">
        <v>2357</v>
      </c>
      <c r="Q9" s="1886" t="str">
        <f t="shared" ref="Q9:Q15" si="6">B9</f>
        <v>用途</v>
      </c>
      <c r="R9" s="749" t="s">
        <v>25</v>
      </c>
      <c r="S9" s="750">
        <f t="shared" si="0"/>
        <v>100</v>
      </c>
      <c r="T9" s="749" t="s">
        <v>25</v>
      </c>
      <c r="U9" s="750">
        <f t="shared" si="1"/>
        <v>100</v>
      </c>
      <c r="V9" s="749" t="s">
        <v>25</v>
      </c>
      <c r="W9" s="750">
        <f t="shared" si="2"/>
        <v>100</v>
      </c>
      <c r="X9" s="751"/>
      <c r="Y9" s="2883"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71"/>
      <c r="Q10" s="1886"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1"/>
      <c r="Q11" s="1886"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30" s="35" customFormat="1" ht="15">
      <c r="A12" s="411"/>
      <c r="B12" s="2397"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1"/>
      <c r="Q12" s="1886" t="str">
        <f t="shared" si="6"/>
        <v>配建</v>
      </c>
      <c r="R12" s="749" t="s">
        <v>25</v>
      </c>
      <c r="S12" s="750">
        <f t="shared" si="0"/>
        <v>100</v>
      </c>
      <c r="T12" s="749" t="s">
        <v>25</v>
      </c>
      <c r="U12" s="750">
        <f t="shared" si="1"/>
        <v>100</v>
      </c>
      <c r="V12" s="749" t="s">
        <v>25</v>
      </c>
      <c r="W12" s="750">
        <f t="shared" si="2"/>
        <v>100</v>
      </c>
      <c r="X12" s="751"/>
      <c r="Y12" s="2883"/>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1"/>
      <c r="Q13" s="1886">
        <f t="shared" si="6"/>
        <v>111</v>
      </c>
      <c r="R13" s="749" t="s">
        <v>25</v>
      </c>
      <c r="S13" s="750">
        <f t="shared" si="0"/>
        <v>100</v>
      </c>
      <c r="T13" s="749" t="s">
        <v>25</v>
      </c>
      <c r="U13" s="750">
        <f t="shared" si="1"/>
        <v>100</v>
      </c>
      <c r="V13" s="749" t="s">
        <v>25</v>
      </c>
      <c r="W13" s="750">
        <f t="shared" si="2"/>
        <v>100</v>
      </c>
      <c r="X13" s="751"/>
      <c r="Y13" s="2883"/>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1"/>
      <c r="Q14" s="1886">
        <f t="shared" si="6"/>
        <v>111</v>
      </c>
      <c r="R14" s="749" t="s">
        <v>25</v>
      </c>
      <c r="S14" s="750">
        <f t="shared" si="0"/>
        <v>100</v>
      </c>
      <c r="T14" s="749" t="s">
        <v>25</v>
      </c>
      <c r="U14" s="750">
        <f t="shared" si="1"/>
        <v>100</v>
      </c>
      <c r="V14" s="749" t="s">
        <v>25</v>
      </c>
      <c r="W14" s="750">
        <f t="shared" si="2"/>
        <v>100</v>
      </c>
      <c r="X14" s="751"/>
      <c r="Y14" s="2883"/>
      <c r="Z14" s="23">
        <f t="shared" si="7"/>
        <v>111</v>
      </c>
      <c r="AA14" s="752">
        <f>D14/F14</f>
        <v>1</v>
      </c>
      <c r="AB14" s="752">
        <f>D14/H14</f>
        <v>1</v>
      </c>
      <c r="AC14" s="752">
        <f>D14/J14</f>
        <v>1</v>
      </c>
    </row>
    <row r="15" spans="1:30" ht="85.5">
      <c r="A15" s="380" t="s">
        <v>2361</v>
      </c>
      <c r="B15" s="1487" t="s">
        <v>1739</v>
      </c>
      <c r="C15" s="2464" t="str">
        <f>估价对象房地状况!C15</f>
        <v>周边有清润家园、水木天成、永泰园、清缘里中区、永泰东里等居住社区成熟度较好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0" t="s">
        <v>2362</v>
      </c>
      <c r="Q15" s="1898" t="str">
        <f t="shared" si="6"/>
        <v>居住社区成熟度</v>
      </c>
      <c r="R15" s="753" t="s">
        <v>25</v>
      </c>
      <c r="S15" s="754">
        <f t="shared" si="0"/>
        <v>100</v>
      </c>
      <c r="T15" s="753" t="s">
        <v>25</v>
      </c>
      <c r="U15" s="754">
        <f t="shared" si="1"/>
        <v>100</v>
      </c>
      <c r="V15" s="753" t="s">
        <v>25</v>
      </c>
      <c r="W15" s="754">
        <f t="shared" si="2"/>
        <v>100</v>
      </c>
      <c r="X15" s="1899"/>
      <c r="Y15" s="3060" t="s">
        <v>2362</v>
      </c>
      <c r="Z15" s="1901" t="str">
        <f t="shared" si="7"/>
        <v>居住社区成熟度</v>
      </c>
      <c r="AA15" s="1902">
        <f t="shared" si="3"/>
        <v>1</v>
      </c>
      <c r="AB15" s="1902">
        <f t="shared" si="4"/>
        <v>1</v>
      </c>
      <c r="AC15" s="1902">
        <f t="shared" si="5"/>
        <v>1</v>
      </c>
    </row>
    <row r="16" spans="1:30" ht="15">
      <c r="A16" s="383"/>
      <c r="B16" s="1488"/>
      <c r="C16" s="1472"/>
      <c r="D16" s="427"/>
      <c r="E16" s="428"/>
      <c r="F16" s="427"/>
      <c r="G16" s="428"/>
      <c r="H16" s="430"/>
      <c r="I16" s="2402"/>
      <c r="J16" s="427"/>
      <c r="K16" s="655"/>
      <c r="L16" s="1253"/>
      <c r="M16" s="1244"/>
      <c r="N16" s="1244"/>
      <c r="O16" s="1252"/>
      <c r="P16" s="3061"/>
      <c r="Q16" s="1898"/>
      <c r="R16" s="753"/>
      <c r="S16" s="754"/>
      <c r="T16" s="753"/>
      <c r="U16" s="754"/>
      <c r="V16" s="753"/>
      <c r="W16" s="754"/>
      <c r="X16" s="1899"/>
      <c r="Y16" s="3061"/>
      <c r="Z16" s="1901"/>
      <c r="AA16" s="1902">
        <v>1</v>
      </c>
      <c r="AB16" s="1902">
        <v>1</v>
      </c>
      <c r="AC16" s="1902">
        <v>1</v>
      </c>
    </row>
    <row r="17" spans="1:29" ht="15">
      <c r="A17" s="383"/>
      <c r="B17" s="1489" t="s">
        <v>2447</v>
      </c>
      <c r="C17" s="2482">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1"/>
      <c r="Q17" s="1898" t="str">
        <f>B17</f>
        <v>商业繁华度</v>
      </c>
      <c r="R17" s="753" t="s">
        <v>25</v>
      </c>
      <c r="S17" s="754">
        <f>F17</f>
        <v>100</v>
      </c>
      <c r="T17" s="753" t="s">
        <v>25</v>
      </c>
      <c r="U17" s="754">
        <f>H17</f>
        <v>100</v>
      </c>
      <c r="V17" s="753" t="s">
        <v>25</v>
      </c>
      <c r="W17" s="754">
        <f>J17</f>
        <v>100</v>
      </c>
      <c r="X17" s="1899"/>
      <c r="Y17" s="3061"/>
      <c r="Z17" s="1901" t="str">
        <f>Q17</f>
        <v>商业繁华度</v>
      </c>
      <c r="AA17" s="1902">
        <f t="shared" si="3"/>
        <v>1</v>
      </c>
      <c r="AB17" s="1902">
        <f t="shared" si="4"/>
        <v>1</v>
      </c>
      <c r="AC17" s="1902">
        <f t="shared" si="5"/>
        <v>1</v>
      </c>
    </row>
    <row r="18" spans="1:29" ht="15">
      <c r="A18" s="383"/>
      <c r="B18" s="1490"/>
      <c r="C18" s="2466"/>
      <c r="D18" s="430"/>
      <c r="E18" s="1468"/>
      <c r="F18" s="430"/>
      <c r="G18" s="1468"/>
      <c r="H18" s="427"/>
      <c r="I18" s="2405"/>
      <c r="J18" s="427"/>
      <c r="K18" s="655"/>
      <c r="L18" s="1253"/>
      <c r="M18" s="1244"/>
      <c r="N18" s="1244"/>
      <c r="O18" s="1252"/>
      <c r="P18" s="3061"/>
      <c r="Q18" s="1898"/>
      <c r="R18" s="753"/>
      <c r="S18" s="754"/>
      <c r="T18" s="753"/>
      <c r="U18" s="754"/>
      <c r="V18" s="753"/>
      <c r="W18" s="754"/>
      <c r="X18" s="1899"/>
      <c r="Y18" s="3061"/>
      <c r="Z18" s="1901"/>
      <c r="AA18" s="1902">
        <v>1</v>
      </c>
      <c r="AB18" s="1902">
        <v>1</v>
      </c>
      <c r="AC18" s="1902">
        <v>1</v>
      </c>
    </row>
    <row r="19" spans="1:29" ht="71.25">
      <c r="A19" s="383"/>
      <c r="B19" s="1489" t="s">
        <v>2476</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1"/>
      <c r="Q19" s="1898" t="str">
        <f>B19</f>
        <v>办公集聚程度</v>
      </c>
      <c r="R19" s="753" t="s">
        <v>25</v>
      </c>
      <c r="S19" s="754">
        <f>F19</f>
        <v>100</v>
      </c>
      <c r="T19" s="753" t="s">
        <v>25</v>
      </c>
      <c r="U19" s="754">
        <f>H19</f>
        <v>100</v>
      </c>
      <c r="V19" s="753" t="s">
        <v>25</v>
      </c>
      <c r="W19" s="754">
        <f>J19</f>
        <v>100</v>
      </c>
      <c r="X19" s="1899"/>
      <c r="Y19" s="3061"/>
      <c r="Z19" s="1901" t="str">
        <f>Q19</f>
        <v>办公集聚程度</v>
      </c>
      <c r="AA19" s="1902">
        <f t="shared" si="3"/>
        <v>1</v>
      </c>
      <c r="AB19" s="1902">
        <f t="shared" si="4"/>
        <v>1</v>
      </c>
      <c r="AC19" s="1902">
        <f t="shared" si="5"/>
        <v>1</v>
      </c>
    </row>
    <row r="20" spans="1:29" ht="15">
      <c r="A20" s="383"/>
      <c r="B20" s="1490"/>
      <c r="C20" s="1472"/>
      <c r="D20" s="427"/>
      <c r="E20" s="428"/>
      <c r="F20" s="427"/>
      <c r="G20" s="428"/>
      <c r="H20" s="427"/>
      <c r="I20" s="2402"/>
      <c r="J20" s="427"/>
      <c r="K20" s="655"/>
      <c r="L20" s="1253"/>
      <c r="M20" s="1244"/>
      <c r="N20" s="1244"/>
      <c r="O20" s="1252"/>
      <c r="P20" s="3061"/>
      <c r="Q20" s="1898"/>
      <c r="R20" s="753"/>
      <c r="S20" s="754"/>
      <c r="T20" s="753"/>
      <c r="U20" s="754"/>
      <c r="V20" s="753"/>
      <c r="W20" s="754"/>
      <c r="X20" s="1899"/>
      <c r="Y20" s="3061"/>
      <c r="Z20" s="1901"/>
      <c r="AA20" s="1902">
        <v>1</v>
      </c>
      <c r="AB20" s="1902">
        <v>1</v>
      </c>
      <c r="AC20" s="1902">
        <v>1</v>
      </c>
    </row>
    <row r="21" spans="1:29" ht="128.25">
      <c r="A21" s="383"/>
      <c r="B21" s="1489" t="s">
        <v>2505</v>
      </c>
      <c r="C21" s="2465" t="str">
        <f>估价对象房地状况!C18</f>
        <v>临近城市高速路——京藏高速，周边有专43号、专89号、307号、345号、355号路等多条公交线路及地铁8号线（永泰站），交通状况较好。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1"/>
      <c r="Q21" s="1898" t="str">
        <f>B21</f>
        <v>交通便捷度</v>
      </c>
      <c r="R21" s="753" t="s">
        <v>25</v>
      </c>
      <c r="S21" s="754">
        <f>F21</f>
        <v>100</v>
      </c>
      <c r="T21" s="753" t="s">
        <v>25</v>
      </c>
      <c r="U21" s="754">
        <f>H21</f>
        <v>100</v>
      </c>
      <c r="V21" s="753" t="s">
        <v>25</v>
      </c>
      <c r="W21" s="754">
        <f>J21</f>
        <v>100</v>
      </c>
      <c r="X21" s="1899"/>
      <c r="Y21" s="3061"/>
      <c r="Z21" s="1901" t="str">
        <f>Q21</f>
        <v>交通便捷度</v>
      </c>
      <c r="AA21" s="1902">
        <f t="shared" si="3"/>
        <v>1</v>
      </c>
      <c r="AB21" s="1902">
        <f t="shared" si="4"/>
        <v>1</v>
      </c>
      <c r="AC21" s="1902">
        <f t="shared" si="5"/>
        <v>1</v>
      </c>
    </row>
    <row r="22" spans="1:29" ht="15">
      <c r="A22" s="383"/>
      <c r="B22" s="1491"/>
      <c r="C22" s="1472"/>
      <c r="D22" s="430"/>
      <c r="E22" s="428"/>
      <c r="F22" s="427"/>
      <c r="G22" s="428"/>
      <c r="H22" s="427"/>
      <c r="I22" s="2402"/>
      <c r="J22" s="427"/>
      <c r="K22" s="655"/>
      <c r="L22" s="1253"/>
      <c r="M22" s="1244"/>
      <c r="N22" s="1244"/>
      <c r="O22" s="1252"/>
      <c r="P22" s="3061"/>
      <c r="Q22" s="1898"/>
      <c r="R22" s="753"/>
      <c r="S22" s="754"/>
      <c r="T22" s="753"/>
      <c r="U22" s="754"/>
      <c r="V22" s="753"/>
      <c r="W22" s="754"/>
      <c r="X22" s="1899"/>
      <c r="Y22" s="3061"/>
      <c r="Z22" s="1901"/>
      <c r="AA22" s="1902">
        <v>1</v>
      </c>
      <c r="AB22" s="1902">
        <v>1</v>
      </c>
      <c r="AC22" s="1902">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1"/>
      <c r="Q23" s="1898" t="str">
        <f t="shared" ref="Q23:Q37" si="8">B23</f>
        <v>区域土地利用方向</v>
      </c>
      <c r="R23" s="753" t="s">
        <v>25</v>
      </c>
      <c r="S23" s="754">
        <f>F23</f>
        <v>100</v>
      </c>
      <c r="T23" s="753" t="s">
        <v>25</v>
      </c>
      <c r="U23" s="754">
        <f>H23</f>
        <v>100</v>
      </c>
      <c r="V23" s="753" t="s">
        <v>25</v>
      </c>
      <c r="W23" s="754">
        <f>J23</f>
        <v>100</v>
      </c>
      <c r="X23" s="1899"/>
      <c r="Y23" s="3061"/>
      <c r="Z23" s="1901" t="str">
        <f>Q23</f>
        <v>区域土地利用方向</v>
      </c>
      <c r="AA23" s="1902">
        <f t="shared" si="3"/>
        <v>1</v>
      </c>
      <c r="AB23" s="1902">
        <f t="shared" si="4"/>
        <v>1</v>
      </c>
      <c r="AC23" s="1902">
        <f t="shared" si="5"/>
        <v>1</v>
      </c>
    </row>
    <row r="24" spans="1:29" ht="15">
      <c r="A24" s="383"/>
      <c r="B24" s="1493"/>
      <c r="C24" s="618"/>
      <c r="D24" s="427"/>
      <c r="E24" s="428"/>
      <c r="F24" s="427"/>
      <c r="G24" s="2402"/>
      <c r="H24" s="427"/>
      <c r="I24" s="2402"/>
      <c r="J24" s="427"/>
      <c r="K24" s="804"/>
      <c r="L24" s="1253"/>
      <c r="M24" s="1244"/>
      <c r="N24" s="1244"/>
      <c r="O24" s="1252"/>
      <c r="P24" s="3061"/>
      <c r="Q24" s="1898"/>
      <c r="R24" s="753"/>
      <c r="S24" s="754"/>
      <c r="T24" s="753"/>
      <c r="U24" s="754"/>
      <c r="V24" s="753"/>
      <c r="W24" s="754"/>
      <c r="X24" s="1899"/>
      <c r="Y24" s="3061"/>
      <c r="Z24" s="1901"/>
      <c r="AA24" s="1902"/>
      <c r="AB24" s="1902"/>
      <c r="AC24" s="1902"/>
    </row>
    <row r="25" spans="1:29" ht="128.25">
      <c r="A25" s="383"/>
      <c r="B25" s="1491" t="s">
        <v>2546</v>
      </c>
      <c r="C25" s="2482" t="str">
        <f>估价对象房地状况!C20</f>
        <v>区域自然环境：清河、奥林匹克森林公园、西三旗公园；人文环境：北京信息科技大学（清河小营校区）；综合评价环境状况较好。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1"/>
      <c r="Q25" s="1898" t="str">
        <f t="shared" si="8"/>
        <v>自然及人文环境状况</v>
      </c>
      <c r="R25" s="753" t="s">
        <v>25</v>
      </c>
      <c r="S25" s="754">
        <f>F25</f>
        <v>100</v>
      </c>
      <c r="T25" s="753" t="s">
        <v>25</v>
      </c>
      <c r="U25" s="754">
        <f>H25</f>
        <v>100</v>
      </c>
      <c r="V25" s="753" t="s">
        <v>25</v>
      </c>
      <c r="W25" s="754">
        <f>J25</f>
        <v>100</v>
      </c>
      <c r="X25" s="1899"/>
      <c r="Y25" s="3061"/>
      <c r="Z25" s="1901" t="str">
        <f>Q25</f>
        <v>自然及人文环境状况</v>
      </c>
      <c r="AA25" s="1902">
        <f t="shared" si="3"/>
        <v>1</v>
      </c>
      <c r="AB25" s="1902">
        <f t="shared" si="4"/>
        <v>1</v>
      </c>
      <c r="AC25" s="1902">
        <f t="shared" si="5"/>
        <v>1</v>
      </c>
    </row>
    <row r="26" spans="1:29" ht="15">
      <c r="A26" s="383"/>
      <c r="B26" s="1490"/>
      <c r="C26" s="1472"/>
      <c r="D26" s="427"/>
      <c r="E26" s="1472"/>
      <c r="F26" s="427"/>
      <c r="G26" s="1472"/>
      <c r="H26" s="427"/>
      <c r="I26" s="426"/>
      <c r="J26" s="427"/>
      <c r="K26" s="655"/>
      <c r="L26" s="1253"/>
      <c r="M26" s="1244"/>
      <c r="N26" s="1244"/>
      <c r="O26" s="1252"/>
      <c r="P26" s="3061"/>
      <c r="Q26" s="1898"/>
      <c r="R26" s="753"/>
      <c r="S26" s="754"/>
      <c r="T26" s="753"/>
      <c r="U26" s="754"/>
      <c r="V26" s="753"/>
      <c r="W26" s="754"/>
      <c r="X26" s="1899"/>
      <c r="Y26" s="3061"/>
      <c r="Z26" s="1901"/>
      <c r="AA26" s="1902">
        <v>1</v>
      </c>
      <c r="AB26" s="1902">
        <v>1</v>
      </c>
      <c r="AC26" s="1902">
        <v>1</v>
      </c>
    </row>
    <row r="27" spans="1:29" ht="370.5">
      <c r="A27" s="383"/>
      <c r="B27" s="1491" t="s">
        <v>2448</v>
      </c>
      <c r="C27" s="2465" t="str">
        <f>估价对象房地状况!C21</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1"/>
      <c r="Q27" s="1886" t="str">
        <f t="shared" ref="Q27" si="9">B27</f>
        <v>公共配套设施</v>
      </c>
      <c r="R27" s="749" t="s">
        <v>25</v>
      </c>
      <c r="S27" s="750">
        <f>F27</f>
        <v>100</v>
      </c>
      <c r="T27" s="749" t="s">
        <v>25</v>
      </c>
      <c r="U27" s="750">
        <f>H27</f>
        <v>100</v>
      </c>
      <c r="V27" s="749" t="s">
        <v>25</v>
      </c>
      <c r="W27" s="750">
        <f>J27</f>
        <v>100</v>
      </c>
      <c r="X27" s="1899"/>
      <c r="Y27" s="3061"/>
      <c r="Z27" s="23" t="str">
        <f>Q27</f>
        <v>公共配套设施</v>
      </c>
      <c r="AA27" s="1902">
        <f>D27/F27</f>
        <v>1</v>
      </c>
      <c r="AB27" s="1902">
        <f>D27/H27</f>
        <v>1</v>
      </c>
      <c r="AC27" s="1902">
        <f>D27/J27</f>
        <v>1</v>
      </c>
    </row>
    <row r="28" spans="1:29" ht="15">
      <c r="A28" s="383"/>
      <c r="B28" s="1490"/>
      <c r="C28" s="2484"/>
      <c r="D28" s="427"/>
      <c r="E28" s="2484"/>
      <c r="F28" s="427"/>
      <c r="G28" s="2484"/>
      <c r="H28" s="427"/>
      <c r="I28" s="2484"/>
      <c r="J28" s="427"/>
      <c r="K28" s="655"/>
      <c r="L28" s="1253"/>
      <c r="M28" s="1244"/>
      <c r="N28" s="1244"/>
      <c r="O28" s="1252"/>
      <c r="P28" s="3061"/>
      <c r="Q28" s="1898"/>
      <c r="R28" s="753"/>
      <c r="S28" s="754"/>
      <c r="T28" s="753"/>
      <c r="U28" s="754"/>
      <c r="V28" s="753"/>
      <c r="W28" s="754"/>
      <c r="X28" s="1899"/>
      <c r="Y28" s="3061"/>
      <c r="Z28" s="23"/>
      <c r="AA28" s="1902">
        <v>1</v>
      </c>
      <c r="AB28" s="1902">
        <v>1</v>
      </c>
      <c r="AC28" s="1902">
        <v>1</v>
      </c>
    </row>
    <row r="29" spans="1:29" s="35" customFormat="1" ht="15">
      <c r="A29" s="633"/>
      <c r="B29" s="1491" t="s">
        <v>2449</v>
      </c>
      <c r="C29" s="2485"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1"/>
      <c r="Q29" s="1886" t="str">
        <f t="shared" si="8"/>
        <v>基础设施水平</v>
      </c>
      <c r="R29" s="749" t="s">
        <v>25</v>
      </c>
      <c r="S29" s="750">
        <f>F29</f>
        <v>100</v>
      </c>
      <c r="T29" s="749" t="s">
        <v>25</v>
      </c>
      <c r="U29" s="750">
        <f>H29</f>
        <v>100</v>
      </c>
      <c r="V29" s="749" t="s">
        <v>25</v>
      </c>
      <c r="W29" s="750">
        <f>J29</f>
        <v>100</v>
      </c>
      <c r="X29" s="751"/>
      <c r="Y29" s="3061"/>
      <c r="Z29" s="23" t="str">
        <f>Q29</f>
        <v>基础设施水平</v>
      </c>
      <c r="AA29" s="1902">
        <f>D29/F29</f>
        <v>1</v>
      </c>
      <c r="AB29" s="1902">
        <f>D29/H29</f>
        <v>1</v>
      </c>
      <c r="AC29" s="1902">
        <f>D29/J29</f>
        <v>1</v>
      </c>
    </row>
    <row r="30" spans="1:29" s="35" customFormat="1" ht="15">
      <c r="A30" s="633"/>
      <c r="B30" s="1490"/>
      <c r="C30" s="2484"/>
      <c r="D30" s="427"/>
      <c r="E30" s="2484"/>
      <c r="F30" s="427"/>
      <c r="G30" s="2484"/>
      <c r="H30" s="427"/>
      <c r="I30" s="2484"/>
      <c r="J30" s="427"/>
      <c r="K30" s="655"/>
      <c r="L30" s="1245"/>
      <c r="M30" s="1246"/>
      <c r="N30" s="1246"/>
      <c r="O30" s="1247"/>
      <c r="P30" s="3061"/>
      <c r="Q30" s="1886"/>
      <c r="R30" s="749"/>
      <c r="S30" s="750"/>
      <c r="T30" s="749"/>
      <c r="U30" s="750"/>
      <c r="V30" s="749"/>
      <c r="W30" s="750"/>
      <c r="X30" s="751"/>
      <c r="Y30" s="3061"/>
      <c r="Z30" s="23"/>
      <c r="AA30" s="1902">
        <v>1</v>
      </c>
      <c r="AB30" s="1902">
        <v>1</v>
      </c>
      <c r="AC30" s="1902">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1"/>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61"/>
      <c r="Z31" s="1901" t="str">
        <f t="shared" ref="Z31:Z45" si="13">Q31</f>
        <v>临街状况</v>
      </c>
      <c r="AA31" s="1902">
        <f t="shared" si="3"/>
        <v>1</v>
      </c>
      <c r="AB31" s="1902">
        <f t="shared" si="4"/>
        <v>1</v>
      </c>
      <c r="AC31" s="1902">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1"/>
      <c r="Q32" s="1898" t="str">
        <f t="shared" si="8"/>
        <v>毗邻道路的类型与等级</v>
      </c>
      <c r="R32" s="753" t="s">
        <v>25</v>
      </c>
      <c r="S32" s="754">
        <f t="shared" si="10"/>
        <v>100</v>
      </c>
      <c r="T32" s="753" t="s">
        <v>25</v>
      </c>
      <c r="U32" s="754">
        <f t="shared" si="11"/>
        <v>100</v>
      </c>
      <c r="V32" s="753" t="s">
        <v>25</v>
      </c>
      <c r="W32" s="754">
        <f t="shared" si="12"/>
        <v>100</v>
      </c>
      <c r="X32" s="1899"/>
      <c r="Y32" s="3061"/>
      <c r="Z32" s="1901" t="str">
        <f t="shared" si="13"/>
        <v>毗邻道路的类型与等级</v>
      </c>
      <c r="AA32" s="1902">
        <f t="shared" si="3"/>
        <v>1</v>
      </c>
      <c r="AB32" s="1902">
        <f t="shared" si="4"/>
        <v>1</v>
      </c>
      <c r="AC32" s="1902">
        <f t="shared" si="5"/>
        <v>1</v>
      </c>
    </row>
    <row r="33" spans="1:29" ht="15">
      <c r="A33" s="383"/>
      <c r="B33" s="1490"/>
      <c r="C33" s="1472"/>
      <c r="D33" s="427"/>
      <c r="E33" s="1472"/>
      <c r="F33" s="427"/>
      <c r="G33" s="1472"/>
      <c r="H33" s="427"/>
      <c r="I33" s="426"/>
      <c r="J33" s="427"/>
      <c r="K33" s="597"/>
      <c r="L33" s="1253"/>
      <c r="M33" s="1244"/>
      <c r="N33" s="1244"/>
      <c r="O33" s="1252"/>
      <c r="P33" s="3061"/>
      <c r="Q33" s="1898"/>
      <c r="R33" s="753"/>
      <c r="S33" s="754"/>
      <c r="T33" s="753"/>
      <c r="U33" s="754"/>
      <c r="V33" s="753"/>
      <c r="W33" s="754"/>
      <c r="X33" s="1899"/>
      <c r="Y33" s="3061"/>
      <c r="Z33" s="1901"/>
      <c r="AA33" s="1902">
        <v>1</v>
      </c>
      <c r="AB33" s="1902">
        <v>1</v>
      </c>
      <c r="AC33" s="1902">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1"/>
      <c r="Q34" s="1898" t="str">
        <f t="shared" si="8"/>
        <v>土地级别</v>
      </c>
      <c r="R34" s="753" t="s">
        <v>25</v>
      </c>
      <c r="S34" s="754">
        <f t="shared" si="10"/>
        <v>100</v>
      </c>
      <c r="T34" s="753" t="s">
        <v>25</v>
      </c>
      <c r="U34" s="754">
        <f t="shared" si="11"/>
        <v>100</v>
      </c>
      <c r="V34" s="753" t="s">
        <v>25</v>
      </c>
      <c r="W34" s="754">
        <f t="shared" si="12"/>
        <v>100</v>
      </c>
      <c r="X34" s="1899"/>
      <c r="Y34" s="3061"/>
      <c r="Z34" s="1901" t="str">
        <f t="shared" si="13"/>
        <v>土地级别</v>
      </c>
      <c r="AA34" s="1902">
        <f t="shared" si="3"/>
        <v>1</v>
      </c>
      <c r="AB34" s="1902">
        <f t="shared" si="4"/>
        <v>1</v>
      </c>
      <c r="AC34" s="1902">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1"/>
      <c r="Q35" s="1898">
        <f t="shared" si="8"/>
        <v>111</v>
      </c>
      <c r="R35" s="753" t="s">
        <v>25</v>
      </c>
      <c r="S35" s="754">
        <f t="shared" si="10"/>
        <v>100</v>
      </c>
      <c r="T35" s="753" t="s">
        <v>25</v>
      </c>
      <c r="U35" s="754">
        <f t="shared" si="11"/>
        <v>100</v>
      </c>
      <c r="V35" s="753" t="s">
        <v>25</v>
      </c>
      <c r="W35" s="754">
        <f t="shared" si="12"/>
        <v>100</v>
      </c>
      <c r="X35" s="1899"/>
      <c r="Y35" s="3061"/>
      <c r="Z35" s="1901">
        <f t="shared" si="13"/>
        <v>111</v>
      </c>
      <c r="AA35" s="1902">
        <f t="shared" si="3"/>
        <v>1</v>
      </c>
      <c r="AB35" s="1902">
        <f t="shared" si="4"/>
        <v>1</v>
      </c>
      <c r="AC35" s="1902">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9" t="s">
        <v>2368</v>
      </c>
      <c r="Q36" s="1898">
        <f t="shared" si="8"/>
        <v>111</v>
      </c>
      <c r="R36" s="753" t="s">
        <v>25</v>
      </c>
      <c r="S36" s="754">
        <f t="shared" si="10"/>
        <v>100</v>
      </c>
      <c r="T36" s="753" t="s">
        <v>25</v>
      </c>
      <c r="U36" s="754">
        <f t="shared" si="11"/>
        <v>100</v>
      </c>
      <c r="V36" s="753" t="s">
        <v>25</v>
      </c>
      <c r="W36" s="754">
        <f t="shared" si="12"/>
        <v>100</v>
      </c>
      <c r="X36" s="1899"/>
      <c r="Y36" s="3065" t="s">
        <v>2368</v>
      </c>
      <c r="Z36" s="1901">
        <f t="shared" si="13"/>
        <v>111</v>
      </c>
      <c r="AA36" s="1902">
        <f t="shared" si="3"/>
        <v>1</v>
      </c>
      <c r="AB36" s="1902">
        <f t="shared" si="4"/>
        <v>1</v>
      </c>
      <c r="AC36" s="1902">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5"/>
      <c r="Q37" s="1898">
        <f t="shared" si="8"/>
        <v>111</v>
      </c>
      <c r="R37" s="756" t="s">
        <v>25</v>
      </c>
      <c r="S37" s="757">
        <f t="shared" si="10"/>
        <v>100</v>
      </c>
      <c r="T37" s="756" t="s">
        <v>25</v>
      </c>
      <c r="U37" s="757">
        <f t="shared" si="11"/>
        <v>100</v>
      </c>
      <c r="V37" s="756" t="s">
        <v>25</v>
      </c>
      <c r="W37" s="757">
        <f t="shared" si="12"/>
        <v>100</v>
      </c>
      <c r="X37" s="758"/>
      <c r="Y37" s="3065"/>
      <c r="Z37" s="759">
        <f t="shared" si="13"/>
        <v>111</v>
      </c>
      <c r="AA37" s="1902">
        <f t="shared" si="3"/>
        <v>1</v>
      </c>
      <c r="AB37" s="1902">
        <f t="shared" si="4"/>
        <v>1</v>
      </c>
      <c r="AC37" s="1902">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5"/>
      <c r="Q38" s="1898" t="str">
        <f>B38</f>
        <v>宗地面积</v>
      </c>
      <c r="R38" s="753" t="s">
        <v>25</v>
      </c>
      <c r="S38" s="754" t="e">
        <f t="shared" si="10"/>
        <v>#N/A</v>
      </c>
      <c r="T38" s="753" t="s">
        <v>25</v>
      </c>
      <c r="U38" s="754" t="e">
        <f t="shared" si="11"/>
        <v>#N/A</v>
      </c>
      <c r="V38" s="753" t="s">
        <v>25</v>
      </c>
      <c r="W38" s="754" t="e">
        <f t="shared" si="12"/>
        <v>#N/A</v>
      </c>
      <c r="X38" s="1899"/>
      <c r="Y38" s="3065"/>
      <c r="Z38" s="1901" t="str">
        <f t="shared" si="13"/>
        <v>宗地面积</v>
      </c>
      <c r="AA38" s="1902" t="e">
        <f t="shared" si="3"/>
        <v>#N/A</v>
      </c>
      <c r="AB38" s="1902" t="e">
        <f t="shared" si="4"/>
        <v>#N/A</v>
      </c>
      <c r="AC38" s="1902" t="e">
        <f t="shared" si="5"/>
        <v>#N/A</v>
      </c>
    </row>
    <row r="39" spans="1:29" ht="15">
      <c r="A39" s="453"/>
      <c r="B39" s="402" t="s">
        <v>2549</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65"/>
      <c r="Q39" s="1898" t="str">
        <f t="shared" ref="Q39:Q45" si="14">B39</f>
        <v>宗地形状</v>
      </c>
      <c r="R39" s="753" t="s">
        <v>25</v>
      </c>
      <c r="S39" s="754">
        <f t="shared" si="10"/>
        <v>100</v>
      </c>
      <c r="T39" s="753" t="s">
        <v>25</v>
      </c>
      <c r="U39" s="754">
        <f t="shared" si="11"/>
        <v>100</v>
      </c>
      <c r="V39" s="753" t="s">
        <v>25</v>
      </c>
      <c r="W39" s="754">
        <f t="shared" si="12"/>
        <v>100</v>
      </c>
      <c r="X39" s="1899"/>
      <c r="Y39" s="3065"/>
      <c r="Z39" s="1901" t="str">
        <f t="shared" si="13"/>
        <v>宗地形状</v>
      </c>
      <c r="AA39" s="1902">
        <f t="shared" si="3"/>
        <v>1</v>
      </c>
      <c r="AB39" s="1902">
        <f t="shared" si="4"/>
        <v>1</v>
      </c>
      <c r="AC39" s="1902">
        <f t="shared" si="5"/>
        <v>1</v>
      </c>
    </row>
    <row r="40" spans="1:29" ht="15">
      <c r="A40" s="453"/>
      <c r="B40" s="402" t="s">
        <v>2550</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65"/>
      <c r="Q40" s="1898" t="str">
        <f t="shared" si="14"/>
        <v>临街宽度及深度</v>
      </c>
      <c r="R40" s="753" t="s">
        <v>25</v>
      </c>
      <c r="S40" s="754">
        <f t="shared" si="10"/>
        <v>100</v>
      </c>
      <c r="T40" s="753" t="s">
        <v>25</v>
      </c>
      <c r="U40" s="754">
        <f t="shared" si="11"/>
        <v>100</v>
      </c>
      <c r="V40" s="753" t="s">
        <v>25</v>
      </c>
      <c r="W40" s="754">
        <f t="shared" si="12"/>
        <v>100</v>
      </c>
      <c r="X40" s="1899"/>
      <c r="Y40" s="3065"/>
      <c r="Z40" s="1901" t="str">
        <f t="shared" si="13"/>
        <v>临街宽度及深度</v>
      </c>
      <c r="AA40" s="1902">
        <f t="shared" si="3"/>
        <v>1</v>
      </c>
      <c r="AB40" s="1902">
        <f t="shared" si="4"/>
        <v>1</v>
      </c>
      <c r="AC40" s="1902">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65"/>
      <c r="Q41" s="1898" t="str">
        <f t="shared" si="14"/>
        <v>宗地开发程度</v>
      </c>
      <c r="R41" s="749" t="s">
        <v>25</v>
      </c>
      <c r="S41" s="750">
        <f t="shared" si="10"/>
        <v>100</v>
      </c>
      <c r="T41" s="749" t="s">
        <v>25</v>
      </c>
      <c r="U41" s="750">
        <f t="shared" si="11"/>
        <v>100</v>
      </c>
      <c r="V41" s="749" t="s">
        <v>25</v>
      </c>
      <c r="W41" s="750">
        <f t="shared" si="12"/>
        <v>100</v>
      </c>
      <c r="X41" s="751"/>
      <c r="Y41" s="3065"/>
      <c r="Z41" s="23" t="str">
        <f t="shared" si="13"/>
        <v>宗地开发程度</v>
      </c>
      <c r="AA41" s="752">
        <f t="shared" si="3"/>
        <v>1</v>
      </c>
      <c r="AB41" s="752">
        <f t="shared" si="4"/>
        <v>1</v>
      </c>
      <c r="AC41" s="752">
        <f t="shared" si="5"/>
        <v>1</v>
      </c>
    </row>
    <row r="42" spans="1:29" ht="15">
      <c r="A42" s="453"/>
      <c r="B42" s="402" t="s">
        <v>2552</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65" t="s">
        <v>2368</v>
      </c>
      <c r="Q42" s="1898" t="str">
        <f t="shared" si="14"/>
        <v>工程地质条件</v>
      </c>
      <c r="R42" s="753" t="s">
        <v>25</v>
      </c>
      <c r="S42" s="754">
        <f t="shared" si="10"/>
        <v>100</v>
      </c>
      <c r="T42" s="753" t="s">
        <v>25</v>
      </c>
      <c r="U42" s="754">
        <f t="shared" si="11"/>
        <v>100</v>
      </c>
      <c r="V42" s="753" t="s">
        <v>25</v>
      </c>
      <c r="W42" s="754">
        <f t="shared" si="12"/>
        <v>100</v>
      </c>
      <c r="X42" s="1899"/>
      <c r="Y42" s="3065" t="s">
        <v>2368</v>
      </c>
      <c r="Z42" s="1901" t="str">
        <f t="shared" si="13"/>
        <v>工程地质条件</v>
      </c>
      <c r="AA42" s="1902">
        <f t="shared" si="3"/>
        <v>1</v>
      </c>
      <c r="AB42" s="1902">
        <f t="shared" si="4"/>
        <v>1</v>
      </c>
      <c r="AC42" s="1902">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5"/>
      <c r="Q43" s="1898">
        <f t="shared" si="14"/>
        <v>111</v>
      </c>
      <c r="R43" s="753" t="s">
        <v>25</v>
      </c>
      <c r="S43" s="754">
        <f t="shared" si="10"/>
        <v>100</v>
      </c>
      <c r="T43" s="753" t="s">
        <v>25</v>
      </c>
      <c r="U43" s="754">
        <f t="shared" si="11"/>
        <v>100</v>
      </c>
      <c r="V43" s="753" t="s">
        <v>25</v>
      </c>
      <c r="W43" s="754">
        <f t="shared" si="12"/>
        <v>100</v>
      </c>
      <c r="X43" s="1899"/>
      <c r="Y43" s="3065"/>
      <c r="Z43" s="1901">
        <f t="shared" si="13"/>
        <v>111</v>
      </c>
      <c r="AA43" s="1902">
        <f t="shared" si="3"/>
        <v>1</v>
      </c>
      <c r="AB43" s="1902">
        <f t="shared" si="4"/>
        <v>1</v>
      </c>
      <c r="AC43" s="1902">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5"/>
      <c r="Q44" s="1898">
        <f t="shared" si="14"/>
        <v>111</v>
      </c>
      <c r="R44" s="753" t="s">
        <v>25</v>
      </c>
      <c r="S44" s="754">
        <f t="shared" si="10"/>
        <v>100</v>
      </c>
      <c r="T44" s="753" t="s">
        <v>25</v>
      </c>
      <c r="U44" s="754">
        <f t="shared" si="11"/>
        <v>100</v>
      </c>
      <c r="V44" s="753" t="s">
        <v>25</v>
      </c>
      <c r="W44" s="754">
        <f t="shared" si="12"/>
        <v>100</v>
      </c>
      <c r="X44" s="1899"/>
      <c r="Y44" s="3065"/>
      <c r="Z44" s="1901">
        <f t="shared" si="13"/>
        <v>111</v>
      </c>
      <c r="AA44" s="1902">
        <f t="shared" si="3"/>
        <v>1</v>
      </c>
      <c r="AB44" s="1902">
        <f t="shared" si="4"/>
        <v>1</v>
      </c>
      <c r="AC44" s="1902">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5"/>
      <c r="Q45" s="1898">
        <f t="shared" si="14"/>
        <v>111</v>
      </c>
      <c r="R45" s="756" t="s">
        <v>25</v>
      </c>
      <c r="S45" s="757">
        <f t="shared" si="10"/>
        <v>100</v>
      </c>
      <c r="T45" s="756" t="s">
        <v>25</v>
      </c>
      <c r="U45" s="757">
        <f t="shared" si="11"/>
        <v>100</v>
      </c>
      <c r="V45" s="756" t="s">
        <v>25</v>
      </c>
      <c r="W45" s="757">
        <f t="shared" si="12"/>
        <v>100</v>
      </c>
      <c r="X45" s="758"/>
      <c r="Y45" s="3065"/>
      <c r="Z45" s="759">
        <f t="shared" si="13"/>
        <v>111</v>
      </c>
      <c r="AA45" s="1902">
        <f t="shared" si="3"/>
        <v>1</v>
      </c>
      <c r="AB45" s="1902">
        <f t="shared" si="4"/>
        <v>1</v>
      </c>
      <c r="AC45" s="1902">
        <f t="shared" si="5"/>
        <v>1</v>
      </c>
    </row>
    <row r="46" spans="1:29" ht="15">
      <c r="A46" s="460" t="s">
        <v>2516</v>
      </c>
      <c r="B46" s="2489" t="s">
        <v>2553</v>
      </c>
      <c r="C46" s="665" t="s">
        <v>1</v>
      </c>
      <c r="D46" s="462"/>
      <c r="E46" s="463"/>
      <c r="F46" s="464"/>
      <c r="G46" s="465"/>
      <c r="H46" s="466"/>
      <c r="I46" s="463"/>
      <c r="J46" s="466"/>
      <c r="K46" s="762"/>
      <c r="L46" s="1256"/>
      <c r="M46" s="1257"/>
      <c r="N46" s="1244"/>
      <c r="O46" s="1257"/>
      <c r="P46" s="3071" t="str">
        <f>A46</f>
        <v>成交单价</v>
      </c>
      <c r="Q46" s="3071"/>
      <c r="R46" s="3051">
        <f>E46</f>
        <v>0</v>
      </c>
      <c r="S46" s="3051"/>
      <c r="T46" s="3051">
        <f>G46</f>
        <v>0</v>
      </c>
      <c r="U46" s="3051"/>
      <c r="V46" s="3051">
        <f>I46</f>
        <v>0</v>
      </c>
      <c r="W46" s="3051"/>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71" t="str">
        <f>A47</f>
        <v>比较价值（元/平方米）</v>
      </c>
      <c r="Q47" s="3071"/>
      <c r="R47" s="3090" t="e">
        <f>ROUND(PRODUCT(R46,AA7:AA45),0)</f>
        <v>#DIV/0!</v>
      </c>
      <c r="S47" s="3090"/>
      <c r="T47" s="3090" t="e">
        <f>ROUND(PRODUCT(T46,AB7:AB45),0)</f>
        <v>#DIV/0!</v>
      </c>
      <c r="U47" s="3090"/>
      <c r="V47" s="3090" t="e">
        <f>ROUND(PRODUCT(V46,AC7:AC45),0)</f>
        <v>#DIV/0!</v>
      </c>
      <c r="W47" s="3090"/>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77" t="str">
        <f>A48</f>
        <v>估价对象XX用房的比较价值（楼面单价，元/平方米）</v>
      </c>
      <c r="Q48" s="3078"/>
      <c r="R48" s="3091" t="e">
        <f>ROUND(AVERAGE(R47:V47),0)</f>
        <v>#DIV/0!</v>
      </c>
      <c r="S48" s="3091"/>
      <c r="T48" s="3091"/>
      <c r="U48" s="3091"/>
      <c r="V48" s="3091"/>
      <c r="W48" s="309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2565</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2566</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2567</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2568</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2569</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2570</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2571</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2018-12-1</v>
      </c>
      <c r="D68" s="1670">
        <f>EDATE(C68,-3)</f>
        <v>43344</v>
      </c>
      <c r="E68" s="1670">
        <f t="shared" ref="E68:O68" si="18">EDATE(D68,-3)</f>
        <v>43252</v>
      </c>
      <c r="F68" s="1670">
        <f t="shared" si="18"/>
        <v>43160</v>
      </c>
      <c r="G68" s="1670">
        <f t="shared" si="18"/>
        <v>43070</v>
      </c>
      <c r="H68" s="1670">
        <f t="shared" si="18"/>
        <v>42979</v>
      </c>
      <c r="I68" s="1670">
        <f t="shared" si="18"/>
        <v>42887</v>
      </c>
      <c r="J68" s="1670">
        <f t="shared" si="18"/>
        <v>42795</v>
      </c>
      <c r="K68" s="1670">
        <f t="shared" si="18"/>
        <v>42705</v>
      </c>
      <c r="L68" s="1670">
        <f t="shared" si="18"/>
        <v>42614</v>
      </c>
      <c r="M68" s="1670">
        <f t="shared" si="18"/>
        <v>42522</v>
      </c>
      <c r="N68" s="1670">
        <f t="shared" si="18"/>
        <v>42430</v>
      </c>
      <c r="O68" s="1670">
        <f t="shared" si="18"/>
        <v>42339</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4" customFormat="1" ht="15">
      <c r="A70" s="2493" t="s">
        <v>2573</v>
      </c>
      <c r="B70" s="1456"/>
      <c r="C70" s="1671" t="str">
        <f>YEAR(C68)&amp;"-"&amp;ROUNDUP(MONTH(C68)/3,0)</f>
        <v>2018-4</v>
      </c>
      <c r="D70" s="1671" t="str">
        <f>YEAR(D68)&amp;"-"&amp;ROUNDUP(MONTH(D68)/3,0)</f>
        <v>2018-3</v>
      </c>
      <c r="E70" s="1671" t="str">
        <f t="shared" ref="E70:O70" si="19">YEAR(E68)&amp;"-"&amp;ROUNDUP(MONTH(E68)/3,0)</f>
        <v>2018-2</v>
      </c>
      <c r="F70" s="1671" t="str">
        <f t="shared" si="19"/>
        <v>2018-1</v>
      </c>
      <c r="G70" s="1671" t="str">
        <f t="shared" si="19"/>
        <v>2017-4</v>
      </c>
      <c r="H70" s="1671" t="str">
        <f t="shared" si="19"/>
        <v>2017-3</v>
      </c>
      <c r="I70" s="1671" t="str">
        <f t="shared" si="19"/>
        <v>2017-2</v>
      </c>
      <c r="J70" s="1671" t="str">
        <f t="shared" si="19"/>
        <v>2017-1</v>
      </c>
      <c r="K70" s="1671" t="str">
        <f t="shared" si="19"/>
        <v>2016-4</v>
      </c>
      <c r="L70" s="1671" t="str">
        <f t="shared" si="19"/>
        <v>2016-3</v>
      </c>
      <c r="M70" s="1671" t="str">
        <f t="shared" si="19"/>
        <v>2016-2</v>
      </c>
      <c r="N70" s="1671" t="str">
        <f t="shared" si="19"/>
        <v>2016-1</v>
      </c>
      <c r="O70" s="1671" t="str">
        <f t="shared" si="19"/>
        <v>2015-4</v>
      </c>
      <c r="P70" s="1673"/>
    </row>
    <row r="71" spans="1:17" s="35" customFormat="1" ht="29.25" customHeight="1">
      <c r="A71" s="2494" t="s">
        <v>2574</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2388</v>
      </c>
      <c r="B72" s="497"/>
      <c r="C72" s="498"/>
      <c r="D72" s="499"/>
      <c r="E72" s="499"/>
      <c r="F72" s="499"/>
      <c r="G72" s="499"/>
      <c r="H72" s="499"/>
      <c r="I72" s="499"/>
      <c r="J72" s="499"/>
      <c r="K72" s="499"/>
      <c r="L72" s="499"/>
      <c r="M72" s="500"/>
      <c r="N72" s="499"/>
      <c r="O72" s="1676"/>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35" t="s">
        <v>2338</v>
      </c>
      <c r="D4" s="3036"/>
      <c r="E4" s="3037" t="s">
        <v>2339</v>
      </c>
      <c r="F4" s="3038"/>
      <c r="G4" s="3035" t="s">
        <v>2340</v>
      </c>
      <c r="H4" s="3036"/>
      <c r="I4" s="3035" t="s">
        <v>2341</v>
      </c>
      <c r="J4" s="3036"/>
      <c r="K4" s="594" t="s">
        <v>2342</v>
      </c>
      <c r="L4" s="1243"/>
      <c r="M4" s="1244"/>
      <c r="N4" s="1244"/>
      <c r="O4" s="1244"/>
      <c r="P4" s="3039" t="s">
        <v>2343</v>
      </c>
      <c r="Q4" s="3040"/>
      <c r="R4" s="3045" t="s">
        <v>2339</v>
      </c>
      <c r="S4" s="3046"/>
      <c r="T4" s="3045" t="s">
        <v>2340</v>
      </c>
      <c r="U4" s="3046"/>
      <c r="V4" s="3051" t="s">
        <v>2341</v>
      </c>
      <c r="W4" s="3051"/>
      <c r="X4" s="1899"/>
      <c r="Y4" s="3045" t="s">
        <v>2343</v>
      </c>
      <c r="Z4" s="3046"/>
      <c r="AA4" s="3032" t="s">
        <v>2339</v>
      </c>
      <c r="AB4" s="3033" t="s">
        <v>2340</v>
      </c>
      <c r="AC4" s="3032" t="s">
        <v>2341</v>
      </c>
    </row>
    <row r="5" spans="1:29" ht="15">
      <c r="A5" s="383"/>
      <c r="B5" s="384"/>
      <c r="C5" s="3080" t="s">
        <v>2344</v>
      </c>
      <c r="D5" s="3055"/>
      <c r="E5" s="3081" t="s">
        <v>2345</v>
      </c>
      <c r="F5" s="3053"/>
      <c r="G5" s="3080" t="s">
        <v>2346</v>
      </c>
      <c r="H5" s="3055"/>
      <c r="I5" s="3080" t="s">
        <v>2347</v>
      </c>
      <c r="J5" s="3055"/>
      <c r="K5" s="594"/>
      <c r="L5" s="1243"/>
      <c r="M5" s="1244"/>
      <c r="N5" s="1244"/>
      <c r="O5" s="1244"/>
      <c r="P5" s="3041"/>
      <c r="Q5" s="3042"/>
      <c r="R5" s="3047"/>
      <c r="S5" s="3048"/>
      <c r="T5" s="3047"/>
      <c r="U5" s="3048"/>
      <c r="V5" s="3051"/>
      <c r="W5" s="3051"/>
      <c r="X5" s="1899"/>
      <c r="Y5" s="3047"/>
      <c r="Z5" s="3048"/>
      <c r="AA5" s="3033"/>
      <c r="AB5" s="3033"/>
      <c r="AC5" s="3033"/>
    </row>
    <row r="6" spans="1:29" ht="15.75" thickBot="1">
      <c r="A6" s="385"/>
      <c r="B6" s="386"/>
      <c r="C6" s="3056" t="s">
        <v>2348</v>
      </c>
      <c r="D6" s="3057"/>
      <c r="E6" s="3058" t="s">
        <v>2348</v>
      </c>
      <c r="F6" s="3059"/>
      <c r="G6" s="3056" t="s">
        <v>2348</v>
      </c>
      <c r="H6" s="3057"/>
      <c r="I6" s="3056" t="s">
        <v>2348</v>
      </c>
      <c r="J6" s="3057"/>
      <c r="K6" s="594" t="s">
        <v>2349</v>
      </c>
      <c r="L6" s="1243"/>
      <c r="M6" s="1244"/>
      <c r="N6" s="1244"/>
      <c r="O6" s="1244"/>
      <c r="P6" s="3043"/>
      <c r="Q6" s="3044"/>
      <c r="R6" s="3047"/>
      <c r="S6" s="3048"/>
      <c r="T6" s="3049"/>
      <c r="U6" s="3050"/>
      <c r="V6" s="3051"/>
      <c r="W6" s="3051"/>
      <c r="X6" s="1899"/>
      <c r="Y6" s="3049"/>
      <c r="Z6" s="3050"/>
      <c r="AA6" s="3034"/>
      <c r="AB6" s="3034"/>
      <c r="AC6" s="3034"/>
    </row>
    <row r="7" spans="1:29" s="35" customFormat="1" ht="15.75" thickBot="1">
      <c r="A7" s="387" t="s">
        <v>2350</v>
      </c>
      <c r="B7" s="388"/>
      <c r="C7" s="389">
        <f>'数据-取费表'!B2</f>
        <v>43439</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67" t="s">
        <v>2351</v>
      </c>
      <c r="Q7" s="3069"/>
      <c r="R7" s="749" t="s">
        <v>25</v>
      </c>
      <c r="S7" s="750">
        <f t="shared" ref="S7:S15" si="0">F7</f>
        <v>0</v>
      </c>
      <c r="T7" s="749" t="s">
        <v>25</v>
      </c>
      <c r="U7" s="750">
        <f t="shared" ref="U7:U15" si="1">H7</f>
        <v>0</v>
      </c>
      <c r="V7" s="749" t="s">
        <v>25</v>
      </c>
      <c r="W7" s="750">
        <f t="shared" ref="W7:W15" si="2">J7</f>
        <v>0</v>
      </c>
      <c r="X7" s="751"/>
      <c r="Y7" s="3067" t="s">
        <v>2351</v>
      </c>
      <c r="Z7" s="3068"/>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7" t="s">
        <v>2354</v>
      </c>
      <c r="Q8" s="3068"/>
      <c r="R8" s="749" t="s">
        <v>25</v>
      </c>
      <c r="S8" s="750">
        <f t="shared" si="0"/>
        <v>0</v>
      </c>
      <c r="T8" s="749" t="s">
        <v>25</v>
      </c>
      <c r="U8" s="750">
        <f t="shared" si="1"/>
        <v>0</v>
      </c>
      <c r="V8" s="749" t="s">
        <v>25</v>
      </c>
      <c r="W8" s="750">
        <f t="shared" si="2"/>
        <v>0</v>
      </c>
      <c r="X8" s="751"/>
      <c r="Y8" s="3067" t="s">
        <v>2354</v>
      </c>
      <c r="Z8" s="3068"/>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71" t="s">
        <v>2357</v>
      </c>
      <c r="Q9" s="1886" t="str">
        <f t="shared" ref="Q9:Q15" si="6">B9</f>
        <v>用途</v>
      </c>
      <c r="R9" s="749" t="s">
        <v>25</v>
      </c>
      <c r="S9" s="750">
        <f t="shared" si="0"/>
        <v>100</v>
      </c>
      <c r="T9" s="749" t="s">
        <v>25</v>
      </c>
      <c r="U9" s="750">
        <f t="shared" si="1"/>
        <v>100</v>
      </c>
      <c r="V9" s="749" t="s">
        <v>25</v>
      </c>
      <c r="W9" s="750">
        <f t="shared" si="2"/>
        <v>100</v>
      </c>
      <c r="X9" s="751"/>
      <c r="Y9" s="2883"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71"/>
      <c r="Q10" s="1886"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1"/>
      <c r="Q11" s="1886"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1"/>
      <c r="Q12" s="1886">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1"/>
      <c r="Q13" s="1886">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1"/>
      <c r="Q14" s="1886">
        <f t="shared" si="6"/>
        <v>111</v>
      </c>
      <c r="R14" s="749" t="s">
        <v>25</v>
      </c>
      <c r="S14" s="750">
        <f t="shared" si="0"/>
        <v>100</v>
      </c>
      <c r="T14" s="749" t="s">
        <v>25</v>
      </c>
      <c r="U14" s="750">
        <f t="shared" si="1"/>
        <v>100</v>
      </c>
      <c r="V14" s="749" t="s">
        <v>25</v>
      </c>
      <c r="W14" s="750">
        <f t="shared" si="2"/>
        <v>100</v>
      </c>
      <c r="X14" s="751"/>
      <c r="Y14" s="2883"/>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0" t="s">
        <v>2362</v>
      </c>
      <c r="Q15" s="1898" t="str">
        <f t="shared" si="6"/>
        <v>产业集聚程度</v>
      </c>
      <c r="R15" s="753" t="s">
        <v>25</v>
      </c>
      <c r="S15" s="754">
        <f t="shared" si="0"/>
        <v>100</v>
      </c>
      <c r="T15" s="753" t="s">
        <v>25</v>
      </c>
      <c r="U15" s="754">
        <f t="shared" si="1"/>
        <v>100</v>
      </c>
      <c r="V15" s="753" t="s">
        <v>25</v>
      </c>
      <c r="W15" s="754">
        <f t="shared" si="2"/>
        <v>100</v>
      </c>
      <c r="X15" s="1899"/>
      <c r="Y15" s="3060" t="s">
        <v>2362</v>
      </c>
      <c r="Z15" s="1901" t="str">
        <f t="shared" si="7"/>
        <v>产业集聚程度</v>
      </c>
      <c r="AA15" s="1902">
        <f t="shared" si="3"/>
        <v>1</v>
      </c>
      <c r="AB15" s="1902">
        <f t="shared" si="4"/>
        <v>1</v>
      </c>
      <c r="AC15" s="1902">
        <f t="shared" si="5"/>
        <v>1</v>
      </c>
    </row>
    <row r="16" spans="1:29" ht="15">
      <c r="A16" s="408"/>
      <c r="B16" s="614"/>
      <c r="C16" s="426"/>
      <c r="D16" s="427"/>
      <c r="E16" s="1472"/>
      <c r="F16" s="427"/>
      <c r="G16" s="1472"/>
      <c r="H16" s="430"/>
      <c r="I16" s="1472"/>
      <c r="J16" s="427"/>
      <c r="K16" s="655"/>
      <c r="L16" s="1253"/>
      <c r="M16" s="1244"/>
      <c r="N16" s="1244"/>
      <c r="O16" s="1252"/>
      <c r="P16" s="3061"/>
      <c r="Q16" s="1898"/>
      <c r="R16" s="753"/>
      <c r="S16" s="754"/>
      <c r="T16" s="753"/>
      <c r="U16" s="754"/>
      <c r="V16" s="753"/>
      <c r="W16" s="754"/>
      <c r="X16" s="1899"/>
      <c r="Y16" s="3061"/>
      <c r="Z16" s="1901"/>
      <c r="AA16" s="1902">
        <v>1</v>
      </c>
      <c r="AB16" s="1902">
        <v>1</v>
      </c>
      <c r="AC16" s="1902">
        <v>1</v>
      </c>
    </row>
    <row r="17" spans="1:29" ht="85.5">
      <c r="A17" s="408"/>
      <c r="B17" s="615" t="s">
        <v>2505</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1"/>
      <c r="Q17" s="1898" t="str">
        <f>B17</f>
        <v>交通便捷度</v>
      </c>
      <c r="R17" s="753" t="s">
        <v>25</v>
      </c>
      <c r="S17" s="754">
        <f>F17</f>
        <v>100</v>
      </c>
      <c r="T17" s="753" t="s">
        <v>25</v>
      </c>
      <c r="U17" s="754">
        <f>H17</f>
        <v>100</v>
      </c>
      <c r="V17" s="753" t="s">
        <v>25</v>
      </c>
      <c r="W17" s="754">
        <f>J17</f>
        <v>100</v>
      </c>
      <c r="X17" s="1899"/>
      <c r="Y17" s="306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3"/>
      <c r="M18" s="1244"/>
      <c r="N18" s="1244"/>
      <c r="O18" s="1252"/>
      <c r="P18" s="3061"/>
      <c r="Q18" s="1898"/>
      <c r="R18" s="753"/>
      <c r="S18" s="754"/>
      <c r="T18" s="753"/>
      <c r="U18" s="754"/>
      <c r="V18" s="753"/>
      <c r="W18" s="754"/>
      <c r="X18" s="1899"/>
      <c r="Y18" s="3061"/>
      <c r="Z18" s="1901"/>
      <c r="AA18" s="1902">
        <v>1</v>
      </c>
      <c r="AB18" s="1902">
        <v>1</v>
      </c>
      <c r="AC18" s="1902">
        <v>1</v>
      </c>
    </row>
    <row r="19" spans="1:29" ht="15">
      <c r="A19" s="408"/>
      <c r="B19" s="615" t="s">
        <v>2545</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1"/>
      <c r="Q19" s="1898" t="str">
        <f t="shared" ref="Q19:Q33" si="8">B19</f>
        <v>区域土地利用方向</v>
      </c>
      <c r="R19" s="753" t="s">
        <v>25</v>
      </c>
      <c r="S19" s="754">
        <f>F19</f>
        <v>100</v>
      </c>
      <c r="T19" s="753" t="s">
        <v>25</v>
      </c>
      <c r="U19" s="754">
        <f>H19</f>
        <v>100</v>
      </c>
      <c r="V19" s="753" t="s">
        <v>25</v>
      </c>
      <c r="W19" s="754">
        <f>J19</f>
        <v>100</v>
      </c>
      <c r="X19" s="1899"/>
      <c r="Y19" s="306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61"/>
      <c r="Q20" s="1898"/>
      <c r="R20" s="753"/>
      <c r="S20" s="754"/>
      <c r="T20" s="753"/>
      <c r="U20" s="754"/>
      <c r="V20" s="753"/>
      <c r="W20" s="754"/>
      <c r="X20" s="1899"/>
      <c r="Y20" s="3061"/>
      <c r="Z20" s="1901"/>
      <c r="AA20" s="1902"/>
      <c r="AB20" s="1902"/>
      <c r="AC20" s="1902"/>
    </row>
    <row r="21" spans="1:29" ht="71.25">
      <c r="A21" s="383"/>
      <c r="B21" s="615" t="s">
        <v>2590</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1"/>
      <c r="Q21" s="1898" t="str">
        <f t="shared" si="8"/>
        <v>环境状况</v>
      </c>
      <c r="R21" s="753" t="s">
        <v>25</v>
      </c>
      <c r="S21" s="754">
        <f>F21</f>
        <v>100</v>
      </c>
      <c r="T21" s="753" t="s">
        <v>25</v>
      </c>
      <c r="U21" s="754">
        <f>H21</f>
        <v>100</v>
      </c>
      <c r="V21" s="753" t="s">
        <v>25</v>
      </c>
      <c r="W21" s="754">
        <f>J21</f>
        <v>100</v>
      </c>
      <c r="X21" s="1899"/>
      <c r="Y21" s="3061"/>
      <c r="Z21" s="1901" t="str">
        <f>Q21</f>
        <v>环境状况</v>
      </c>
      <c r="AA21" s="1902">
        <f t="shared" si="3"/>
        <v>1</v>
      </c>
      <c r="AB21" s="1902">
        <f t="shared" si="4"/>
        <v>1</v>
      </c>
      <c r="AC21" s="1902">
        <f t="shared" si="5"/>
        <v>1</v>
      </c>
    </row>
    <row r="22" spans="1:29" ht="15">
      <c r="A22" s="383"/>
      <c r="B22" s="616"/>
      <c r="C22" s="426"/>
      <c r="D22" s="427"/>
      <c r="E22" s="1472"/>
      <c r="F22" s="427"/>
      <c r="G22" s="1472"/>
      <c r="H22" s="427"/>
      <c r="I22" s="426"/>
      <c r="J22" s="427"/>
      <c r="K22" s="655"/>
      <c r="L22" s="1253"/>
      <c r="M22" s="1244"/>
      <c r="N22" s="1244"/>
      <c r="O22" s="1252"/>
      <c r="P22" s="3061"/>
      <c r="Q22" s="1898"/>
      <c r="R22" s="753"/>
      <c r="S22" s="754"/>
      <c r="T22" s="753"/>
      <c r="U22" s="754"/>
      <c r="V22" s="753"/>
      <c r="W22" s="754"/>
      <c r="X22" s="1899"/>
      <c r="Y22" s="3061"/>
      <c r="Z22" s="1901"/>
      <c r="AA22" s="1902">
        <v>1</v>
      </c>
      <c r="AB22" s="1902">
        <v>1</v>
      </c>
      <c r="AC22" s="1902">
        <v>1</v>
      </c>
    </row>
    <row r="23" spans="1:29" s="35" customFormat="1" ht="42.75">
      <c r="A23" s="633"/>
      <c r="B23" s="615" t="s">
        <v>2448</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1"/>
      <c r="Q23" s="1886" t="str">
        <f t="shared" si="8"/>
        <v>公共配套设施</v>
      </c>
      <c r="R23" s="749" t="s">
        <v>25</v>
      </c>
      <c r="S23" s="750">
        <f>F23</f>
        <v>100</v>
      </c>
      <c r="T23" s="749" t="s">
        <v>25</v>
      </c>
      <c r="U23" s="750">
        <f>H23</f>
        <v>100</v>
      </c>
      <c r="V23" s="749" t="s">
        <v>25</v>
      </c>
      <c r="W23" s="750">
        <f>J23</f>
        <v>100</v>
      </c>
      <c r="X23" s="751"/>
      <c r="Y23" s="3061"/>
      <c r="Z23" s="23" t="str">
        <f>Q23</f>
        <v>公共配套设施</v>
      </c>
      <c r="AA23" s="1902">
        <f>D23/F23</f>
        <v>1</v>
      </c>
      <c r="AB23" s="1902">
        <f>D23/H23</f>
        <v>1</v>
      </c>
      <c r="AC23" s="1902">
        <f>D23/J23</f>
        <v>1</v>
      </c>
    </row>
    <row r="24" spans="1:29" s="35" customFormat="1" ht="15">
      <c r="A24" s="633"/>
      <c r="B24" s="616"/>
      <c r="C24" s="2495"/>
      <c r="D24" s="427"/>
      <c r="E24" s="1472"/>
      <c r="F24" s="427"/>
      <c r="G24" s="1472"/>
      <c r="H24" s="427"/>
      <c r="I24" s="426"/>
      <c r="J24" s="427"/>
      <c r="K24" s="655"/>
      <c r="L24" s="1245"/>
      <c r="M24" s="1246"/>
      <c r="N24" s="1246"/>
      <c r="O24" s="1247"/>
      <c r="P24" s="3061"/>
      <c r="Q24" s="1886"/>
      <c r="R24" s="749"/>
      <c r="S24" s="750"/>
      <c r="T24" s="749"/>
      <c r="U24" s="750"/>
      <c r="V24" s="749"/>
      <c r="W24" s="750"/>
      <c r="X24" s="751"/>
      <c r="Y24" s="3061"/>
      <c r="Z24" s="23"/>
      <c r="AA24" s="752">
        <v>1</v>
      </c>
      <c r="AB24" s="752">
        <v>1</v>
      </c>
      <c r="AC24" s="752">
        <v>1</v>
      </c>
    </row>
    <row r="25" spans="1:29" s="35" customFormat="1" ht="28.5">
      <c r="A25" s="633"/>
      <c r="B25" s="617" t="s">
        <v>2449</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1"/>
      <c r="Q25" s="1886" t="str">
        <f t="shared" ref="Q25" si="9">B25</f>
        <v>基础设施水平</v>
      </c>
      <c r="R25" s="749" t="s">
        <v>25</v>
      </c>
      <c r="S25" s="750">
        <f>F25</f>
        <v>100</v>
      </c>
      <c r="T25" s="749" t="s">
        <v>25</v>
      </c>
      <c r="U25" s="750">
        <f>H25</f>
        <v>100</v>
      </c>
      <c r="V25" s="749" t="s">
        <v>25</v>
      </c>
      <c r="W25" s="750">
        <f>J25</f>
        <v>100</v>
      </c>
      <c r="X25" s="751"/>
      <c r="Y25" s="3061"/>
      <c r="Z25" s="23" t="str">
        <f>Q25</f>
        <v>基础设施水平</v>
      </c>
      <c r="AA25" s="1902">
        <f>D25/F25</f>
        <v>1</v>
      </c>
      <c r="AB25" s="1902">
        <f>D25/H25</f>
        <v>1</v>
      </c>
      <c r="AC25" s="1902">
        <f>D25/J25</f>
        <v>1</v>
      </c>
    </row>
    <row r="26" spans="1:29" s="35" customFormat="1" ht="15">
      <c r="A26" s="633"/>
      <c r="B26" s="616"/>
      <c r="C26" s="2495"/>
      <c r="D26" s="427"/>
      <c r="E26" s="2484"/>
      <c r="F26" s="427"/>
      <c r="G26" s="2484"/>
      <c r="H26" s="427"/>
      <c r="I26" s="2484"/>
      <c r="J26" s="427"/>
      <c r="K26" s="655"/>
      <c r="L26" s="1245"/>
      <c r="M26" s="1246"/>
      <c r="N26" s="1246"/>
      <c r="O26" s="1247"/>
      <c r="P26" s="3061"/>
      <c r="Q26" s="1886"/>
      <c r="R26" s="749"/>
      <c r="S26" s="750"/>
      <c r="T26" s="749"/>
      <c r="U26" s="750"/>
      <c r="V26" s="749"/>
      <c r="W26" s="750"/>
      <c r="X26" s="751"/>
      <c r="Y26" s="3061"/>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1"/>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61"/>
      <c r="Z27" s="1901" t="str">
        <f t="shared" ref="Z27:Z40" si="13">Q27</f>
        <v>临街状况</v>
      </c>
      <c r="AA27" s="1902">
        <f t="shared" si="3"/>
        <v>1</v>
      </c>
      <c r="AB27" s="1902">
        <f t="shared" si="4"/>
        <v>1</v>
      </c>
      <c r="AC27" s="1902">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1"/>
      <c r="Q28" s="1898" t="str">
        <f t="shared" si="8"/>
        <v>毗邻道路的类型与等级</v>
      </c>
      <c r="R28" s="753" t="s">
        <v>25</v>
      </c>
      <c r="S28" s="754">
        <f t="shared" si="10"/>
        <v>100</v>
      </c>
      <c r="T28" s="753" t="s">
        <v>25</v>
      </c>
      <c r="U28" s="754">
        <f t="shared" si="11"/>
        <v>100</v>
      </c>
      <c r="V28" s="753" t="s">
        <v>25</v>
      </c>
      <c r="W28" s="754">
        <f t="shared" si="12"/>
        <v>100</v>
      </c>
      <c r="X28" s="1899"/>
      <c r="Y28" s="3061"/>
      <c r="Z28" s="1901" t="str">
        <f t="shared" si="13"/>
        <v>毗邻道路的类型与等级</v>
      </c>
      <c r="AA28" s="1902">
        <f t="shared" si="3"/>
        <v>1</v>
      </c>
      <c r="AB28" s="1902">
        <f t="shared" si="4"/>
        <v>1</v>
      </c>
      <c r="AC28" s="1902">
        <f t="shared" si="5"/>
        <v>1</v>
      </c>
    </row>
    <row r="29" spans="1:29" ht="15">
      <c r="A29" s="408"/>
      <c r="B29" s="616"/>
      <c r="C29" s="426"/>
      <c r="D29" s="427"/>
      <c r="E29" s="1472"/>
      <c r="F29" s="427"/>
      <c r="G29" s="1472"/>
      <c r="H29" s="427"/>
      <c r="I29" s="1472"/>
      <c r="J29" s="427"/>
      <c r="K29" s="597"/>
      <c r="L29" s="1253"/>
      <c r="M29" s="1244"/>
      <c r="N29" s="1244"/>
      <c r="O29" s="1252"/>
      <c r="P29" s="3061"/>
      <c r="Q29" s="1898"/>
      <c r="R29" s="753"/>
      <c r="S29" s="754"/>
      <c r="T29" s="753"/>
      <c r="U29" s="754"/>
      <c r="V29" s="753"/>
      <c r="W29" s="754"/>
      <c r="X29" s="1899"/>
      <c r="Y29" s="3061"/>
      <c r="Z29" s="1901"/>
      <c r="AA29" s="1902">
        <v>1</v>
      </c>
      <c r="AB29" s="1902">
        <v>1</v>
      </c>
      <c r="AC29" s="1902">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1"/>
      <c r="Q30" s="1898" t="str">
        <f t="shared" si="8"/>
        <v>土地级别</v>
      </c>
      <c r="R30" s="753" t="s">
        <v>25</v>
      </c>
      <c r="S30" s="754">
        <f t="shared" si="10"/>
        <v>100</v>
      </c>
      <c r="T30" s="753" t="s">
        <v>25</v>
      </c>
      <c r="U30" s="754">
        <f t="shared" si="11"/>
        <v>100</v>
      </c>
      <c r="V30" s="753" t="s">
        <v>25</v>
      </c>
      <c r="W30" s="754">
        <f t="shared" si="12"/>
        <v>100</v>
      </c>
      <c r="X30" s="1899"/>
      <c r="Y30" s="3061"/>
      <c r="Z30" s="1901" t="str">
        <f t="shared" si="13"/>
        <v>土地级别</v>
      </c>
      <c r="AA30" s="1902">
        <f t="shared" si="3"/>
        <v>1</v>
      </c>
      <c r="AB30" s="1902">
        <f t="shared" si="4"/>
        <v>1</v>
      </c>
      <c r="AC30" s="1902">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1"/>
      <c r="Q31" s="1898">
        <f t="shared" si="8"/>
        <v>111</v>
      </c>
      <c r="R31" s="753" t="s">
        <v>25</v>
      </c>
      <c r="S31" s="754">
        <f t="shared" si="10"/>
        <v>100</v>
      </c>
      <c r="T31" s="753" t="s">
        <v>25</v>
      </c>
      <c r="U31" s="754">
        <f t="shared" si="11"/>
        <v>100</v>
      </c>
      <c r="V31" s="753" t="s">
        <v>25</v>
      </c>
      <c r="W31" s="754">
        <f t="shared" si="12"/>
        <v>100</v>
      </c>
      <c r="X31" s="1899"/>
      <c r="Y31" s="3061"/>
      <c r="Z31" s="1901">
        <f t="shared" si="13"/>
        <v>111</v>
      </c>
      <c r="AA31" s="1902">
        <f t="shared" si="3"/>
        <v>1</v>
      </c>
      <c r="AB31" s="1902">
        <f t="shared" si="4"/>
        <v>1</v>
      </c>
      <c r="AC31" s="1902">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9" t="s">
        <v>2368</v>
      </c>
      <c r="Q32" s="1898">
        <f t="shared" si="8"/>
        <v>111</v>
      </c>
      <c r="R32" s="753" t="s">
        <v>25</v>
      </c>
      <c r="S32" s="754">
        <f t="shared" si="10"/>
        <v>100</v>
      </c>
      <c r="T32" s="753" t="s">
        <v>25</v>
      </c>
      <c r="U32" s="754">
        <f t="shared" si="11"/>
        <v>100</v>
      </c>
      <c r="V32" s="753" t="s">
        <v>25</v>
      </c>
      <c r="W32" s="754">
        <f t="shared" si="12"/>
        <v>100</v>
      </c>
      <c r="X32" s="1899"/>
      <c r="Y32" s="3065" t="s">
        <v>2368</v>
      </c>
      <c r="Z32" s="1901">
        <f t="shared" si="13"/>
        <v>111</v>
      </c>
      <c r="AA32" s="1902">
        <f t="shared" si="3"/>
        <v>1</v>
      </c>
      <c r="AB32" s="1902">
        <f t="shared" si="4"/>
        <v>1</v>
      </c>
      <c r="AC32" s="1902">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5"/>
      <c r="Q33" s="1898">
        <f t="shared" si="8"/>
        <v>111</v>
      </c>
      <c r="R33" s="756" t="s">
        <v>25</v>
      </c>
      <c r="S33" s="757">
        <f t="shared" si="10"/>
        <v>100</v>
      </c>
      <c r="T33" s="756" t="s">
        <v>25</v>
      </c>
      <c r="U33" s="757">
        <f t="shared" si="11"/>
        <v>100</v>
      </c>
      <c r="V33" s="756" t="s">
        <v>25</v>
      </c>
      <c r="W33" s="757">
        <f t="shared" si="12"/>
        <v>100</v>
      </c>
      <c r="X33" s="758"/>
      <c r="Y33" s="3065"/>
      <c r="Z33" s="759">
        <f t="shared" si="13"/>
        <v>111</v>
      </c>
      <c r="AA33" s="1902">
        <f t="shared" si="3"/>
        <v>1</v>
      </c>
      <c r="AB33" s="1902">
        <f t="shared" si="4"/>
        <v>1</v>
      </c>
      <c r="AC33" s="1902">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5"/>
      <c r="Q34" s="1898" t="str">
        <f>B34</f>
        <v>宗地面积</v>
      </c>
      <c r="R34" s="753" t="s">
        <v>25</v>
      </c>
      <c r="S34" s="754" t="e">
        <f t="shared" si="10"/>
        <v>#N/A</v>
      </c>
      <c r="T34" s="753" t="s">
        <v>25</v>
      </c>
      <c r="U34" s="754" t="e">
        <f t="shared" si="11"/>
        <v>#N/A</v>
      </c>
      <c r="V34" s="753" t="s">
        <v>25</v>
      </c>
      <c r="W34" s="754" t="e">
        <f t="shared" si="12"/>
        <v>#N/A</v>
      </c>
      <c r="X34" s="1899"/>
      <c r="Y34" s="3065"/>
      <c r="Z34" s="1901" t="str">
        <f t="shared" si="13"/>
        <v>宗地面积</v>
      </c>
      <c r="AA34" s="1902" t="e">
        <f t="shared" si="3"/>
        <v>#N/A</v>
      </c>
      <c r="AB34" s="1902" t="e">
        <f t="shared" si="4"/>
        <v>#N/A</v>
      </c>
      <c r="AC34" s="1902" t="e">
        <f t="shared" si="5"/>
        <v>#N/A</v>
      </c>
    </row>
    <row r="35" spans="1:29" ht="15">
      <c r="A35" s="453"/>
      <c r="B35" s="402" t="s">
        <v>2549</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65"/>
      <c r="Q35" s="1898" t="str">
        <f t="shared" ref="Q35:Q40" si="14">B35</f>
        <v>宗地形状</v>
      </c>
      <c r="R35" s="753" t="s">
        <v>25</v>
      </c>
      <c r="S35" s="754">
        <f t="shared" si="10"/>
        <v>100</v>
      </c>
      <c r="T35" s="753" t="s">
        <v>25</v>
      </c>
      <c r="U35" s="754">
        <f t="shared" si="11"/>
        <v>100</v>
      </c>
      <c r="V35" s="753" t="s">
        <v>25</v>
      </c>
      <c r="W35" s="754">
        <f t="shared" si="12"/>
        <v>100</v>
      </c>
      <c r="X35" s="1899"/>
      <c r="Y35" s="3065"/>
      <c r="Z35" s="1901" t="str">
        <f t="shared" si="13"/>
        <v>宗地形状</v>
      </c>
      <c r="AA35" s="1902">
        <f t="shared" si="3"/>
        <v>1</v>
      </c>
      <c r="AB35" s="1902">
        <f t="shared" si="4"/>
        <v>1</v>
      </c>
      <c r="AC35" s="1902">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65"/>
      <c r="Q36" s="1898" t="str">
        <f t="shared" si="14"/>
        <v>宗地开发程度</v>
      </c>
      <c r="R36" s="749" t="s">
        <v>25</v>
      </c>
      <c r="S36" s="750">
        <f t="shared" si="10"/>
        <v>100</v>
      </c>
      <c r="T36" s="749" t="s">
        <v>25</v>
      </c>
      <c r="U36" s="750">
        <f t="shared" si="11"/>
        <v>100</v>
      </c>
      <c r="V36" s="749" t="s">
        <v>25</v>
      </c>
      <c r="W36" s="750">
        <f t="shared" si="12"/>
        <v>100</v>
      </c>
      <c r="X36" s="751"/>
      <c r="Y36" s="3065"/>
      <c r="Z36" s="23" t="str">
        <f t="shared" si="13"/>
        <v>宗地开发程度</v>
      </c>
      <c r="AA36" s="752">
        <f t="shared" si="3"/>
        <v>1</v>
      </c>
      <c r="AB36" s="752">
        <f t="shared" si="4"/>
        <v>1</v>
      </c>
      <c r="AC36" s="752">
        <f t="shared" si="5"/>
        <v>1</v>
      </c>
    </row>
    <row r="37" spans="1:29" ht="15">
      <c r="A37" s="453"/>
      <c r="B37" s="402" t="s">
        <v>2552</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65" t="s">
        <v>2368</v>
      </c>
      <c r="Q37" s="1898" t="str">
        <f t="shared" si="14"/>
        <v>工程地质条件</v>
      </c>
      <c r="R37" s="753" t="s">
        <v>25</v>
      </c>
      <c r="S37" s="754">
        <f t="shared" si="10"/>
        <v>100</v>
      </c>
      <c r="T37" s="753" t="s">
        <v>25</v>
      </c>
      <c r="U37" s="754">
        <f t="shared" si="11"/>
        <v>100</v>
      </c>
      <c r="V37" s="753" t="s">
        <v>25</v>
      </c>
      <c r="W37" s="754">
        <f t="shared" si="12"/>
        <v>100</v>
      </c>
      <c r="X37" s="1899"/>
      <c r="Y37" s="3065" t="s">
        <v>2368</v>
      </c>
      <c r="Z37" s="1901" t="str">
        <f t="shared" si="13"/>
        <v>工程地质条件</v>
      </c>
      <c r="AA37" s="1902">
        <f t="shared" si="3"/>
        <v>1</v>
      </c>
      <c r="AB37" s="1902">
        <f t="shared" si="4"/>
        <v>1</v>
      </c>
      <c r="AC37" s="1902">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5"/>
      <c r="Q38" s="1898">
        <f t="shared" si="14"/>
        <v>111</v>
      </c>
      <c r="R38" s="753" t="s">
        <v>25</v>
      </c>
      <c r="S38" s="754">
        <f t="shared" si="10"/>
        <v>100</v>
      </c>
      <c r="T38" s="753" t="s">
        <v>25</v>
      </c>
      <c r="U38" s="754">
        <f t="shared" si="11"/>
        <v>100</v>
      </c>
      <c r="V38" s="753" t="s">
        <v>25</v>
      </c>
      <c r="W38" s="754">
        <f t="shared" si="12"/>
        <v>100</v>
      </c>
      <c r="X38" s="1899"/>
      <c r="Y38" s="3065"/>
      <c r="Z38" s="1901">
        <f t="shared" si="13"/>
        <v>111</v>
      </c>
      <c r="AA38" s="1902">
        <f t="shared" si="3"/>
        <v>1</v>
      </c>
      <c r="AB38" s="1902">
        <f t="shared" si="4"/>
        <v>1</v>
      </c>
      <c r="AC38" s="1902">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5"/>
      <c r="Q39" s="1898">
        <f t="shared" si="14"/>
        <v>111</v>
      </c>
      <c r="R39" s="753" t="s">
        <v>25</v>
      </c>
      <c r="S39" s="754">
        <f t="shared" si="10"/>
        <v>100</v>
      </c>
      <c r="T39" s="753" t="s">
        <v>25</v>
      </c>
      <c r="U39" s="754">
        <f t="shared" si="11"/>
        <v>100</v>
      </c>
      <c r="V39" s="753" t="s">
        <v>25</v>
      </c>
      <c r="W39" s="754">
        <f t="shared" si="12"/>
        <v>100</v>
      </c>
      <c r="X39" s="1899"/>
      <c r="Y39" s="3065"/>
      <c r="Z39" s="1901">
        <f t="shared" si="13"/>
        <v>111</v>
      </c>
      <c r="AA39" s="1902">
        <f t="shared" si="3"/>
        <v>1</v>
      </c>
      <c r="AB39" s="1902">
        <f t="shared" si="4"/>
        <v>1</v>
      </c>
      <c r="AC39" s="1902">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5"/>
      <c r="Q40" s="1898">
        <f t="shared" si="14"/>
        <v>111</v>
      </c>
      <c r="R40" s="756" t="s">
        <v>25</v>
      </c>
      <c r="S40" s="757">
        <f t="shared" si="10"/>
        <v>100</v>
      </c>
      <c r="T40" s="756" t="s">
        <v>25</v>
      </c>
      <c r="U40" s="757">
        <f t="shared" si="11"/>
        <v>100</v>
      </c>
      <c r="V40" s="756" t="s">
        <v>25</v>
      </c>
      <c r="W40" s="757">
        <f t="shared" si="12"/>
        <v>100</v>
      </c>
      <c r="X40" s="758"/>
      <c r="Y40" s="3065"/>
      <c r="Z40" s="759">
        <f t="shared" si="13"/>
        <v>111</v>
      </c>
      <c r="AA40" s="1902">
        <f t="shared" si="3"/>
        <v>1</v>
      </c>
      <c r="AB40" s="1902">
        <f t="shared" si="4"/>
        <v>1</v>
      </c>
      <c r="AC40" s="1902">
        <f t="shared" si="5"/>
        <v>1</v>
      </c>
    </row>
    <row r="41" spans="1:29" ht="15">
      <c r="A41" s="460" t="s">
        <v>2516</v>
      </c>
      <c r="B41" s="2489" t="s">
        <v>2591</v>
      </c>
      <c r="C41" s="665" t="s">
        <v>1</v>
      </c>
      <c r="D41" s="462"/>
      <c r="E41" s="463"/>
      <c r="F41" s="464"/>
      <c r="G41" s="465"/>
      <c r="H41" s="466"/>
      <c r="I41" s="463"/>
      <c r="J41" s="466"/>
      <c r="K41" s="762"/>
      <c r="L41" s="1256"/>
      <c r="M41" s="1244"/>
      <c r="N41" s="1244"/>
      <c r="O41" s="1257"/>
      <c r="P41" s="3071" t="str">
        <f>A41</f>
        <v>成交单价</v>
      </c>
      <c r="Q41" s="3071"/>
      <c r="R41" s="3051">
        <f>E41</f>
        <v>0</v>
      </c>
      <c r="S41" s="3051"/>
      <c r="T41" s="3051">
        <f>G41</f>
        <v>0</v>
      </c>
      <c r="U41" s="3051"/>
      <c r="V41" s="3051">
        <f>I41</f>
        <v>0</v>
      </c>
      <c r="W41" s="3051"/>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71" t="str">
        <f>A42</f>
        <v>比较价值（元/平方米）</v>
      </c>
      <c r="Q42" s="3071"/>
      <c r="R42" s="3090" t="e">
        <f>ROUND(PRODUCT(R41,AA7:AA40),0)</f>
        <v>#DIV/0!</v>
      </c>
      <c r="S42" s="3090"/>
      <c r="T42" s="3090" t="e">
        <f>ROUND(PRODUCT(T41,AB7:AB40),0)</f>
        <v>#DIV/0!</v>
      </c>
      <c r="U42" s="3090"/>
      <c r="V42" s="3090" t="e">
        <f>ROUND(PRODUCT(V41,AC7:AC40),0)</f>
        <v>#DIV/0!</v>
      </c>
      <c r="W42" s="3090"/>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77" t="str">
        <f>A43</f>
        <v>估价对象XX用房的比较价值（楼面单价，元/平方米）</v>
      </c>
      <c r="Q43" s="3078"/>
      <c r="R43" s="3091" t="e">
        <f>ROUND(AVERAGE(R42:V42),0)</f>
        <v>#DIV/0!</v>
      </c>
      <c r="S43" s="3091"/>
      <c r="T43" s="3091"/>
      <c r="U43" s="3091"/>
      <c r="V43" s="3091"/>
      <c r="W43" s="309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1" t="s">
        <v>2592</v>
      </c>
      <c r="H50" s="1901">
        <f>项目基本情况!G8</f>
        <v>0</v>
      </c>
      <c r="I50" s="1848"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2565</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2566</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2567</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2568</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2569</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2570</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2571</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2018-12-1</v>
      </c>
      <c r="D63" s="1670">
        <f>EDATE(C63,-3)</f>
        <v>43344</v>
      </c>
      <c r="E63" s="1670">
        <f t="shared" ref="E63:O63" si="18">EDATE(D63,-3)</f>
        <v>43252</v>
      </c>
      <c r="F63" s="1670">
        <f t="shared" si="18"/>
        <v>43160</v>
      </c>
      <c r="G63" s="1670">
        <f t="shared" si="18"/>
        <v>43070</v>
      </c>
      <c r="H63" s="1670">
        <f t="shared" si="18"/>
        <v>42979</v>
      </c>
      <c r="I63" s="1670">
        <f t="shared" si="18"/>
        <v>42887</v>
      </c>
      <c r="J63" s="1670">
        <f t="shared" si="18"/>
        <v>42795</v>
      </c>
      <c r="K63" s="1670">
        <f t="shared" si="18"/>
        <v>42705</v>
      </c>
      <c r="L63" s="1670">
        <f t="shared" si="18"/>
        <v>42614</v>
      </c>
      <c r="M63" s="1670">
        <f t="shared" si="18"/>
        <v>42522</v>
      </c>
      <c r="N63" s="1670">
        <f t="shared" si="18"/>
        <v>42430</v>
      </c>
      <c r="O63" s="1670">
        <f t="shared" si="18"/>
        <v>42339</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1" t="str">
        <f>YEAR(C63)&amp;"-"&amp;ROUNDUP(MONTH(C63)/3,0)</f>
        <v>2018-4</v>
      </c>
      <c r="D65" s="1671" t="str">
        <f t="shared" ref="D65:O65" si="19">YEAR(D63)&amp;"-"&amp;ROUNDUP(MONTH(D63)/3,0)</f>
        <v>2018-3</v>
      </c>
      <c r="E65" s="1671" t="str">
        <f t="shared" si="19"/>
        <v>2018-2</v>
      </c>
      <c r="F65" s="1671" t="str">
        <f t="shared" si="19"/>
        <v>2018-1</v>
      </c>
      <c r="G65" s="1671" t="str">
        <f t="shared" si="19"/>
        <v>2017-4</v>
      </c>
      <c r="H65" s="1671" t="str">
        <f t="shared" si="19"/>
        <v>2017-3</v>
      </c>
      <c r="I65" s="1671" t="str">
        <f t="shared" si="19"/>
        <v>2017-2</v>
      </c>
      <c r="J65" s="1671" t="str">
        <f t="shared" si="19"/>
        <v>2017-1</v>
      </c>
      <c r="K65" s="1671" t="str">
        <f t="shared" si="19"/>
        <v>2016-4</v>
      </c>
      <c r="L65" s="1671" t="str">
        <f t="shared" si="19"/>
        <v>2016-3</v>
      </c>
      <c r="M65" s="1671" t="str">
        <f t="shared" si="19"/>
        <v>2016-2</v>
      </c>
      <c r="N65" s="1671" t="str">
        <f t="shared" si="19"/>
        <v>2016-1</v>
      </c>
      <c r="O65" s="1671" t="str">
        <f t="shared" si="19"/>
        <v>2015-4</v>
      </c>
      <c r="P65" s="488"/>
    </row>
    <row r="66" spans="1:17" s="35" customFormat="1" ht="33.75" customHeight="1">
      <c r="A66" s="2499" t="s">
        <v>2593</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2388</v>
      </c>
      <c r="B67" s="497"/>
      <c r="C67" s="498"/>
      <c r="D67" s="499"/>
      <c r="E67" s="499"/>
      <c r="F67" s="499"/>
      <c r="G67" s="499"/>
      <c r="H67" s="499"/>
      <c r="I67" s="499"/>
      <c r="J67" s="499"/>
      <c r="K67" s="499"/>
      <c r="L67" s="499"/>
      <c r="M67" s="500"/>
      <c r="N67" s="499"/>
      <c r="O67" s="1676"/>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估价对象为北京市房地产，为所有。根据《不动产权证书》[]，估价对象建筑面积为99.8平方米，（分摊）出让国有建设用地使用权面积为平方米。估价对象用途为。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2018年12月5日（评估专业人员实地查勘之日）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本次估价的“房地产价值”是指在正常市场情况下，在价值时点2018年12月5日，估价对象规划用途为，假定未设立法定优先受偿款下的房地产市场价值。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09" t="s">
        <v>2597</v>
      </c>
      <c r="S1" s="1709" t="s">
        <v>2598</v>
      </c>
      <c r="T1" s="1709" t="s">
        <v>2599</v>
      </c>
      <c r="U1" s="1709" t="s">
        <v>2600</v>
      </c>
      <c r="V1" s="1709" t="s">
        <v>2601</v>
      </c>
      <c r="W1" s="1713"/>
      <c r="X1" s="1713"/>
      <c r="Y1" s="1713"/>
      <c r="Z1" s="1713"/>
      <c r="AA1" s="1713"/>
      <c r="AB1" s="1713"/>
      <c r="AC1" s="1714"/>
      <c r="AD1" s="1715"/>
      <c r="AE1" s="1715"/>
      <c r="AF1" s="1715"/>
      <c r="AG1" s="1715"/>
      <c r="AH1" s="1715"/>
      <c r="AI1" s="1715"/>
      <c r="AJ1" s="1716"/>
    </row>
    <row r="2" spans="1:36" ht="24.75">
      <c r="A2" s="165" t="s">
        <v>2602</v>
      </c>
      <c r="B2" s="168" t="e">
        <f>C26</f>
        <v>#DIV/0!</v>
      </c>
      <c r="C2" s="2505" t="s">
        <v>2603</v>
      </c>
      <c r="D2" s="2506" t="s">
        <v>2604</v>
      </c>
      <c r="E2" s="2507"/>
      <c r="F2" s="2506" t="s">
        <v>2605</v>
      </c>
      <c r="G2" s="2508">
        <f>项目基本情况!F9</f>
        <v>0</v>
      </c>
      <c r="H2" s="2509" t="s">
        <v>2606</v>
      </c>
      <c r="I2" s="2508">
        <f>项目基本情况!F10</f>
        <v>0</v>
      </c>
      <c r="J2" s="2510"/>
      <c r="L2" s="2511" t="s">
        <v>2607</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8"/>
      <c r="B4" s="3109"/>
      <c r="C4" s="3109"/>
      <c r="D4" s="3110"/>
      <c r="E4" s="3110"/>
      <c r="F4" s="3110"/>
      <c r="G4" s="3110"/>
      <c r="H4" s="3110"/>
      <c r="I4" s="3110"/>
      <c r="J4" s="3111"/>
      <c r="L4" s="2511" t="s">
        <v>2615</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3" customFormat="1" ht="15.75" thickBot="1">
      <c r="A5" s="2514" t="s">
        <v>2616</v>
      </c>
      <c r="B5" s="2515" t="s">
        <v>2617</v>
      </c>
      <c r="C5" s="942" t="e">
        <f>ROUND(IF(E2="商业",IF(F16="增加",C6*C7+C16,C6*C7-C16),IF(E2="住宅",IF(F16="增加",C6*C12+C16,C6*C12-C16),IF(F16="增加",C6+C16,C6-C16))),0)</f>
        <v>#DIV/0!</v>
      </c>
      <c r="D5" s="1876">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0"/>
      <c r="AD6" s="2521"/>
      <c r="AE6" s="2521"/>
      <c r="AF6" s="2521"/>
      <c r="AG6" s="2521"/>
      <c r="AH6" s="2521"/>
      <c r="AI6" s="2521"/>
      <c r="AJ6" s="2522"/>
    </row>
    <row r="7" spans="1:36" ht="24">
      <c r="A7" s="3092"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4" t="s">
        <v>2625</v>
      </c>
      <c r="X7" s="1711">
        <f>G2</f>
        <v>0</v>
      </c>
      <c r="Y7" s="1711" t="s">
        <v>2626</v>
      </c>
      <c r="Z7" s="1712">
        <f>G3</f>
        <v>0</v>
      </c>
      <c r="AA7" s="1713"/>
      <c r="AB7" s="1713"/>
      <c r="AC7" s="1714"/>
      <c r="AD7" s="1715"/>
      <c r="AE7" s="1715"/>
      <c r="AF7" s="1715"/>
      <c r="AG7" s="1715"/>
      <c r="AH7" s="1715"/>
      <c r="AI7" s="1715"/>
      <c r="AJ7" s="1716"/>
    </row>
    <row r="8" spans="1:36" ht="15">
      <c r="A8" s="3093"/>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05" t="s">
        <v>2630</v>
      </c>
      <c r="X8" s="3106"/>
      <c r="Y8" s="1717" t="s">
        <v>2631</v>
      </c>
      <c r="Z8" s="1717" t="s">
        <v>2632</v>
      </c>
      <c r="AA8" s="1717" t="s">
        <v>2633</v>
      </c>
      <c r="AB8" s="1717" t="s">
        <v>2634</v>
      </c>
      <c r="AC8" s="1717" t="s">
        <v>2635</v>
      </c>
      <c r="AD8" s="1717" t="s">
        <v>2636</v>
      </c>
      <c r="AE8" s="1717" t="s">
        <v>2637</v>
      </c>
      <c r="AF8" s="1717" t="s">
        <v>2638</v>
      </c>
      <c r="AG8" s="1717" t="s">
        <v>2639</v>
      </c>
      <c r="AH8" s="1717" t="s">
        <v>2640</v>
      </c>
      <c r="AI8" s="1717" t="s">
        <v>2641</v>
      </c>
      <c r="AJ8" s="1717" t="s">
        <v>2642</v>
      </c>
    </row>
    <row r="9" spans="1:36" ht="15">
      <c r="A9" s="3093"/>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7" t="s">
        <v>2646</v>
      </c>
      <c r="X9" s="1718" t="s">
        <v>2647</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3"/>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3"/>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7" t="s">
        <v>2654</v>
      </c>
      <c r="X11" s="1722" t="s">
        <v>2655</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2"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7"/>
      <c r="X12" s="1724" t="s">
        <v>2659</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2"/>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09">
        <v>12</v>
      </c>
      <c r="S13" s="1710"/>
      <c r="T13" s="1709" t="e">
        <f t="shared" si="0"/>
        <v>#DIV/0!</v>
      </c>
      <c r="U13" s="1710"/>
      <c r="V13" s="1709" t="e">
        <f t="shared" si="1"/>
        <v>#DIV/0!</v>
      </c>
      <c r="W13" s="310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2"/>
      <c r="B14" s="2555"/>
      <c r="C14" s="2556" t="s">
        <v>2666</v>
      </c>
      <c r="D14" s="2557" t="s">
        <v>2667</v>
      </c>
      <c r="E14" s="2557" t="s">
        <v>2667</v>
      </c>
      <c r="F14" s="2558" t="s">
        <v>2668</v>
      </c>
      <c r="G14" s="2559" t="s">
        <v>2669</v>
      </c>
      <c r="H14" s="2560"/>
      <c r="I14" s="2561"/>
      <c r="J14" s="2562"/>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13"/>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2" t="b">
        <f>IF(E2="办公",2,IF(E2="工业",2,IF(E2="住宅",3,IF(E2="商业",IF(C8="不临58条商业街",2,3)))))</f>
        <v>0</v>
      </c>
      <c r="B16" s="2531" t="s">
        <v>2676</v>
      </c>
      <c r="C16" s="1884" t="e">
        <f>ROUND(SUM(G17:J17)/C17,0)</f>
        <v>#DIV/0!</v>
      </c>
      <c r="D16" s="2566" t="s">
        <v>2677</v>
      </c>
      <c r="E16" s="2567"/>
      <c r="F16" s="2568"/>
      <c r="G16" s="2569"/>
      <c r="H16" s="2569"/>
      <c r="I16" s="2569"/>
      <c r="J16" s="2570"/>
      <c r="L16" s="1460" t="s">
        <v>2678</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3"/>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ROUND(IF(H19="按公示增长率计算",SUMPRODUCT((地价!A3:A23=YEAR(G19)&amp;"-"&amp;ROUNDUP(MONTH(G19)/3,0))*(地价!X2:AB2=E2)*(地价!X3:AB23)),IF(H19="地价指数",M20/M19,(1+I19)^O19)),4)</f>
        <v>#DIV/0!</v>
      </c>
      <c r="D19" s="2582" t="s">
        <v>2687</v>
      </c>
      <c r="E19" s="953">
        <v>41640</v>
      </c>
      <c r="F19" s="2582" t="s">
        <v>2688</v>
      </c>
      <c r="G19" s="954">
        <f>'数据-取费表'!B2</f>
        <v>43439</v>
      </c>
      <c r="H19" s="2583" t="s">
        <v>2689</v>
      </c>
      <c r="I19" s="955" t="str">
        <f>IF(H19="季度增幅（自定义）",SUMIF(N21:N24,E2,O21:O24),"")</f>
        <v/>
      </c>
      <c r="J19" s="2579"/>
      <c r="K19" s="2580"/>
      <c r="L19" s="2584" t="s">
        <v>2690</v>
      </c>
      <c r="M19" s="1825">
        <f>ROUND(SUMIF(地价!B2:F2,E2,地价!B23:F23),0)</f>
        <v>0</v>
      </c>
      <c r="N19" s="1466" t="s">
        <v>2691</v>
      </c>
      <c r="O19" s="956">
        <f>ROUNDDOWN(DATEDIF(E19,G19,"M")/3,0)</f>
        <v>19</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5">
        <f ca="1">存贷款利率!D4/100</f>
        <v>4.3499999999999997E-2</v>
      </c>
      <c r="F20" s="2590" t="s">
        <v>2682</v>
      </c>
      <c r="G20" s="963">
        <f>SUMIF(M15:P15,E2,M17:P17)</f>
        <v>0</v>
      </c>
      <c r="H20" s="2590" t="s">
        <v>2695</v>
      </c>
      <c r="I20" s="964">
        <f>'数据-取费表'!B13</f>
        <v>70</v>
      </c>
      <c r="J20" s="965">
        <f>IF(E2="住宅",70,IF(E2="商业",40,50))</f>
        <v>50</v>
      </c>
      <c r="K20" s="2580"/>
      <c r="L20" s="2591" t="s">
        <v>2696</v>
      </c>
      <c r="M20" s="1826">
        <f>ROUND(SUMPRODUCT((地价!A4:A23=YEAR(G19)&amp;"-"&amp;ROUNDUP(MONTH(G19)/3,0))*(地价!B2:F2=E2)*(地价!B4:F23)),0)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4"/>
      <c r="P21" s="1665">
        <f>SUMPRODUCT((地价!A3:A23=YEAR(G19)&amp;"-"&amp;ROUNDUP(MONTH(G19)/3,0))*(地价!AD2:AH2=N21)*(地价!AD3:AH23))</f>
        <v>0</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898" t="s">
        <v>2704</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0"/>
      <c r="N22" s="2599" t="s">
        <v>2705</v>
      </c>
      <c r="O22" s="1664"/>
      <c r="P22" s="1665">
        <f>SUMPRODUCT((地价!A3:A23=YEAR(G19)&amp;"-"&amp;ROUNDUP(MONTH(G19)/3,0))*(地价!AD2:AH2=N22)*(地价!AD3:AH23))</f>
        <v>0</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f>ROUND(IF(G3&gt;1,IF(I3&lt;7,SUMPRODUCT((B93:B98=I3)*(C92:N92=G2)*(C93:N98)),SUMIF(C92:N92,G2,C100:N100)),IF(I3&lt;7,SUMPRODUCT((B102:B107=I3)*(C92:N92=G2)*(C102:N107)),SUMIF(C92:N92,G2,C109:N109))),4)</f>
        <v>0</v>
      </c>
      <c r="D23" s="2560"/>
      <c r="E23" s="2560"/>
      <c r="F23" s="2602"/>
      <c r="G23" s="2603"/>
      <c r="H23" s="2604"/>
      <c r="I23" s="2605"/>
      <c r="J23" s="2606"/>
      <c r="N23" s="2599" t="s">
        <v>2707</v>
      </c>
      <c r="O23" s="1664"/>
      <c r="P23" s="1665">
        <f>SUMPRODUCT((地价!A3:A23=YEAR(G19)&amp;"-"&amp;ROUNDUP(MONTH(G19)/3,0))*(地价!AD2:AH2=N23)*(地价!AD3:AH23))</f>
        <v>0</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6"/>
      <c r="P24" s="1667">
        <f>SUMPRODUCT((地价!A3:A23=YEAR(G19)&amp;"-"&amp;ROUNDUP(MONTH(G19)/3,0))*(地价!AD2:AH2=N24)*(地价!AD3:AH23))</f>
        <v>0</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8"/>
      <c r="P25" s="1667">
        <f>SUMPRODUCT((地价!A3:A23=YEAR(G19)&amp;"-"&amp;ROUNDUP(MONTH(G19)/3,0))*(地价!AD2:AH2=N25)*(地价!AD3:AH23))</f>
        <v>0</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102" t="s">
        <v>2728</v>
      </c>
      <c r="B33" s="2646" t="s">
        <v>2729</v>
      </c>
      <c r="C33" s="123" t="e">
        <f>ROUND(D5*C19*C20*C24*F33,0)</f>
        <v>#DIV/0!</v>
      </c>
      <c r="D33" s="2631"/>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3"/>
      <c r="B34" s="2551" t="s">
        <v>2730</v>
      </c>
      <c r="C34" s="123" t="e">
        <f>ROUND(D5*C19*C20*C24*F34,0)</f>
        <v>#DIV/0!</v>
      </c>
      <c r="D34" s="2631"/>
      <c r="E34" s="117" t="e">
        <f t="shared" si="6"/>
        <v>#DIV/0!</v>
      </c>
      <c r="F34" s="117">
        <f>SUMIF(修正!A45:A56,G2,修正!C45:C56)</f>
        <v>0</v>
      </c>
      <c r="G34" s="117" t="e">
        <f>ROUND(IF(E2="工业",C34*$M$39,C34*$M$38),0)</f>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3"/>
      <c r="B35" s="2551" t="s">
        <v>2731</v>
      </c>
      <c r="C35" s="123" t="e">
        <f>ROUND(D5*C19*C20*C24*F35,0)</f>
        <v>#DIV/0!</v>
      </c>
      <c r="D35" s="2631"/>
      <c r="E35" s="117" t="e">
        <f t="shared" si="6"/>
        <v>#DIV/0!</v>
      </c>
      <c r="F35" s="117">
        <f>SUMIF(修正!A45:A56,G2,修正!D45:D56)</f>
        <v>0</v>
      </c>
      <c r="G35" s="117" t="e">
        <f>ROUND(IF(E2="工业",C35*$M$39,C35*$M$38),0)</f>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4"/>
      <c r="B36" s="2551" t="s">
        <v>2732</v>
      </c>
      <c r="C36" s="123" t="e">
        <f>ROUND(D5*C19*C20*C24*F36,0)</f>
        <v>#DIV/0!</v>
      </c>
      <c r="D36" s="2631"/>
      <c r="E36" s="117" t="e">
        <f t="shared" si="6"/>
        <v>#DIV/0!</v>
      </c>
      <c r="F36" s="117">
        <f>SUMIF(修正!A45:A56,G2,修正!E45:E56)</f>
        <v>0</v>
      </c>
      <c r="G36" s="117" t="e">
        <f>ROUND(IF(E2="工业",C36*$M$39,C36*$M$38),0)</f>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v>
      </c>
      <c r="G37" s="117" t="e">
        <f>ROUND(IF(E2="工业",C37*$M$39,C37*$M$38),0)</f>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v>
      </c>
      <c r="G38" s="117" t="e">
        <f>ROUND(IF(E2="工业",C38*$M$39,C38*$M$38),0)</f>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v>
      </c>
      <c r="G39" s="150" t="e">
        <f>ROUND(IF(E2="工业",C39*$M$39,C39*$M$38),0)</f>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2754</v>
      </c>
      <c r="B48" s="2670">
        <f>估价对象房地状况!C16</f>
        <v>0</v>
      </c>
      <c r="C48" s="2557"/>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2755</v>
      </c>
      <c r="B49" s="2671" t="str">
        <f>估价对象房地状况!C18</f>
        <v>临近城市高速路——京藏高速，周边有专43号、专89号、307号、345号、355号路等多条公交线路及地铁8号线（永泰站），交通状况较好。</v>
      </c>
      <c r="C49" s="2557"/>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f>估价对象房地状况!C24</f>
        <v>0</v>
      </c>
      <c r="C52" s="2557"/>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229.5">
      <c r="A54" s="2674" t="s">
        <v>2762</v>
      </c>
      <c r="B54" s="2675" t="str">
        <f>估价对象房地状况!C21</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C54" s="2557"/>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4">
      <c r="A55" s="2674" t="s">
        <v>2763</v>
      </c>
      <c r="B55" s="2671" t="str">
        <f>估价对象房地状况!C22</f>
        <v>七通</v>
      </c>
      <c r="C55" s="2557"/>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77.25" thickBot="1">
      <c r="A56" s="2676" t="s">
        <v>2764</v>
      </c>
      <c r="B56" s="2677" t="str">
        <f>估价对象房地状况!C20</f>
        <v>区域自然环境：清河、奥林匹克森林公园、西三旗公园；人文环境：北京信息科技大学（清河小营校区）；综合评价环境状况较好。</v>
      </c>
      <c r="C56" s="2557"/>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38.25">
      <c r="A59" s="2667" t="s">
        <v>2769</v>
      </c>
      <c r="B59" s="2670" t="str">
        <f>估价对象房地状况!C17</f>
        <v>估价对象位于XX商圈，周边办公楼项目较多，入驻率高，办公集聚程度较好</v>
      </c>
      <c r="C59" s="2557"/>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2755</v>
      </c>
      <c r="B60" s="2671" t="str">
        <f>估价对象房地状况!C18</f>
        <v>临近城市高速路——京藏高速，周边有专43号、专89号、307号、345号、355号路等多条公交线路及地铁8号线（永泰站），交通状况较好。</v>
      </c>
      <c r="C60" s="2557"/>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f>估价对象房地状况!C24</f>
        <v>0</v>
      </c>
      <c r="C63" s="2557"/>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229.5">
      <c r="A65" s="2667" t="s">
        <v>2762</v>
      </c>
      <c r="B65" s="2675" t="str">
        <f>估价对象房地状况!C21</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C65" s="2557"/>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4">
      <c r="A66" s="2667" t="s">
        <v>2763</v>
      </c>
      <c r="B66" s="2675" t="str">
        <f>估价对象房地状况!C22</f>
        <v>七通</v>
      </c>
      <c r="C66" s="2557"/>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77.25" thickBot="1">
      <c r="A67" s="2676" t="s">
        <v>2764</v>
      </c>
      <c r="B67" s="2679" t="str">
        <f>估价对象房地状况!C20</f>
        <v>区域自然环境：清河、奥林匹克森林公园、西三旗公园；人文环境：北京信息科技大学（清河小营校区）；综合评价环境状况较好。</v>
      </c>
      <c r="C67" s="2557"/>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51">
      <c r="A70" s="2667" t="s">
        <v>2771</v>
      </c>
      <c r="B70" s="2670" t="str">
        <f>估价对象房地状况!C15</f>
        <v>周边有清润家园、水木天成、永泰园、清缘里中区、永泰东里等居住社区成熟度较好</v>
      </c>
      <c r="C70" s="2557"/>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2755</v>
      </c>
      <c r="B71" s="2671" t="str">
        <f>估价对象房地状况!C18</f>
        <v>临近城市高速路——京藏高速，周边有专43号、专89号、307号、345号、355号路等多条公交线路及地铁8号线（永泰站），交通状况较好。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f>估价对象房地状况!C24</f>
        <v>0</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229.5">
      <c r="A74" s="2667" t="s">
        <v>2762</v>
      </c>
      <c r="B74" s="2675" t="str">
        <f>估价对象房地状况!C21</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4">
      <c r="A75" s="2667" t="s">
        <v>2763</v>
      </c>
      <c r="B75" s="2675" t="str">
        <f>估价对象房地状况!C22</f>
        <v>七通</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76.5">
      <c r="A77" s="2667" t="s">
        <v>2764</v>
      </c>
      <c r="B77" s="2670" t="str">
        <f>估价对象房地状况!C20</f>
        <v>区域自然环境：清河、奥林匹克森林公园、西三旗公园；人文环境：北京信息科技大学（清河小营校区）；综合评价环境状况较好。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94" t="s">
        <v>2777</v>
      </c>
      <c r="B90" s="3094"/>
      <c r="C90" s="3094"/>
      <c r="D90" s="3094"/>
      <c r="E90" s="3094"/>
      <c r="F90" s="3094"/>
      <c r="G90" s="3094"/>
      <c r="H90" s="3094"/>
      <c r="I90" s="3094"/>
      <c r="J90" s="3094"/>
      <c r="K90" s="2684"/>
      <c r="L90" s="2684"/>
      <c r="M90" s="2684"/>
      <c r="N90" s="2684"/>
    </row>
    <row r="91" spans="1:37">
      <c r="A91" s="3096" t="s">
        <v>2778</v>
      </c>
      <c r="B91" s="3096" t="s">
        <v>2779</v>
      </c>
      <c r="C91" s="2632" t="s">
        <v>2780</v>
      </c>
      <c r="D91" s="2633"/>
      <c r="E91" s="2633"/>
      <c r="F91" s="2633"/>
      <c r="G91" s="2633"/>
      <c r="H91" s="2633"/>
      <c r="I91" s="2633"/>
      <c r="J91" s="2685"/>
      <c r="K91" s="2686"/>
      <c r="L91" s="2686"/>
      <c r="M91" s="2686"/>
      <c r="N91" s="2686"/>
    </row>
    <row r="92" spans="1:37">
      <c r="A92" s="3096"/>
      <c r="B92" s="3096"/>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97"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98"/>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98"/>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98"/>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98"/>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98"/>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98"/>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99"/>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97"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98"/>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98"/>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98"/>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98"/>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98"/>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98"/>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98"/>
      <c r="B108" s="3100"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99"/>
      <c r="B109" s="3101"/>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95" t="s">
        <v>2785</v>
      </c>
      <c r="B110" s="3095"/>
      <c r="C110" s="3095"/>
      <c r="D110" s="3095"/>
      <c r="E110" s="3095"/>
      <c r="F110" s="3095"/>
      <c r="G110" s="3095"/>
      <c r="H110" s="3095"/>
      <c r="I110" s="3095"/>
      <c r="J110" s="3095"/>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f>G2</f>
        <v>0</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4" t="s">
        <v>787</v>
      </c>
      <c r="B1" s="3114"/>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临近城市高速路——京藏高速，周边有专43号、专89号、307号、345号、355号路等多条公交线路及地铁8号线（永泰站），交通状况较好。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08">
      <c r="A10" s="833" t="s">
        <v>719</v>
      </c>
      <c r="B10" s="1207" t="str">
        <f>估价对象房地状况!C7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区域自然环境：清河、奥林匹克森林公园、西三旗公园；人文环境：北京信息科技大学（清河小营校区）；综合评价环境状况较好。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临近城市高速路——京藏高速，周边有专43号、专89号、307号、345号、355号路等多条公交线路及地铁8号线（永泰站），交通状况较好。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08">
      <c r="A21" s="820" t="s">
        <v>719</v>
      </c>
      <c r="B21" s="1207" t="str">
        <f>估价对象房地状况!C7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区域自然环境：清河、奥林匹克森林公园、西三旗公园；人文环境：北京信息科技大学（清河小营校区）；综合评价环境状况较好。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周边有清润家园、水木天成、永泰园、清缘里中区、永泰东里等居住社区成熟度较好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临近城市高速路——京藏高速，周边有专43号、专89号、307号、345号、355号路等多条公交线路及地铁8号线（永泰站），交通状况较好。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08">
      <c r="A30" s="820" t="s">
        <v>719</v>
      </c>
      <c r="B30" s="1207" t="str">
        <f>估价对象房地状况!C7</f>
        <v xml:space="preserve">商业设施：翠微百货、清河百货商场、物美超市等；                                                                                                                                                         医疗卫生：北京圣宝妇产医院、北京红十字会紧急救援中心、北京市海淀区西三旗街道龙岗社区卫生服务站等；                                                                                   金融邮电：中国建设银行、交通银行、北京银行等。                                                                               教育：智合国学幼儿园、北京市海淀区永泰小学（清缘里校区）、清华大学附属小学清河分校、北京清河中学、北京市二十中学附属实验中学等。
</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区域自然环境：清河、奥林匹克森林公园、西三旗公园；人文环境：北京信息科技大学（清河小营校区）；综合评价环境状况较好。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4" t="s">
        <v>105</v>
      </c>
      <c r="B1" s="3114"/>
      <c r="C1" s="3114"/>
      <c r="D1" s="3114"/>
      <c r="E1" s="3114"/>
      <c r="F1" s="311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5" t="s">
        <v>118</v>
      </c>
      <c r="B2" s="3115"/>
      <c r="C2" s="3115"/>
      <c r="D2" s="3115"/>
      <c r="E2" s="3115"/>
      <c r="F2" s="311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8" t="s">
        <v>132</v>
      </c>
      <c r="B18" s="907" t="s">
        <v>517</v>
      </c>
      <c r="C18" s="908" t="s">
        <v>518</v>
      </c>
      <c r="D18" s="909"/>
      <c r="E18" s="907">
        <v>1</v>
      </c>
      <c r="F18" s="910" t="s">
        <v>519</v>
      </c>
      <c r="G18" s="911"/>
      <c r="H18" s="903"/>
      <c r="I18" s="903"/>
    </row>
    <row r="19" spans="1:9" s="912" customFormat="1" ht="19.5" customHeight="1">
      <c r="A19" s="3118"/>
      <c r="B19" s="3118" t="s">
        <v>520</v>
      </c>
      <c r="C19" s="908" t="s">
        <v>521</v>
      </c>
      <c r="D19" s="909"/>
      <c r="E19" s="907">
        <v>0.9</v>
      </c>
      <c r="F19" s="910" t="s">
        <v>522</v>
      </c>
      <c r="G19" s="911"/>
      <c r="H19" s="903"/>
      <c r="I19" s="903"/>
    </row>
    <row r="20" spans="1:9" s="912" customFormat="1" ht="19.5" customHeight="1">
      <c r="A20" s="3118"/>
      <c r="B20" s="3118"/>
      <c r="C20" s="908" t="s">
        <v>523</v>
      </c>
      <c r="D20" s="909"/>
      <c r="E20" s="907">
        <v>1.1000000000000001</v>
      </c>
      <c r="F20" s="910" t="s">
        <v>524</v>
      </c>
      <c r="G20" s="911"/>
      <c r="H20" s="903"/>
      <c r="I20" s="903"/>
    </row>
    <row r="21" spans="1:9" s="912" customFormat="1" ht="19.5" customHeight="1">
      <c r="A21" s="3118"/>
      <c r="B21" s="3118"/>
      <c r="C21" s="908" t="s">
        <v>525</v>
      </c>
      <c r="D21" s="909"/>
      <c r="E21" s="907">
        <v>0.8</v>
      </c>
      <c r="F21" s="910" t="s">
        <v>526</v>
      </c>
      <c r="G21" s="911"/>
      <c r="H21" s="903"/>
      <c r="I21" s="903"/>
    </row>
    <row r="22" spans="1:9" s="912" customFormat="1" ht="19.5" customHeight="1">
      <c r="A22" s="3118"/>
      <c r="B22" s="3118"/>
      <c r="C22" s="908" t="s">
        <v>527</v>
      </c>
      <c r="D22" s="909"/>
      <c r="E22" s="907">
        <v>0.5</v>
      </c>
      <c r="F22" s="910"/>
      <c r="G22" s="911"/>
      <c r="H22" s="903"/>
      <c r="I22" s="903"/>
    </row>
    <row r="23" spans="1:9" s="912" customFormat="1" ht="19.5" customHeight="1">
      <c r="A23" s="3118" t="s">
        <v>133</v>
      </c>
      <c r="B23" s="907" t="s">
        <v>517</v>
      </c>
      <c r="C23" s="908" t="s">
        <v>528</v>
      </c>
      <c r="D23" s="909"/>
      <c r="E23" s="907">
        <v>1</v>
      </c>
      <c r="F23" s="910" t="s">
        <v>529</v>
      </c>
      <c r="G23" s="911"/>
      <c r="H23" s="903"/>
      <c r="I23" s="903"/>
    </row>
    <row r="24" spans="1:9" s="912" customFormat="1" ht="19.5" customHeight="1">
      <c r="A24" s="3118"/>
      <c r="B24" s="3118" t="s">
        <v>520</v>
      </c>
      <c r="C24" s="908" t="s">
        <v>530</v>
      </c>
      <c r="D24" s="909"/>
      <c r="E24" s="907">
        <v>0.5</v>
      </c>
      <c r="F24" s="910"/>
      <c r="G24" s="911"/>
      <c r="H24" s="903"/>
      <c r="I24" s="903"/>
    </row>
    <row r="25" spans="1:9" s="912" customFormat="1" ht="19.5" customHeight="1">
      <c r="A25" s="3118"/>
      <c r="B25" s="3118"/>
      <c r="C25" s="908" t="s">
        <v>531</v>
      </c>
      <c r="D25" s="909"/>
      <c r="E25" s="907">
        <v>1.1000000000000001</v>
      </c>
      <c r="F25" s="910"/>
      <c r="G25" s="911"/>
      <c r="H25" s="903"/>
      <c r="I25" s="903"/>
    </row>
    <row r="26" spans="1:9" s="912" customFormat="1" ht="19.5" customHeight="1">
      <c r="A26" s="3118"/>
      <c r="B26" s="3118"/>
      <c r="C26" s="908" t="s">
        <v>532</v>
      </c>
      <c r="D26" s="909"/>
      <c r="E26" s="907">
        <v>1.1000000000000001</v>
      </c>
      <c r="F26" s="910"/>
      <c r="G26" s="911"/>
      <c r="H26" s="903"/>
      <c r="I26" s="903"/>
    </row>
    <row r="27" spans="1:9" s="912" customFormat="1" ht="19.5" customHeight="1">
      <c r="A27" s="3118"/>
      <c r="B27" s="3118"/>
      <c r="C27" s="908" t="s">
        <v>533</v>
      </c>
      <c r="D27" s="909"/>
      <c r="E27" s="907">
        <v>0.9</v>
      </c>
      <c r="F27" s="910" t="s">
        <v>534</v>
      </c>
      <c r="G27" s="911"/>
      <c r="H27" s="903"/>
      <c r="I27" s="903"/>
    </row>
    <row r="28" spans="1:9" s="912" customFormat="1" ht="19.5" customHeight="1">
      <c r="A28" s="3118"/>
      <c r="B28" s="3118"/>
      <c r="C28" s="908" t="s">
        <v>535</v>
      </c>
      <c r="D28" s="909"/>
      <c r="E28" s="907">
        <v>0.9</v>
      </c>
      <c r="F28" s="910" t="s">
        <v>536</v>
      </c>
      <c r="G28" s="911"/>
      <c r="H28" s="903"/>
      <c r="I28" s="903"/>
    </row>
    <row r="29" spans="1:9" s="912" customFormat="1" ht="19.5" customHeight="1">
      <c r="A29" s="3118"/>
      <c r="B29" s="3118"/>
      <c r="C29" s="908" t="s">
        <v>537</v>
      </c>
      <c r="D29" s="909"/>
      <c r="E29" s="907">
        <v>0.9</v>
      </c>
      <c r="F29" s="910" t="s">
        <v>538</v>
      </c>
      <c r="G29" s="911"/>
      <c r="H29" s="903"/>
      <c r="I29" s="903"/>
    </row>
    <row r="30" spans="1:9" s="912" customFormat="1" ht="19.5" customHeight="1">
      <c r="A30" s="3118"/>
      <c r="B30" s="3118"/>
      <c r="C30" s="908" t="s">
        <v>539</v>
      </c>
      <c r="D30" s="909"/>
      <c r="E30" s="907">
        <v>0.9</v>
      </c>
      <c r="F30" s="910" t="s">
        <v>540</v>
      </c>
      <c r="G30" s="911"/>
      <c r="H30" s="903"/>
      <c r="I30" s="903"/>
    </row>
    <row r="31" spans="1:9" s="912" customFormat="1" ht="19.5" customHeight="1">
      <c r="A31" s="3118"/>
      <c r="B31" s="3118"/>
      <c r="C31" s="908" t="s">
        <v>541</v>
      </c>
      <c r="D31" s="909"/>
      <c r="E31" s="907">
        <v>0.8</v>
      </c>
      <c r="F31" s="910" t="s">
        <v>542</v>
      </c>
      <c r="G31" s="911"/>
      <c r="H31" s="903"/>
      <c r="I31" s="903"/>
    </row>
    <row r="32" spans="1:9" s="912" customFormat="1" ht="19.5" customHeight="1">
      <c r="A32" s="3118"/>
      <c r="B32" s="3118"/>
      <c r="C32" s="908" t="s">
        <v>543</v>
      </c>
      <c r="D32" s="909"/>
      <c r="E32" s="907">
        <v>0.8</v>
      </c>
      <c r="F32" s="910" t="s">
        <v>544</v>
      </c>
      <c r="G32" s="911"/>
      <c r="H32" s="903"/>
      <c r="I32" s="903"/>
    </row>
    <row r="33" spans="1:9" s="912" customFormat="1" ht="19.5" customHeight="1">
      <c r="A33" s="3118" t="s">
        <v>134</v>
      </c>
      <c r="B33" s="907" t="s">
        <v>517</v>
      </c>
      <c r="C33" s="908" t="s">
        <v>545</v>
      </c>
      <c r="D33" s="909"/>
      <c r="E33" s="907">
        <v>1</v>
      </c>
      <c r="F33" s="910" t="s">
        <v>546</v>
      </c>
      <c r="G33" s="911"/>
      <c r="H33" s="903"/>
      <c r="I33" s="903"/>
    </row>
    <row r="34" spans="1:9" s="912" customFormat="1" ht="19.5" customHeight="1">
      <c r="A34" s="3118"/>
      <c r="B34" s="907" t="s">
        <v>520</v>
      </c>
      <c r="C34" s="908" t="s">
        <v>547</v>
      </c>
      <c r="D34" s="909"/>
      <c r="E34" s="907">
        <v>1.5</v>
      </c>
      <c r="F34" s="910" t="s">
        <v>548</v>
      </c>
      <c r="G34" s="911"/>
      <c r="H34" s="903"/>
      <c r="I34" s="903"/>
    </row>
    <row r="35" spans="1:9" s="912" customFormat="1" ht="19.5" customHeight="1">
      <c r="A35" s="3118" t="s">
        <v>135</v>
      </c>
      <c r="B35" s="907" t="s">
        <v>517</v>
      </c>
      <c r="C35" s="908" t="s">
        <v>549</v>
      </c>
      <c r="D35" s="909"/>
      <c r="E35" s="907">
        <v>1</v>
      </c>
      <c r="F35" s="910" t="s">
        <v>550</v>
      </c>
      <c r="G35" s="911"/>
      <c r="H35" s="903"/>
      <c r="I35" s="903"/>
    </row>
    <row r="36" spans="1:9" s="912" customFormat="1" ht="19.5" customHeight="1">
      <c r="A36" s="3118"/>
      <c r="B36" s="3118" t="s">
        <v>520</v>
      </c>
      <c r="C36" s="908" t="s">
        <v>551</v>
      </c>
      <c r="D36" s="909"/>
      <c r="E36" s="907">
        <v>1</v>
      </c>
      <c r="F36" s="910" t="s">
        <v>552</v>
      </c>
      <c r="G36" s="911"/>
      <c r="H36" s="903"/>
      <c r="I36" s="903"/>
    </row>
    <row r="37" spans="1:9" s="912" customFormat="1" ht="19.5" customHeight="1">
      <c r="A37" s="3118"/>
      <c r="B37" s="3118"/>
      <c r="C37" s="908" t="s">
        <v>553</v>
      </c>
      <c r="D37" s="909"/>
      <c r="E37" s="907">
        <v>1.5</v>
      </c>
      <c r="F37" s="910" t="s">
        <v>554</v>
      </c>
      <c r="G37" s="911"/>
      <c r="H37" s="903"/>
      <c r="I37" s="903"/>
    </row>
    <row r="38" spans="1:9" s="912" customFormat="1" ht="19.5" customHeight="1">
      <c r="A38" s="3118"/>
      <c r="B38" s="3118"/>
      <c r="C38" s="908" t="s">
        <v>555</v>
      </c>
      <c r="D38" s="909"/>
      <c r="E38" s="907">
        <v>1</v>
      </c>
      <c r="F38" s="910" t="s">
        <v>556</v>
      </c>
      <c r="G38" s="911"/>
      <c r="H38" s="903"/>
      <c r="I38" s="903"/>
    </row>
    <row r="39" spans="1:9" s="912" customFormat="1" ht="19.5" customHeight="1">
      <c r="A39" s="3118"/>
      <c r="B39" s="311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8" t="s">
        <v>571</v>
      </c>
      <c r="C61" s="821" t="s">
        <v>572</v>
      </c>
      <c r="D61" s="821" t="s">
        <v>573</v>
      </c>
      <c r="E61" s="920">
        <v>0.5</v>
      </c>
      <c r="F61" s="907">
        <v>80</v>
      </c>
    </row>
    <row r="62" spans="1:8" s="903" customFormat="1" ht="24">
      <c r="A62" s="907">
        <v>2</v>
      </c>
      <c r="B62" s="3118"/>
      <c r="C62" s="821" t="s">
        <v>574</v>
      </c>
      <c r="D62" s="821" t="s">
        <v>575</v>
      </c>
      <c r="E62" s="920">
        <v>0.5</v>
      </c>
      <c r="F62" s="907">
        <v>80</v>
      </c>
    </row>
    <row r="63" spans="1:8" s="903" customFormat="1" ht="36">
      <c r="A63" s="907">
        <v>3</v>
      </c>
      <c r="B63" s="3118"/>
      <c r="C63" s="821" t="s">
        <v>576</v>
      </c>
      <c r="D63" s="821" t="s">
        <v>577</v>
      </c>
      <c r="E63" s="920">
        <v>0.5</v>
      </c>
      <c r="F63" s="907">
        <v>80</v>
      </c>
    </row>
    <row r="64" spans="1:8" s="903" customFormat="1" ht="36">
      <c r="A64" s="907">
        <v>4</v>
      </c>
      <c r="B64" s="3118"/>
      <c r="C64" s="821" t="s">
        <v>578</v>
      </c>
      <c r="D64" s="821" t="s">
        <v>579</v>
      </c>
      <c r="E64" s="920">
        <v>0.4</v>
      </c>
      <c r="F64" s="907">
        <v>60</v>
      </c>
    </row>
    <row r="65" spans="1:6" s="903" customFormat="1" ht="36">
      <c r="A65" s="907">
        <v>5</v>
      </c>
      <c r="B65" s="3118"/>
      <c r="C65" s="821" t="s">
        <v>580</v>
      </c>
      <c r="D65" s="821" t="s">
        <v>581</v>
      </c>
      <c r="E65" s="920">
        <v>0.2</v>
      </c>
      <c r="F65" s="907">
        <v>30</v>
      </c>
    </row>
    <row r="66" spans="1:6" s="903" customFormat="1" ht="36">
      <c r="A66" s="907">
        <v>6</v>
      </c>
      <c r="B66" s="3118"/>
      <c r="C66" s="821" t="s">
        <v>582</v>
      </c>
      <c r="D66" s="821" t="s">
        <v>583</v>
      </c>
      <c r="E66" s="920">
        <v>0.3</v>
      </c>
      <c r="F66" s="907">
        <v>50</v>
      </c>
    </row>
    <row r="67" spans="1:6" s="903" customFormat="1" ht="36">
      <c r="A67" s="907">
        <v>7</v>
      </c>
      <c r="B67" s="3118"/>
      <c r="C67" s="821" t="s">
        <v>584</v>
      </c>
      <c r="D67" s="821" t="s">
        <v>585</v>
      </c>
      <c r="E67" s="920">
        <v>0.2</v>
      </c>
      <c r="F67" s="907">
        <v>30</v>
      </c>
    </row>
    <row r="68" spans="1:6" s="903" customFormat="1" ht="36">
      <c r="A68" s="907">
        <v>8</v>
      </c>
      <c r="B68" s="3118"/>
      <c r="C68" s="821" t="s">
        <v>586</v>
      </c>
      <c r="D68" s="821" t="s">
        <v>587</v>
      </c>
      <c r="E68" s="920">
        <v>0.2</v>
      </c>
      <c r="F68" s="907">
        <v>30</v>
      </c>
    </row>
    <row r="69" spans="1:6" s="903" customFormat="1" ht="36">
      <c r="A69" s="907">
        <v>9</v>
      </c>
      <c r="B69" s="3118"/>
      <c r="C69" s="821" t="s">
        <v>588</v>
      </c>
      <c r="D69" s="821" t="s">
        <v>589</v>
      </c>
      <c r="E69" s="920">
        <v>0.2</v>
      </c>
      <c r="F69" s="907">
        <v>30</v>
      </c>
    </row>
    <row r="70" spans="1:6" s="903" customFormat="1" ht="48">
      <c r="A70" s="907">
        <v>10</v>
      </c>
      <c r="B70" s="3118"/>
      <c r="C70" s="821" t="s">
        <v>590</v>
      </c>
      <c r="D70" s="821" t="s">
        <v>591</v>
      </c>
      <c r="E70" s="920">
        <v>0.2</v>
      </c>
      <c r="F70" s="907">
        <v>30</v>
      </c>
    </row>
    <row r="71" spans="1:6" s="903" customFormat="1" ht="48">
      <c r="A71" s="907">
        <v>11</v>
      </c>
      <c r="B71" s="3118"/>
      <c r="C71" s="821" t="s">
        <v>592</v>
      </c>
      <c r="D71" s="821" t="s">
        <v>593</v>
      </c>
      <c r="E71" s="920">
        <v>0.2</v>
      </c>
      <c r="F71" s="907">
        <v>30</v>
      </c>
    </row>
    <row r="72" spans="1:6" s="903" customFormat="1" ht="36">
      <c r="A72" s="907">
        <v>12</v>
      </c>
      <c r="B72" s="3118"/>
      <c r="C72" s="821" t="s">
        <v>594</v>
      </c>
      <c r="D72" s="821" t="s">
        <v>595</v>
      </c>
      <c r="E72" s="920">
        <v>0.5</v>
      </c>
      <c r="F72" s="907">
        <v>80</v>
      </c>
    </row>
    <row r="73" spans="1:6" s="903" customFormat="1" ht="24">
      <c r="A73" s="907">
        <v>13</v>
      </c>
      <c r="B73" s="3118"/>
      <c r="C73" s="821" t="s">
        <v>596</v>
      </c>
      <c r="D73" s="821" t="s">
        <v>597</v>
      </c>
      <c r="E73" s="920">
        <v>0.4</v>
      </c>
      <c r="F73" s="907">
        <v>60</v>
      </c>
    </row>
    <row r="74" spans="1:6" s="903" customFormat="1" ht="24">
      <c r="A74" s="907">
        <v>14</v>
      </c>
      <c r="B74" s="3118"/>
      <c r="C74" s="821" t="s">
        <v>598</v>
      </c>
      <c r="D74" s="821" t="s">
        <v>599</v>
      </c>
      <c r="E74" s="920">
        <v>0.2</v>
      </c>
      <c r="F74" s="907">
        <v>30</v>
      </c>
    </row>
    <row r="75" spans="1:6" s="903" customFormat="1" ht="24">
      <c r="A75" s="907">
        <v>15</v>
      </c>
      <c r="B75" s="3118"/>
      <c r="C75" s="821" t="s">
        <v>600</v>
      </c>
      <c r="D75" s="821" t="s">
        <v>601</v>
      </c>
      <c r="E75" s="920">
        <v>0.2</v>
      </c>
      <c r="F75" s="907">
        <v>30</v>
      </c>
    </row>
    <row r="76" spans="1:6" s="903" customFormat="1" ht="24">
      <c r="A76" s="907">
        <v>16</v>
      </c>
      <c r="B76" s="3118" t="s">
        <v>602</v>
      </c>
      <c r="C76" s="821" t="s">
        <v>603</v>
      </c>
      <c r="D76" s="821" t="s">
        <v>604</v>
      </c>
      <c r="E76" s="920">
        <v>0.5</v>
      </c>
      <c r="F76" s="907">
        <v>80</v>
      </c>
    </row>
    <row r="77" spans="1:6" s="903" customFormat="1" ht="24">
      <c r="A77" s="907">
        <v>17</v>
      </c>
      <c r="B77" s="3118"/>
      <c r="C77" s="821" t="s">
        <v>605</v>
      </c>
      <c r="D77" s="821" t="s">
        <v>606</v>
      </c>
      <c r="E77" s="920">
        <v>0.5</v>
      </c>
      <c r="F77" s="907">
        <v>80</v>
      </c>
    </row>
    <row r="78" spans="1:6" s="903" customFormat="1" ht="24">
      <c r="A78" s="907">
        <v>18</v>
      </c>
      <c r="B78" s="3118"/>
      <c r="C78" s="821" t="s">
        <v>607</v>
      </c>
      <c r="D78" s="821" t="s">
        <v>608</v>
      </c>
      <c r="E78" s="920">
        <v>0.2</v>
      </c>
      <c r="F78" s="907">
        <v>30</v>
      </c>
    </row>
    <row r="79" spans="1:6" s="903" customFormat="1" ht="24">
      <c r="A79" s="907">
        <v>19</v>
      </c>
      <c r="B79" s="3118"/>
      <c r="C79" s="821" t="s">
        <v>609</v>
      </c>
      <c r="D79" s="821" t="s">
        <v>610</v>
      </c>
      <c r="E79" s="920">
        <v>0.5</v>
      </c>
      <c r="F79" s="907">
        <v>80</v>
      </c>
    </row>
    <row r="80" spans="1:6" s="903" customFormat="1" ht="36">
      <c r="A80" s="907">
        <v>20</v>
      </c>
      <c r="B80" s="3118"/>
      <c r="C80" s="821" t="s">
        <v>611</v>
      </c>
      <c r="D80" s="821" t="s">
        <v>612</v>
      </c>
      <c r="E80" s="920">
        <v>0.2</v>
      </c>
      <c r="F80" s="907">
        <v>30</v>
      </c>
    </row>
    <row r="81" spans="1:6" s="903" customFormat="1" ht="36">
      <c r="A81" s="907">
        <v>21</v>
      </c>
      <c r="B81" s="3118"/>
      <c r="C81" s="821" t="s">
        <v>613</v>
      </c>
      <c r="D81" s="821" t="s">
        <v>614</v>
      </c>
      <c r="E81" s="920">
        <v>0.2</v>
      </c>
      <c r="F81" s="907">
        <v>30</v>
      </c>
    </row>
    <row r="82" spans="1:6" s="903" customFormat="1" ht="48">
      <c r="A82" s="907">
        <v>22</v>
      </c>
      <c r="B82" s="3118"/>
      <c r="C82" s="821" t="s">
        <v>615</v>
      </c>
      <c r="D82" s="821" t="s">
        <v>616</v>
      </c>
      <c r="E82" s="920">
        <v>0.2</v>
      </c>
      <c r="F82" s="907">
        <v>30</v>
      </c>
    </row>
    <row r="83" spans="1:6" s="903" customFormat="1" ht="48">
      <c r="A83" s="907">
        <v>23</v>
      </c>
      <c r="B83" s="3118"/>
      <c r="C83" s="821" t="s">
        <v>617</v>
      </c>
      <c r="D83" s="821" t="s">
        <v>618</v>
      </c>
      <c r="E83" s="920">
        <v>0.2</v>
      </c>
      <c r="F83" s="907">
        <v>30</v>
      </c>
    </row>
    <row r="84" spans="1:6" s="903" customFormat="1" ht="36">
      <c r="A84" s="907">
        <v>24</v>
      </c>
      <c r="B84" s="3118"/>
      <c r="C84" s="821" t="s">
        <v>619</v>
      </c>
      <c r="D84" s="821" t="s">
        <v>620</v>
      </c>
      <c r="E84" s="920">
        <v>0.2</v>
      </c>
      <c r="F84" s="907">
        <v>30</v>
      </c>
    </row>
    <row r="85" spans="1:6" s="903" customFormat="1" ht="36">
      <c r="A85" s="907">
        <v>25</v>
      </c>
      <c r="B85" s="3118"/>
      <c r="C85" s="821" t="s">
        <v>621</v>
      </c>
      <c r="D85" s="821" t="s">
        <v>622</v>
      </c>
      <c r="E85" s="920">
        <v>0.5</v>
      </c>
      <c r="F85" s="907">
        <v>80</v>
      </c>
    </row>
    <row r="86" spans="1:6" s="903" customFormat="1" ht="36">
      <c r="A86" s="907">
        <v>26</v>
      </c>
      <c r="B86" s="3118"/>
      <c r="C86" s="821" t="s">
        <v>623</v>
      </c>
      <c r="D86" s="821" t="s">
        <v>624</v>
      </c>
      <c r="E86" s="920">
        <v>0.2</v>
      </c>
      <c r="F86" s="907">
        <v>30</v>
      </c>
    </row>
    <row r="87" spans="1:6" s="903" customFormat="1" ht="36">
      <c r="A87" s="907">
        <v>27</v>
      </c>
      <c r="B87" s="3118"/>
      <c r="C87" s="821" t="s">
        <v>625</v>
      </c>
      <c r="D87" s="821" t="s">
        <v>626</v>
      </c>
      <c r="E87" s="920">
        <v>0.2</v>
      </c>
      <c r="F87" s="907">
        <v>30</v>
      </c>
    </row>
    <row r="88" spans="1:6" s="903" customFormat="1" ht="36">
      <c r="A88" s="907">
        <v>28</v>
      </c>
      <c r="B88" s="3118"/>
      <c r="C88" s="821" t="s">
        <v>627</v>
      </c>
      <c r="D88" s="821" t="s">
        <v>628</v>
      </c>
      <c r="E88" s="920">
        <v>0.2</v>
      </c>
      <c r="F88" s="907">
        <v>30</v>
      </c>
    </row>
    <row r="89" spans="1:6" s="903" customFormat="1" ht="24">
      <c r="A89" s="907">
        <v>29</v>
      </c>
      <c r="B89" s="3118"/>
      <c r="C89" s="821" t="s">
        <v>629</v>
      </c>
      <c r="D89" s="821" t="s">
        <v>630</v>
      </c>
      <c r="E89" s="920">
        <v>0.2</v>
      </c>
      <c r="F89" s="907">
        <v>30</v>
      </c>
    </row>
    <row r="90" spans="1:6" s="903" customFormat="1" ht="24">
      <c r="A90" s="907">
        <v>30</v>
      </c>
      <c r="B90" s="3118"/>
      <c r="C90" s="821" t="s">
        <v>631</v>
      </c>
      <c r="D90" s="821" t="s">
        <v>632</v>
      </c>
      <c r="E90" s="920">
        <v>0.2</v>
      </c>
      <c r="F90" s="907">
        <v>30</v>
      </c>
    </row>
    <row r="91" spans="1:6" s="903" customFormat="1" ht="36">
      <c r="A91" s="907">
        <v>31</v>
      </c>
      <c r="B91" s="3118"/>
      <c r="C91" s="821" t="s">
        <v>633</v>
      </c>
      <c r="D91" s="821" t="s">
        <v>634</v>
      </c>
      <c r="E91" s="920">
        <v>0.2</v>
      </c>
      <c r="F91" s="907">
        <v>30</v>
      </c>
    </row>
    <row r="92" spans="1:6" s="903" customFormat="1" ht="24">
      <c r="A92" s="907">
        <v>32</v>
      </c>
      <c r="B92" s="3118" t="s">
        <v>635</v>
      </c>
      <c r="C92" s="907" t="s">
        <v>636</v>
      </c>
      <c r="D92" s="821" t="s">
        <v>637</v>
      </c>
      <c r="E92" s="920">
        <v>0.2</v>
      </c>
      <c r="F92" s="907">
        <v>30</v>
      </c>
    </row>
    <row r="93" spans="1:6" s="903" customFormat="1" ht="36">
      <c r="A93" s="907">
        <v>33</v>
      </c>
      <c r="B93" s="3118"/>
      <c r="C93" s="907" t="s">
        <v>638</v>
      </c>
      <c r="D93" s="821" t="s">
        <v>639</v>
      </c>
      <c r="E93" s="920">
        <v>0.2</v>
      </c>
      <c r="F93" s="907">
        <v>30</v>
      </c>
    </row>
    <row r="94" spans="1:6" s="903" customFormat="1" ht="48">
      <c r="A94" s="907">
        <v>34</v>
      </c>
      <c r="B94" s="3118"/>
      <c r="C94" s="907" t="s">
        <v>640</v>
      </c>
      <c r="D94" s="821" t="s">
        <v>641</v>
      </c>
      <c r="E94" s="920">
        <v>0.2</v>
      </c>
      <c r="F94" s="907">
        <v>30</v>
      </c>
    </row>
    <row r="95" spans="1:6" s="903" customFormat="1" ht="36">
      <c r="A95" s="907">
        <v>35</v>
      </c>
      <c r="B95" s="3118"/>
      <c r="C95" s="907" t="s">
        <v>642</v>
      </c>
      <c r="D95" s="821" t="s">
        <v>643</v>
      </c>
      <c r="E95" s="920">
        <v>0.2</v>
      </c>
      <c r="F95" s="907">
        <v>30</v>
      </c>
    </row>
    <row r="96" spans="1:6" s="903" customFormat="1" ht="48">
      <c r="A96" s="907">
        <v>36</v>
      </c>
      <c r="B96" s="3118"/>
      <c r="C96" s="821" t="s">
        <v>644</v>
      </c>
      <c r="D96" s="821" t="s">
        <v>645</v>
      </c>
      <c r="E96" s="920">
        <v>0.2</v>
      </c>
      <c r="F96" s="907">
        <v>30</v>
      </c>
    </row>
    <row r="97" spans="1:6" s="903" customFormat="1" ht="36">
      <c r="A97" s="907">
        <v>37</v>
      </c>
      <c r="B97" s="3118"/>
      <c r="C97" s="907" t="s">
        <v>646</v>
      </c>
      <c r="D97" s="821" t="s">
        <v>647</v>
      </c>
      <c r="E97" s="920">
        <v>0.2</v>
      </c>
      <c r="F97" s="907">
        <v>30</v>
      </c>
    </row>
    <row r="98" spans="1:6" s="903" customFormat="1" ht="36">
      <c r="A98" s="907">
        <v>38</v>
      </c>
      <c r="B98" s="3118"/>
      <c r="C98" s="907" t="s">
        <v>648</v>
      </c>
      <c r="D98" s="821" t="s">
        <v>649</v>
      </c>
      <c r="E98" s="920">
        <v>0.2</v>
      </c>
      <c r="F98" s="907">
        <v>30</v>
      </c>
    </row>
    <row r="99" spans="1:6" s="903" customFormat="1" ht="36">
      <c r="A99" s="907">
        <v>39</v>
      </c>
      <c r="B99" s="3118" t="s">
        <v>650</v>
      </c>
      <c r="C99" s="907" t="s">
        <v>651</v>
      </c>
      <c r="D99" s="821" t="s">
        <v>652</v>
      </c>
      <c r="E99" s="920">
        <v>0.3</v>
      </c>
      <c r="F99" s="907">
        <v>50</v>
      </c>
    </row>
    <row r="100" spans="1:6" s="903" customFormat="1" ht="24">
      <c r="A100" s="907">
        <v>40</v>
      </c>
      <c r="B100" s="3118"/>
      <c r="C100" s="907" t="s">
        <v>653</v>
      </c>
      <c r="D100" s="821" t="s">
        <v>654</v>
      </c>
      <c r="E100" s="920">
        <v>0.2</v>
      </c>
      <c r="F100" s="907">
        <v>30</v>
      </c>
    </row>
    <row r="101" spans="1:6" s="903" customFormat="1" ht="36">
      <c r="A101" s="907">
        <v>41</v>
      </c>
      <c r="B101" s="311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8" t="s">
        <v>665</v>
      </c>
      <c r="C105" s="907" t="s">
        <v>666</v>
      </c>
      <c r="D105" s="821" t="s">
        <v>667</v>
      </c>
      <c r="E105" s="920">
        <v>0.2</v>
      </c>
      <c r="F105" s="907">
        <v>30</v>
      </c>
    </row>
    <row r="106" spans="1:6" s="903" customFormat="1" ht="36">
      <c r="A106" s="907">
        <v>46</v>
      </c>
      <c r="B106" s="3118"/>
      <c r="C106" s="907" t="s">
        <v>668</v>
      </c>
      <c r="D106" s="821" t="s">
        <v>669</v>
      </c>
      <c r="E106" s="920">
        <v>0.2</v>
      </c>
      <c r="F106" s="907">
        <v>30</v>
      </c>
    </row>
    <row r="107" spans="1:6" s="903" customFormat="1" ht="36">
      <c r="A107" s="907">
        <v>47</v>
      </c>
      <c r="B107" s="3118" t="s">
        <v>670</v>
      </c>
      <c r="C107" s="907" t="s">
        <v>671</v>
      </c>
      <c r="D107" s="821" t="s">
        <v>672</v>
      </c>
      <c r="E107" s="920">
        <v>0.3</v>
      </c>
      <c r="F107" s="907">
        <v>50</v>
      </c>
    </row>
    <row r="108" spans="1:6" s="903" customFormat="1" ht="36">
      <c r="A108" s="907">
        <v>48</v>
      </c>
      <c r="B108" s="311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8" t="s">
        <v>681</v>
      </c>
      <c r="C111" s="907" t="s">
        <v>682</v>
      </c>
      <c r="D111" s="821" t="s">
        <v>683</v>
      </c>
      <c r="E111" s="920">
        <v>0.2</v>
      </c>
      <c r="F111" s="907">
        <v>30</v>
      </c>
    </row>
    <row r="112" spans="1:6" s="903" customFormat="1" ht="24">
      <c r="A112" s="907">
        <v>52</v>
      </c>
      <c r="B112" s="3118"/>
      <c r="C112" s="907" t="s">
        <v>684</v>
      </c>
      <c r="D112" s="821" t="s">
        <v>685</v>
      </c>
      <c r="E112" s="920">
        <v>0.2</v>
      </c>
      <c r="F112" s="907">
        <v>30</v>
      </c>
    </row>
    <row r="113" spans="1:6" s="903" customFormat="1" ht="24">
      <c r="A113" s="907">
        <v>53</v>
      </c>
      <c r="B113" s="311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8" t="s">
        <v>694</v>
      </c>
      <c r="C116" s="907" t="s">
        <v>695</v>
      </c>
      <c r="D116" s="821" t="s">
        <v>696</v>
      </c>
      <c r="E116" s="920">
        <v>0.2</v>
      </c>
      <c r="F116" s="907">
        <v>30</v>
      </c>
    </row>
    <row r="117" spans="1:6" ht="36">
      <c r="A117" s="907">
        <v>57</v>
      </c>
      <c r="B117" s="311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33" sqref="J33"/>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4" t="s">
        <v>1033</v>
      </c>
      <c r="C1" s="3124"/>
      <c r="D1" s="3124"/>
      <c r="E1" s="3124"/>
      <c r="F1" s="3124"/>
      <c r="G1" s="3123" t="s">
        <v>1034</v>
      </c>
      <c r="H1" s="3123"/>
      <c r="I1" s="3123"/>
      <c r="J1" s="3123"/>
      <c r="K1" s="3123"/>
      <c r="L1" s="3123"/>
      <c r="N1" s="3123" t="s">
        <v>1035</v>
      </c>
      <c r="O1" s="3123"/>
      <c r="P1" s="3123"/>
      <c r="Q1" s="3123"/>
      <c r="R1" s="1548"/>
      <c r="S1" s="3123" t="s">
        <v>1036</v>
      </c>
      <c r="T1" s="3123"/>
      <c r="U1" s="3123"/>
      <c r="V1" s="3123"/>
      <c r="X1" s="3122" t="s">
        <v>1037</v>
      </c>
      <c r="Y1" s="3123"/>
      <c r="Z1" s="3123"/>
      <c r="AA1" s="3123"/>
      <c r="AB1" s="3123"/>
      <c r="AD1" s="3122" t="s">
        <v>1038</v>
      </c>
      <c r="AE1" s="3123"/>
      <c r="AF1" s="3123"/>
      <c r="AG1" s="3123"/>
      <c r="AH1" s="3123"/>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7" customFormat="1" ht="14.25">
      <c r="A3" s="2728" t="s">
        <v>2807</v>
      </c>
      <c r="B3" s="2718"/>
      <c r="C3" s="2718"/>
      <c r="D3" s="2719"/>
      <c r="E3" s="2719"/>
      <c r="F3" s="2718"/>
      <c r="G3" s="2720"/>
      <c r="H3" s="2721"/>
      <c r="I3" s="2722">
        <f>ROUND(AVERAGE(I4:I20),2)</f>
        <v>2.2599999999999998</v>
      </c>
      <c r="J3" s="2722">
        <f>ROUND(AVERAGE(J4:J20),2)</f>
        <v>1.46</v>
      </c>
      <c r="K3" s="2722">
        <f>ROUND(AVERAGE(K4:K20),2)</f>
        <v>2.5099999999999998</v>
      </c>
      <c r="L3" s="2723">
        <f>ROUND(AVERAGE(L4:L20),2)</f>
        <v>1.45</v>
      </c>
      <c r="N3" s="2720"/>
      <c r="O3" s="2724"/>
      <c r="P3" s="2724"/>
      <c r="Q3" s="2724"/>
      <c r="R3" s="2724"/>
      <c r="S3" s="2720"/>
      <c r="T3" s="2724"/>
      <c r="U3" s="2724"/>
      <c r="V3" s="2724"/>
      <c r="W3" s="2727"/>
      <c r="X3" s="2725">
        <f>ROUND(SUMPRODUCT(PRODUCT(1+N3:N$22)),4)</f>
        <v>1.4733000000000001</v>
      </c>
      <c r="Y3" s="2725">
        <f>ROUND(SUMPRODUCT(PRODUCT(1+O3:O$22)),4)</f>
        <v>1.3052999999999999</v>
      </c>
      <c r="Z3" s="2725">
        <f t="shared" ref="Z3:Z20" si="0">Y3</f>
        <v>1.3052999999999999</v>
      </c>
      <c r="AA3" s="2725">
        <f>ROUND(SUMPRODUCT(PRODUCT(1+P3:P$22)),4)</f>
        <v>1.5306999999999999</v>
      </c>
      <c r="AB3" s="2725">
        <f>ROUND(SUMPRODUCT(PRODUCT(1+Q3:Q$22)),4)</f>
        <v>1.2863</v>
      </c>
      <c r="AD3" s="2726">
        <f>ROUND(AVERAGE(I3:I$23)/100,4)</f>
        <v>2.23E-2</v>
      </c>
      <c r="AE3" s="2726">
        <f>ROUND(AVERAGE(J3:J$23)/100,4)</f>
        <v>1.5299999999999999E-2</v>
      </c>
      <c r="AF3" s="2726">
        <f t="shared" ref="AF3:AF11" si="1">AE3</f>
        <v>1.5299999999999999E-2</v>
      </c>
      <c r="AG3" s="2726">
        <f>ROUND(AVERAGE(K3:K$23)/100,4)</f>
        <v>2.46E-2</v>
      </c>
      <c r="AH3" s="2726">
        <f>ROUND(AVERAGE(L3:L$23)/100,4)</f>
        <v>1.41E-2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1" customFormat="1">
      <c r="A5" s="1819" t="s">
        <v>2814</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0">
        <v>2018</v>
      </c>
      <c r="H5" s="1820">
        <v>3</v>
      </c>
      <c r="I5" s="2710">
        <v>0</v>
      </c>
      <c r="J5" s="2710">
        <v>0</v>
      </c>
      <c r="K5" s="2710">
        <v>0</v>
      </c>
      <c r="L5" s="2711">
        <v>0</v>
      </c>
      <c r="N5" s="1570">
        <f>I5/100</f>
        <v>0</v>
      </c>
      <c r="O5" s="1570">
        <f t="shared" ref="O5" si="6">J5/100</f>
        <v>0</v>
      </c>
      <c r="P5" s="1570">
        <f t="shared" ref="P5" si="7">K5/100</f>
        <v>0</v>
      </c>
      <c r="Q5" s="1570">
        <f t="shared" ref="Q5" si="8">L5/100</f>
        <v>0</v>
      </c>
      <c r="R5" s="1822"/>
      <c r="S5" s="1823"/>
      <c r="T5" s="1822"/>
      <c r="U5" s="1822"/>
      <c r="V5" s="1822"/>
      <c r="W5" s="2716" t="s">
        <v>2806</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2815</v>
      </c>
      <c r="B6" s="1580">
        <f t="shared" ref="B6:B11" si="11">B7*(1+N6)</f>
        <v>453.11529869999993</v>
      </c>
      <c r="C6" s="1580">
        <f t="shared" ref="C6" si="12">C7*(1+O6)</f>
        <v>336.47787264000004</v>
      </c>
      <c r="D6" s="1580">
        <f t="shared" ref="D6" si="13">C6</f>
        <v>336.47787264000004</v>
      </c>
      <c r="E6" s="1580">
        <f t="shared" ref="E6" si="14">E7*(1+P6)</f>
        <v>647.35186823999993</v>
      </c>
      <c r="F6" s="1580">
        <f t="shared" ref="F6" si="15">F7*(1+Q6)</f>
        <v>295.73229452000004</v>
      </c>
      <c r="G6" s="2708"/>
      <c r="H6" s="1566">
        <v>2</v>
      </c>
      <c r="I6" s="1566">
        <v>1.49</v>
      </c>
      <c r="J6" s="1566">
        <v>0.96</v>
      </c>
      <c r="K6" s="1566">
        <v>1.58</v>
      </c>
      <c r="L6" s="1581">
        <v>2.44</v>
      </c>
      <c r="M6" s="1574"/>
      <c r="N6" s="1575">
        <f t="shared" ref="N6" si="16">I6/100</f>
        <v>1.49E-2</v>
      </c>
      <c r="O6" s="1576">
        <f t="shared" ref="O6" si="17">J6/100</f>
        <v>9.5999999999999992E-3</v>
      </c>
      <c r="P6" s="1576">
        <f t="shared" ref="P6" si="18">K6/100</f>
        <v>1.5800000000000002E-2</v>
      </c>
      <c r="Q6" s="1576">
        <f t="shared" ref="Q6" si="19">L6/100</f>
        <v>2.4399999999999998E-2</v>
      </c>
      <c r="R6" s="1574"/>
      <c r="S6" s="1583"/>
      <c r="T6" s="1584"/>
      <c r="U6" s="1584"/>
      <c r="V6" s="1584"/>
      <c r="W6" s="1574"/>
      <c r="X6" s="1561">
        <f>ROUND(SUMPRODUCT(PRODUCT(1+N6:N$22)),4)</f>
        <v>1.4733000000000001</v>
      </c>
      <c r="Y6" s="1561">
        <f>ROUND(SUMPRODUCT(PRODUCT(1+O6:O$22)),4)</f>
        <v>1.3052999999999999</v>
      </c>
      <c r="Z6" s="1561">
        <f t="shared" ref="Z6" si="20">Y6</f>
        <v>1.3052999999999999</v>
      </c>
      <c r="AA6" s="1561">
        <f>ROUND(SUMPRODUCT(PRODUCT(1+P6:P$22)),4)</f>
        <v>1.5306999999999999</v>
      </c>
      <c r="AB6" s="1561">
        <f>ROUND(SUMPRODUCT(PRODUCT(1+Q6:Q$22)),4)</f>
        <v>1.2863</v>
      </c>
      <c r="AC6" s="1574"/>
      <c r="AD6" s="1562">
        <f>ROUND(AVERAGE(I6:I$23)/100,4)</f>
        <v>2.35E-2</v>
      </c>
      <c r="AE6" s="1562">
        <f>ROUND(AVERAGE(J6:J$23)/100,4)</f>
        <v>1.6199999999999999E-2</v>
      </c>
      <c r="AF6" s="1562">
        <f t="shared" ref="AF6" si="21">AE6</f>
        <v>1.6199999999999999E-2</v>
      </c>
      <c r="AG6" s="1562">
        <f>ROUND(AVERAGE(K6:K$23)/100,4)</f>
        <v>2.5899999999999999E-2</v>
      </c>
      <c r="AH6" s="1562">
        <f>ROUND(AVERAGE(L6:L$23)/100,4)</f>
        <v>1.49E-2</v>
      </c>
    </row>
    <row r="7" spans="1:34" s="1569" customFormat="1" ht="13.5" thickBot="1">
      <c r="A7" s="1563" t="s">
        <v>2811</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8"/>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2808</v>
      </c>
      <c r="B8" s="1572">
        <v>439</v>
      </c>
      <c r="C8" s="1572">
        <v>327</v>
      </c>
      <c r="D8" s="1572">
        <f t="shared" si="23"/>
        <v>327</v>
      </c>
      <c r="E8" s="1572">
        <v>627</v>
      </c>
      <c r="F8" s="1573">
        <v>283</v>
      </c>
      <c r="G8" s="2715">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2803</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8"/>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1"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7"/>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5"/>
      <c r="AD10" s="1875">
        <f>ROUND(AVERAGE(I10:I$23)/100,4)</f>
        <v>2.46E-2</v>
      </c>
      <c r="AE10" s="1875">
        <f>ROUND(AVERAGE(J10:J$23)/100,4)</f>
        <v>1.6E-2</v>
      </c>
      <c r="AF10" s="1875">
        <f t="shared" si="1"/>
        <v>1.6E-2</v>
      </c>
      <c r="AG10" s="1875">
        <f>ROUND(AVERAGE(K10:K$23)/100,4)</f>
        <v>2.75E-2</v>
      </c>
      <c r="AH10" s="1875">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8"/>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25">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20"/>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20"/>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21"/>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19">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20"/>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20"/>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21"/>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19">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20"/>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20"/>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21"/>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26">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27"/>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27"/>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28"/>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19">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20"/>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20"/>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21"/>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19">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20">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20">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21">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19">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20">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20">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21">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19">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20">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20">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21">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19">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20">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20">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21">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19">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20">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20">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21">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19">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20">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20">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21">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19">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20">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20">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21">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19">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20">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20">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21">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19">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20">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20">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21">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19">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20">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20">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21">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43439</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103" workbookViewId="0">
      <selection activeCell="M111" sqref="M11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29"/>
      <c r="B3" s="1929"/>
      <c r="C3" s="1929"/>
      <c r="D3" s="1929"/>
      <c r="E3" s="1929"/>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6"/>
      <c r="B5" s="1930" t="s">
        <v>742</v>
      </c>
      <c r="C5" s="2774" t="s">
        <v>783</v>
      </c>
      <c r="D5" s="2775"/>
      <c r="E5" s="1926"/>
    </row>
    <row r="6" spans="1:5" ht="14.25">
      <c r="A6" s="1926"/>
      <c r="B6" s="1931" t="str">
        <f>项目基本情况!I1</f>
        <v>北京市房地产</v>
      </c>
      <c r="C6" s="2776">
        <f>项目基本情况!C12</f>
        <v>99.8</v>
      </c>
      <c r="D6" s="2776"/>
      <c r="E6" s="1926"/>
    </row>
    <row r="7" spans="1:5" ht="14.25">
      <c r="A7" s="1926"/>
      <c r="B7" s="2770" t="s">
        <v>784</v>
      </c>
      <c r="C7" s="1932" t="str">
        <f>IF('数据-取费表'!B3="万元","总价（万元）","总价（元）")</f>
        <v>总价（元）</v>
      </c>
      <c r="D7" s="1933">
        <f ca="1">IF('数据-取费表'!E3="否",结果表!I102,'结果表 (1修多)'!I103)</f>
        <v>5691794</v>
      </c>
      <c r="E7" s="1926"/>
    </row>
    <row r="8" spans="1:5" ht="28.5">
      <c r="A8" s="1926"/>
      <c r="B8" s="2770"/>
      <c r="C8" s="1934" t="s">
        <v>1175</v>
      </c>
      <c r="D8" s="1935" t="str">
        <f ca="1">IF('数据-取费表'!B3="万元",NUMBERSTRING(INT(D7*10000),2)&amp;"元整",NUMBERSTRING(INT(D7),2)&amp;"元整")</f>
        <v>伍佰陆拾玖万壹仟柒佰玖拾肆元整</v>
      </c>
      <c r="E8" s="1926"/>
    </row>
    <row r="9" spans="1:5" ht="14.25">
      <c r="A9" s="1926"/>
      <c r="B9" s="2770"/>
      <c r="C9" s="1936" t="s">
        <v>1273</v>
      </c>
      <c r="D9" s="1933">
        <f ca="1">IF('数据-取费表'!E3="否",结果表!I103,'结果表 (1修多)'!I104)</f>
        <v>57032</v>
      </c>
      <c r="E9" s="1926"/>
    </row>
    <row r="10" spans="1:5" ht="14.25">
      <c r="A10" s="1926"/>
      <c r="B10" s="2777"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7"/>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7" t="str">
        <f>IF('数据-取费表'!E3="否",结果表!F110,'结果表 (1修多)'!F111)</f>
        <v>3.房地产抵押价值</v>
      </c>
      <c r="C15" s="1927" t="str">
        <f>C7</f>
        <v>总价（元）</v>
      </c>
      <c r="D15" s="1933">
        <f ca="1">IF('数据-取费表'!E3="否",结果表!I110,'结果表 (1修多)'!I111)</f>
        <v>5691794</v>
      </c>
      <c r="E15" s="1926"/>
    </row>
    <row r="16" spans="1:5" ht="28.5">
      <c r="A16" s="1926"/>
      <c r="B16" s="2777"/>
      <c r="C16" s="1934" t="s">
        <v>1175</v>
      </c>
      <c r="D16" s="1933" t="str">
        <f ca="1">IF('数据-取费表'!B3="万元",NUMBERSTRING(INT(D15*10000),2)&amp;"元整",NUMBERSTRING(INT(D15),2)&amp;"元整")</f>
        <v>伍佰陆拾玖万壹仟柒佰玖拾肆元整</v>
      </c>
      <c r="E16" s="1926"/>
    </row>
    <row r="17" spans="1:5" ht="14.25">
      <c r="A17" s="1926"/>
      <c r="B17" s="2777"/>
      <c r="C17" s="1936" t="s">
        <v>1273</v>
      </c>
      <c r="D17" s="1933">
        <f ca="1">IF('数据-取费表'!E3="否",结果表!I111,'结果表 (1修多)'!I112)</f>
        <v>57032</v>
      </c>
      <c r="E17" s="1926"/>
    </row>
    <row r="18" spans="1:5" ht="14.25">
      <c r="A18" s="1926"/>
      <c r="B18" s="2777" t="str">
        <f>IF('数据-取费表'!E3="否",结果表!F112,'结果表 (1修多)'!F113)</f>
        <v>——</v>
      </c>
      <c r="C18" s="1927" t="str">
        <f>C7</f>
        <v>总价（元）</v>
      </c>
      <c r="D18" s="1933" t="str">
        <f>IF('数据-取费表'!E3="否",结果表!I112,'结果表 (1修多)'!I113)</f>
        <v>——</v>
      </c>
      <c r="E18" s="1926"/>
    </row>
    <row r="19" spans="1:5" ht="14.25">
      <c r="A19" s="1926"/>
      <c r="B19" s="2777"/>
      <c r="C19" s="1934" t="s">
        <v>1175</v>
      </c>
      <c r="D19" s="1933" t="e">
        <f>IF('数据-取费表'!B3="万元",NUMBERSTRING(INT(D18*10000),2)&amp;"元整",NUMBERSTRING(INT(D18),2)&amp;"元整")</f>
        <v>#VALUE!</v>
      </c>
      <c r="E19" s="1926"/>
    </row>
    <row r="20" spans="1:5" ht="14.25">
      <c r="A20" s="1926"/>
      <c r="B20" s="2777"/>
      <c r="C20" s="1936" t="s">
        <v>1273</v>
      </c>
      <c r="D20" s="1933" t="str">
        <f>IF('数据-取费表'!E3="否",结果表!I113,'结果表 (1修多)'!I114)</f>
        <v>——</v>
      </c>
      <c r="E20" s="1926"/>
    </row>
    <row r="21" spans="1:5" ht="14.25">
      <c r="A21" s="1926"/>
      <c r="B21" s="2770" t="str">
        <f>IF('数据-取费表'!E3="否",结果表!F114,'结果表 (1修多)'!F115)</f>
        <v>——</v>
      </c>
      <c r="C21" s="1932" t="str">
        <f>C7</f>
        <v>总价（元）</v>
      </c>
      <c r="D21" s="1933" t="str">
        <f>IF('数据-取费表'!E3="否",结果表!I114,'结果表 (1修多)'!I115)</f>
        <v>——</v>
      </c>
      <c r="E21" s="1926"/>
    </row>
    <row r="22" spans="1:5" ht="14.25">
      <c r="A22" s="1926"/>
      <c r="B22" s="2770"/>
      <c r="C22" s="1934" t="s">
        <v>1175</v>
      </c>
      <c r="D22" s="1935" t="e">
        <f>IF('数据-取费表'!B3="万元",NUMBERSTRING(INT(D21*10000),2)&amp;"元整",NUMBERSTRING(INT(D21),2)&amp;"元整")</f>
        <v>#VALUE!</v>
      </c>
      <c r="E22" s="1926"/>
    </row>
    <row r="23" spans="1:5" ht="15" thickBot="1">
      <c r="A23" s="1926"/>
      <c r="B23" s="2771"/>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85" t="s">
        <v>1274</v>
      </c>
      <c r="C25" s="2785"/>
      <c r="D25" s="2785"/>
      <c r="E25" s="1926"/>
    </row>
    <row r="26" spans="1:5" ht="18.75" customHeight="1" thickTop="1">
      <c r="A26" s="1926"/>
      <c r="B26" s="2788" t="s">
        <v>1174</v>
      </c>
      <c r="C26" s="2789"/>
      <c r="D26" s="2786" t="s">
        <v>1173</v>
      </c>
      <c r="E26" s="1926"/>
    </row>
    <row r="27" spans="1:5" ht="18.75" customHeight="1">
      <c r="A27" s="1926"/>
      <c r="B27" s="2790"/>
      <c r="C27" s="2791"/>
      <c r="D27" s="2787"/>
      <c r="E27" s="1926"/>
    </row>
    <row r="28" spans="1:5" ht="14.25">
      <c r="A28" s="1926"/>
      <c r="B28" s="2778" t="s">
        <v>784</v>
      </c>
      <c r="C28" s="1943" t="s">
        <v>1176</v>
      </c>
      <c r="D28" s="1944">
        <f ca="1">IF('数据-取费表'!E3="否",结果表!I102,'结果表 (1修多)'!I103)</f>
        <v>5691794</v>
      </c>
      <c r="E28" s="1926"/>
    </row>
    <row r="29" spans="1:5" ht="28.5">
      <c r="A29" s="1926"/>
      <c r="B29" s="2779"/>
      <c r="C29" s="1945" t="s">
        <v>1175</v>
      </c>
      <c r="D29" s="1946" t="str">
        <f ca="1">IF('数据-取费表'!B3="万元",NUMBERSTRING(INT(D28*10000),2)&amp;"元整",NUMBERSTRING(INT(D28),2)&amp;"元整")</f>
        <v>伍佰陆拾玖万壹仟柒佰玖拾肆元整</v>
      </c>
      <c r="E29" s="1926"/>
    </row>
    <row r="30" spans="1:5" ht="14.25">
      <c r="A30" s="1926"/>
      <c r="B30" s="2780"/>
      <c r="C30" s="1936" t="s">
        <v>1178</v>
      </c>
      <c r="D30" s="1947">
        <f ca="1">IF('数据-取费表'!E3="否",结果表!I103,'结果表 (1修多)'!I104)</f>
        <v>57032</v>
      </c>
      <c r="E30" s="1926"/>
    </row>
    <row r="31" spans="1:5" ht="14.25">
      <c r="A31" s="1926"/>
      <c r="B31" s="2783" t="str">
        <f>B10</f>
        <v>2.估价师所知悉的法定优先受偿款</v>
      </c>
      <c r="C31" s="1948" t="s">
        <v>1177</v>
      </c>
      <c r="D31" s="1949">
        <f>IF('数据-取费表'!E3="否",结果表!I105,'结果表 (1修多)'!I106)</f>
        <v>0</v>
      </c>
      <c r="E31" s="1926"/>
    </row>
    <row r="32" spans="1:5" ht="14.25">
      <c r="A32" s="1926"/>
      <c r="B32" s="2792"/>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81" t="str">
        <f>B15</f>
        <v>3.房地产抵押价值</v>
      </c>
      <c r="C36" s="1948" t="str">
        <f>C28</f>
        <v>总价</v>
      </c>
      <c r="D36" s="1949">
        <f ca="1">IF('数据-取费表'!E3="否",结果表!I110,'结果表 (1修多)'!I111)</f>
        <v>5691794</v>
      </c>
      <c r="E36" s="1926"/>
    </row>
    <row r="37" spans="1:5" ht="28.5">
      <c r="A37" s="1926"/>
      <c r="B37" s="2781"/>
      <c r="C37" s="1945" t="s">
        <v>1175</v>
      </c>
      <c r="D37" s="1950" t="str">
        <f ca="1">IF('数据-取费表'!B3="万元",NUMBERSTRING(INT(D36*10000),2)&amp;"元整",NUMBERSTRING(INT(D36),2)&amp;"元整")</f>
        <v>伍佰陆拾玖万壹仟柒佰玖拾肆元整</v>
      </c>
      <c r="E37" s="1926"/>
    </row>
    <row r="38" spans="1:5" ht="14.25">
      <c r="A38" s="1926"/>
      <c r="B38" s="2781"/>
      <c r="C38" s="1936" t="s">
        <v>1179</v>
      </c>
      <c r="D38" s="1947">
        <f ca="1">IF('数据-取费表'!E3="否",结果表!D113,'结果表 (1修多)'!D116)</f>
        <v>57032</v>
      </c>
      <c r="E38" s="1926"/>
    </row>
    <row r="39" spans="1:5" ht="14.25">
      <c r="A39" s="1926"/>
      <c r="B39" s="2782" t="str">
        <f>B18</f>
        <v>——</v>
      </c>
      <c r="C39" s="1948" t="str">
        <f>C28</f>
        <v>总价</v>
      </c>
      <c r="D39" s="1949" t="str">
        <f>IF('数据-取费表'!E3="否",结果表!I112,'结果表 (1修多)'!I113)</f>
        <v>——</v>
      </c>
      <c r="E39" s="1926"/>
    </row>
    <row r="40" spans="1:5" ht="14.25">
      <c r="A40" s="1926"/>
      <c r="B40" s="2782"/>
      <c r="C40" s="1945" t="s">
        <v>1175</v>
      </c>
      <c r="D40" s="1950" t="e">
        <f>IF('数据-取费表'!B3="万元",NUMBERSTRING(INT(D39*10000),2)&amp;"元整",NUMBERSTRING(INT(D39),2)&amp;"元整")</f>
        <v>#VALUE!</v>
      </c>
      <c r="E40" s="1926"/>
    </row>
    <row r="41" spans="1:5" ht="14.25">
      <c r="A41" s="1926"/>
      <c r="B41" s="2782"/>
      <c r="C41" s="1936" t="s">
        <v>1179</v>
      </c>
      <c r="D41" s="1947" t="str">
        <f>IF('数据-取费表'!E3="否",结果表!D115,'结果表 (1修多)'!D118)</f>
        <v>——</v>
      </c>
      <c r="E41" s="1926"/>
    </row>
    <row r="42" spans="1:5" ht="14.25">
      <c r="A42" s="1926"/>
      <c r="B42" s="2781" t="str">
        <f>B21</f>
        <v>——</v>
      </c>
      <c r="C42" s="1948" t="str">
        <f>C28</f>
        <v>总价</v>
      </c>
      <c r="D42" s="1949" t="str">
        <f>IF('数据-取费表'!E3="否",结果表!I114,'结果表 (1修多)'!I115)</f>
        <v>——</v>
      </c>
      <c r="E42" s="1926"/>
    </row>
    <row r="43" spans="1:5" ht="14.25">
      <c r="A43" s="1926"/>
      <c r="B43" s="2783"/>
      <c r="C43" s="1945" t="s">
        <v>1175</v>
      </c>
      <c r="D43" s="1951" t="e">
        <f>IF('数据-取费表'!B3="万元",NUMBERSTRING(INT(D42*10000),2)&amp;"元整",NUMBERSTRING(INT(D42),2)&amp;"元整")</f>
        <v>#VALUE!</v>
      </c>
      <c r="E43" s="1926"/>
    </row>
    <row r="44" spans="1:5" ht="15" thickBot="1">
      <c r="A44" s="1926"/>
      <c r="B44" s="2784"/>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1275</v>
      </c>
      <c r="B2" s="2800" t="s">
        <v>1276</v>
      </c>
      <c r="C2" s="2800" t="s">
        <v>1277</v>
      </c>
      <c r="D2" s="2800" t="str">
        <f>IF('数据-取费表'!E3="否",结果表!D119,'结果表 (1修多)'!D122)</f>
        <v>出让国有建设用地使用权价值</v>
      </c>
      <c r="E2" s="2800"/>
      <c r="F2" s="2800" t="s">
        <v>1278</v>
      </c>
      <c r="G2" s="2800"/>
      <c r="H2" s="2800" t="s">
        <v>1279</v>
      </c>
      <c r="I2" s="2800"/>
    </row>
    <row r="3" spans="1:9" ht="15">
      <c r="A3" s="2795"/>
      <c r="B3" s="2795"/>
      <c r="C3" s="2795"/>
      <c r="D3" s="1049" t="s">
        <v>1280</v>
      </c>
      <c r="E3" s="1049" t="s">
        <v>1281</v>
      </c>
      <c r="F3" s="1049" t="s">
        <v>1280</v>
      </c>
      <c r="G3" s="1049" t="s">
        <v>1282</v>
      </c>
      <c r="H3" s="1049" t="s">
        <v>1280</v>
      </c>
      <c r="I3" s="1049" t="s">
        <v>1282</v>
      </c>
    </row>
    <row r="4" spans="1:9" ht="46.5" customHeight="1">
      <c r="A4" s="1049" t="str">
        <f>项目基本情况!I1</f>
        <v>北京市房地产</v>
      </c>
      <c r="B4" s="1049">
        <f>结果表!B121</f>
        <v>99.8</v>
      </c>
      <c r="C4" s="1049">
        <f>结果表!C121</f>
        <v>0</v>
      </c>
      <c r="D4" s="1049">
        <f ca="1">IF('数据-取费表'!E3="否",结果表!D121,'结果表 (1修多)'!D124)</f>
        <v>5242142</v>
      </c>
      <c r="E4" s="1049">
        <f ca="1">IF('数据-取费表'!E3="否",结果表!E121,'结果表 (1修多)'!E124)</f>
        <v>52526</v>
      </c>
      <c r="F4" s="1049">
        <f ca="1">IF('数据-取费表'!E3="否",结果表!F121,'结果表 (1修多)'!F124)</f>
        <v>449652</v>
      </c>
      <c r="G4" s="1049">
        <f ca="1">IF('数据-取费表'!E3="否",结果表!G121,'结果表 (1修多)'!G124)</f>
        <v>4506</v>
      </c>
      <c r="H4" s="1049">
        <f ca="1">IF('数据-取费表'!E3="否",结果表!H121,'结果表 (1修多)'!H124)</f>
        <v>5691794</v>
      </c>
      <c r="I4" s="1049">
        <f ca="1">IF('数据-取费表'!E3="否",结果表!I121,'结果表 (1修多)'!I124)</f>
        <v>57032</v>
      </c>
    </row>
    <row r="5" spans="1:9" ht="15">
      <c r="A5" s="2795" t="s">
        <v>1283</v>
      </c>
      <c r="B5" s="2795"/>
      <c r="C5" s="2795"/>
      <c r="D5" s="2793" t="str">
        <f ca="1">IF('数据-取费表'!E3="否",结果表!D122,'结果表 (1修多)'!D125)</f>
        <v>伍佰贰拾肆万贰仟壹佰肆拾贰元整</v>
      </c>
      <c r="E5" s="2793"/>
      <c r="F5" s="2793" t="str">
        <f ca="1">IF('数据-取费表'!E3="否",结果表!F122,'结果表 (1修多)'!F125)</f>
        <v>肆拾肆万玖仟陆佰伍拾贰元整</v>
      </c>
      <c r="G5" s="2793"/>
      <c r="H5" s="2793" t="str">
        <f ca="1">IF('数据-取费表'!E3="否",结果表!H122,'结果表 (1修多)'!H125)</f>
        <v>伍佰陆拾玖万壹仟柒佰玖拾肆元整</v>
      </c>
      <c r="I5" s="2793"/>
    </row>
    <row r="6" spans="1:9" ht="15.75">
      <c r="A6" s="2794" t="str">
        <f>IF('数据-取费表'!E3="否",结果表!A123,'结果表 (1修多)'!A126)</f>
        <v>估价师所知悉的法定优先受偿款</v>
      </c>
      <c r="B6" s="2794"/>
      <c r="C6" s="2794"/>
      <c r="D6" s="2794">
        <f>IF('数据-取费表'!E3="否",结果表!D123,'结果表 (1修多)'!D126)</f>
        <v>0</v>
      </c>
      <c r="E6" s="2794"/>
      <c r="F6" s="2794"/>
      <c r="G6" s="2794"/>
      <c r="H6" s="2794"/>
      <c r="I6" s="2794"/>
    </row>
    <row r="7" spans="1:9" ht="15">
      <c r="A7" s="2795" t="s">
        <v>1283</v>
      </c>
      <c r="B7" s="2795"/>
      <c r="C7" s="2795"/>
      <c r="D7" s="2796">
        <f>IF('数据-取费表'!E3="否",结果表!D124,'结果表 (1修多)'!D127)</f>
        <v>0</v>
      </c>
      <c r="E7" s="2797"/>
      <c r="F7" s="2797"/>
      <c r="G7" s="2797"/>
      <c r="H7" s="2797"/>
      <c r="I7" s="2798"/>
    </row>
    <row r="8" spans="1:9" ht="15.75">
      <c r="A8" s="2794" t="str">
        <f>IF('数据-取费表'!E3="否",结果表!A125,'结果表 (1修多)'!A128)</f>
        <v>房地产抵押价值</v>
      </c>
      <c r="B8" s="2794"/>
      <c r="C8" s="2794"/>
      <c r="D8" s="2794">
        <f ca="1">IF('数据-取费表'!E3="否",结果表!D125,'结果表 (1修多)'!D128)</f>
        <v>5691794</v>
      </c>
      <c r="E8" s="2794"/>
      <c r="F8" s="2794"/>
      <c r="G8" s="2794"/>
      <c r="H8" s="2794"/>
      <c r="I8" s="2794"/>
    </row>
    <row r="9" spans="1:9" ht="15">
      <c r="A9" s="2795" t="s">
        <v>1283</v>
      </c>
      <c r="B9" s="2795"/>
      <c r="C9" s="2795"/>
      <c r="D9" s="2793">
        <f ca="1">IF('数据-取费表'!E3="否",结果表!D126,'结果表 (1修多)'!D129)</f>
        <v>57032</v>
      </c>
      <c r="E9" s="2793"/>
      <c r="F9" s="2793"/>
      <c r="G9" s="2793"/>
      <c r="H9" s="2793"/>
      <c r="I9" s="2793"/>
    </row>
    <row r="10" spans="1:9" ht="15.75">
      <c r="A10" s="2794" t="str">
        <f>IF('数据-取费表'!E3="否",结果表!A127,'结果表 (1修多)'!A130)</f>
        <v/>
      </c>
      <c r="B10" s="2794"/>
      <c r="C10" s="2794"/>
      <c r="D10" s="2794" t="str">
        <f>IF('数据-取费表'!E3="否",结果表!D127,'结果表 (1修多)'!D129)</f>
        <v>——</v>
      </c>
      <c r="E10" s="2794"/>
      <c r="F10" s="2794"/>
      <c r="G10" s="2794"/>
      <c r="H10" s="2794"/>
      <c r="I10" s="2794"/>
    </row>
    <row r="11" spans="1:9" ht="15">
      <c r="A11" s="2795" t="s">
        <v>1283</v>
      </c>
      <c r="B11" s="2795"/>
      <c r="C11" s="2795"/>
      <c r="D11" s="2793" t="str">
        <f>IF('数据-取费表'!E3="否",结果表!D128,'结果表 (1修多)'!D131)</f>
        <v>——</v>
      </c>
      <c r="E11" s="2793"/>
      <c r="F11" s="2793"/>
      <c r="G11" s="2793"/>
      <c r="H11" s="2793"/>
      <c r="I11" s="2793"/>
    </row>
    <row r="12" spans="1:9" ht="15.75">
      <c r="A12" s="2794" t="str">
        <f>IF('数据-取费表'!E3="否",结果表!A129,'结果表 (1修多)'!A132)</f>
        <v/>
      </c>
      <c r="B12" s="2794"/>
      <c r="C12" s="2794"/>
      <c r="D12" s="2794" t="str">
        <f>IF('数据-取费表'!E3="否",结果表!D129,'结果表 (1修多)'!D132)</f>
        <v>——</v>
      </c>
      <c r="E12" s="2794"/>
      <c r="F12" s="2794"/>
      <c r="G12" s="2794"/>
      <c r="H12" s="2794"/>
      <c r="I12" s="2794"/>
    </row>
    <row r="13" spans="1:9" ht="15.75" thickBot="1">
      <c r="A13" s="2801" t="s">
        <v>1283</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单位：平方米、元、元/平方米（币种：人民币）</v>
      </c>
      <c r="B14" s="2803"/>
      <c r="C14" s="2803"/>
      <c r="D14" s="2803"/>
      <c r="E14" s="2803"/>
      <c r="F14" s="2803"/>
      <c r="G14" s="2803"/>
      <c r="H14" s="2803"/>
      <c r="I14" s="2803"/>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8" t="s">
        <v>1297</v>
      </c>
      <c r="B1" s="2808"/>
      <c r="C1" s="2808"/>
      <c r="D1" s="2808"/>
    </row>
    <row r="2" spans="1:4" ht="18">
      <c r="A2" s="2807" t="s">
        <v>1285</v>
      </c>
      <c r="B2" s="2807"/>
      <c r="C2" s="2807"/>
      <c r="D2" s="2807"/>
    </row>
    <row r="3" spans="1:4" ht="18.75">
      <c r="A3" s="1955" t="s">
        <v>1286</v>
      </c>
      <c r="B3" s="1955" t="s">
        <v>1287</v>
      </c>
      <c r="C3" s="1955" t="s">
        <v>1288</v>
      </c>
      <c r="D3" s="1955" t="s">
        <v>1289</v>
      </c>
    </row>
    <row r="4" spans="1:4" ht="56.25" customHeight="1">
      <c r="A4" s="1956" t="str">
        <f>项目基本情况!B3</f>
        <v>叶凌</v>
      </c>
      <c r="B4" s="1957">
        <f ca="1">项目基本情况!C3</f>
        <v>1119970111</v>
      </c>
      <c r="C4" s="1958"/>
      <c r="D4" s="1959" t="s">
        <v>1298</v>
      </c>
    </row>
    <row r="5" spans="1:4" ht="56.25" customHeight="1">
      <c r="A5" s="1956" t="str">
        <f>项目基本情况!D3</f>
        <v>杨红英</v>
      </c>
      <c r="B5" s="1957">
        <f>项目基本情况!E3</f>
        <v>1120070085</v>
      </c>
      <c r="C5" s="1960"/>
      <c r="D5" s="1959" t="s">
        <v>1298</v>
      </c>
    </row>
    <row r="6" spans="1:4" ht="12" customHeight="1">
      <c r="A6" s="1956"/>
      <c r="B6" s="1957"/>
      <c r="C6" s="1961"/>
      <c r="D6" s="1959"/>
    </row>
    <row r="7" spans="1:4" ht="18">
      <c r="A7" s="2807" t="s">
        <v>1290</v>
      </c>
      <c r="B7" s="2807"/>
      <c r="C7" s="2807"/>
      <c r="D7" s="2807"/>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804" t="s">
        <v>1299</v>
      </c>
      <c r="B12" s="2806"/>
      <c r="C12" s="2806"/>
      <c r="D12" s="2806"/>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6"/>
      <c r="C13" s="2806"/>
      <c r="D13" s="2806"/>
    </row>
    <row r="14" spans="1:4" ht="30" customHeight="1">
      <c r="A14" s="2804" t="str">
        <f>IF(项目基本情况!D4="抵押","3.抵押双方在办理抵押登记手续时，应使用本公司出具的正式《房地产评估报告》，特提醒报告使用者注意。","——")</f>
        <v>——</v>
      </c>
      <c r="B14" s="2806"/>
      <c r="C14" s="2806"/>
      <c r="D14" s="2806"/>
    </row>
    <row r="15" spans="1:4" ht="15.75" customHeight="1">
      <c r="A15" s="2804" t="str">
        <f>IF(项目基本情况!D4="抵押","4.本次评估估价师所知悉的法定优先受偿款情况说明如下：","——")</f>
        <v>——</v>
      </c>
      <c r="B15" s="2806"/>
      <c r="C15" s="2806"/>
      <c r="D15" s="2806"/>
    </row>
    <row r="16" spans="1:4" ht="75" customHeight="1">
      <c r="A16" s="2804" t="str">
        <f>IF(项目基本情况!D4="抵押",CONCATENATE(项目基本情况!J13,项目基本情况!J14,项目基本情况!J15),"——")</f>
        <v>——</v>
      </c>
      <c r="B16" s="2804"/>
      <c r="C16" s="2804"/>
      <c r="D16" s="2804"/>
    </row>
    <row r="17" spans="1:4" ht="63.75" customHeight="1">
      <c r="A17" s="2805" t="s">
        <v>1300</v>
      </c>
      <c r="B17" s="2805"/>
      <c r="C17" s="2805"/>
      <c r="D17" s="2805"/>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5" t="s">
        <v>1293</v>
      </c>
      <c r="B20" s="2805"/>
      <c r="C20" s="2805"/>
      <c r="D20" s="2805"/>
    </row>
    <row r="21" spans="1:4">
      <c r="A21" s="1964"/>
      <c r="B21" s="1290"/>
      <c r="C21" s="1290"/>
      <c r="D21" s="1290"/>
    </row>
    <row r="22" spans="1:4">
      <c r="A22" s="1964"/>
      <c r="B22" s="1290"/>
      <c r="C22" s="1290"/>
      <c r="D22" s="1290"/>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1" t="s">
        <v>1378</v>
      </c>
    </row>
    <row r="15" spans="1:7" ht="14.25">
      <c r="A15" s="2814" t="s">
        <v>1379</v>
      </c>
      <c r="B15" s="2809" t="s">
        <v>1380</v>
      </c>
      <c r="C15" s="2810"/>
    </row>
    <row r="16" spans="1:7" ht="14.25">
      <c r="A16" s="2815"/>
      <c r="B16" s="2809" t="s">
        <v>1381</v>
      </c>
      <c r="C16" s="2810"/>
    </row>
    <row r="17" spans="1:3" ht="14.25">
      <c r="A17" s="2815"/>
      <c r="B17" s="2809" t="s">
        <v>1382</v>
      </c>
      <c r="C17" s="2810"/>
    </row>
    <row r="18" spans="1:3" ht="14.25">
      <c r="A18" s="2816"/>
      <c r="B18" s="2811" t="s">
        <v>1383</v>
      </c>
      <c r="C18" s="2810"/>
    </row>
    <row r="19" spans="1:3" ht="14.25">
      <c r="A19" s="1979" t="s">
        <v>1384</v>
      </c>
      <c r="B19" s="1980"/>
      <c r="C19" s="1981"/>
    </row>
    <row r="20" spans="1:3" ht="14.25">
      <c r="A20" s="2812" t="s">
        <v>1385</v>
      </c>
      <c r="B20" s="2811" t="s">
        <v>1386</v>
      </c>
      <c r="C20" s="2810"/>
    </row>
    <row r="21" spans="1:3" ht="14.25">
      <c r="A21" s="2812"/>
      <c r="B21" s="2811" t="s">
        <v>1387</v>
      </c>
      <c r="C21" s="2810"/>
    </row>
    <row r="22" spans="1:3" ht="14.25">
      <c r="A22" s="2812"/>
      <c r="B22" s="2811" t="s">
        <v>1388</v>
      </c>
      <c r="C22" s="2810"/>
    </row>
    <row r="23" spans="1:3" ht="14.25">
      <c r="A23" s="2812"/>
      <c r="B23" s="2813" t="s">
        <v>1389</v>
      </c>
      <c r="C23" s="1982" t="s">
        <v>1390</v>
      </c>
    </row>
    <row r="24" spans="1:3" ht="14.25">
      <c r="A24" s="2812"/>
      <c r="B24" s="2813"/>
      <c r="C24" s="1982" t="s">
        <v>1391</v>
      </c>
    </row>
    <row r="25" spans="1:3" ht="14.25">
      <c r="A25" s="2812"/>
      <c r="B25" s="2813"/>
      <c r="C25" s="1982" t="s">
        <v>1392</v>
      </c>
    </row>
    <row r="26" spans="1:3" ht="14.25">
      <c r="A26" s="2812"/>
      <c r="B26" s="2813"/>
      <c r="C26" s="1982" t="s">
        <v>1393</v>
      </c>
    </row>
    <row r="27" spans="1:3" ht="14.25">
      <c r="A27" s="2812"/>
      <c r="B27" s="2813"/>
      <c r="C27" s="1982" t="s">
        <v>1394</v>
      </c>
    </row>
    <row r="28" spans="1:3" ht="14.25">
      <c r="A28" s="2812"/>
      <c r="B28" s="2813"/>
      <c r="C28" s="1982" t="s">
        <v>1395</v>
      </c>
    </row>
    <row r="29" spans="1:3" ht="14.25">
      <c r="A29" s="2812"/>
      <c r="B29" s="2813"/>
      <c r="C29" s="1982" t="s">
        <v>1396</v>
      </c>
    </row>
    <row r="30" spans="1:3" ht="14.25">
      <c r="A30" s="2812"/>
      <c r="B30" s="2813"/>
      <c r="C30" s="1982" t="s">
        <v>1397</v>
      </c>
    </row>
    <row r="31" spans="1:3" ht="14.25">
      <c r="A31" s="2812"/>
      <c r="B31" s="2813"/>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43486</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t="str">
        <f ca="1">IF(C10&lt;B2,"已过期",1120060040)</f>
        <v>已过期</v>
      </c>
      <c r="C10" s="1811">
        <v>43483</v>
      </c>
      <c r="D10" s="1812" t="str">
        <f t="shared" ca="1" si="0"/>
        <v>陈颖（注册号：已过期）</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2812</v>
      </c>
      <c r="B12" s="1031">
        <v>1120110054</v>
      </c>
      <c r="C12" s="1811">
        <v>43937</v>
      </c>
      <c r="D12" s="1812" t="str">
        <f t="shared" si="0"/>
        <v>白景生（注册号：1120110054）</v>
      </c>
      <c r="E12" s="1810" t="s">
        <v>2812</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7" t="s">
        <v>768</v>
      </c>
      <c r="B25" s="2817"/>
      <c r="C25" s="2817"/>
      <c r="D25" s="2817"/>
      <c r="E25" s="2817"/>
      <c r="F25" s="2817"/>
      <c r="G25" s="2817"/>
      <c r="H25" s="2817"/>
    </row>
    <row r="26" spans="1:8" s="1034" customFormat="1" ht="24" customHeight="1">
      <c r="A26" s="2818" t="s">
        <v>769</v>
      </c>
      <c r="B26" s="2818"/>
      <c r="C26" s="2818"/>
      <c r="D26" s="1062"/>
      <c r="E26" s="1062"/>
      <c r="F26" s="2818" t="s">
        <v>770</v>
      </c>
      <c r="G26" s="2818"/>
      <c r="H26" s="281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81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本次估价的“房地产价值”是指在正常市场情况下，在价值时点2018年12月5日，估价对象规划用途为，假定未设立法定优先受偿款下的房地产市场价值。</v>
      </c>
    </row>
    <row r="54" spans="1:4">
      <c r="A54" s="2819"/>
      <c r="B54" s="9" t="s">
        <v>1535</v>
      </c>
      <c r="C54" s="9" t="s">
        <v>1536</v>
      </c>
    </row>
    <row r="55" spans="1:4">
      <c r="A55" s="2819"/>
      <c r="B55" s="9" t="s">
        <v>1537</v>
      </c>
      <c r="C55" s="9" t="s">
        <v>1538</v>
      </c>
    </row>
    <row r="56" spans="1:4">
      <c r="A56" s="2819"/>
      <c r="B56" s="9" t="s">
        <v>1539</v>
      </c>
      <c r="C56" s="9" t="s">
        <v>1540</v>
      </c>
    </row>
    <row r="57" spans="1:4">
      <c r="A57" s="2819"/>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2019-01-21T08:19:32Z</dcterms:modified>
</cp:coreProperties>
</file>